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Lubomír\Desktop\výsledky 2023\"/>
    </mc:Choice>
  </mc:AlternateContent>
  <xr:revisionPtr revIDLastSave="0" documentId="13_ncr:1_{5029D419-20E0-4D7B-854D-35B52CF6A618}" xr6:coauthVersionLast="47" xr6:coauthVersionMax="47" xr10:uidLastSave="{00000000-0000-0000-0000-000000000000}"/>
  <bookViews>
    <workbookView xWindow="-108" yWindow="-108" windowWidth="23256" windowHeight="12576" activeTab="5" xr2:uid="{00000000-000D-0000-FFFF-FFFF00000000}"/>
  </bookViews>
  <sheets>
    <sheet name="Instrukce" sheetId="1" r:id="rId1"/>
    <sheet name="Turnaje" sheetId="2" r:id="rId2"/>
    <sheet name="Kluby" sheetId="3" state="hidden" r:id="rId3"/>
    <sheet name="Hraci" sheetId="4" r:id="rId4"/>
    <sheet name="Internet" sheetId="5" r:id="rId5"/>
    <sheet name="Start.listina" sheetId="6" r:id="rId6"/>
    <sheet name="Kvalita turnaje" sheetId="7" state="hidden" r:id="rId7"/>
    <sheet name="Skupiny" sheetId="8" r:id="rId8"/>
    <sheet name="Zápis" sheetId="9" r:id="rId9"/>
    <sheet name="Tisk_skupin" sheetId="10" r:id="rId10"/>
    <sheet name="Sk.A" sheetId="11" r:id="rId11"/>
    <sheet name="Sk.B" sheetId="12" r:id="rId12"/>
    <sheet name="Sk.C" sheetId="13" r:id="rId13"/>
    <sheet name="Sk.D" sheetId="14" r:id="rId14"/>
    <sheet name="Sk.E" sheetId="15" r:id="rId15"/>
    <sheet name="Sk.F" sheetId="16" r:id="rId16"/>
    <sheet name="Sk.G" sheetId="17" r:id="rId17"/>
    <sheet name="Sk.H" sheetId="18" r:id="rId18"/>
    <sheet name="Sk.I" sheetId="19" r:id="rId19"/>
    <sheet name="Sk.J" sheetId="20" r:id="rId20"/>
    <sheet name="Sk.K" sheetId="21" r:id="rId21"/>
    <sheet name="Sk.L" sheetId="22" r:id="rId22"/>
    <sheet name="Sk.M" sheetId="23" r:id="rId23"/>
    <sheet name="Sk.N" sheetId="24" r:id="rId24"/>
    <sheet name="Sk.O" sheetId="25" r:id="rId25"/>
    <sheet name="Sk.P" sheetId="26" r:id="rId26"/>
    <sheet name="Sk.Q" sheetId="27" r:id="rId27"/>
    <sheet name="Sk.R" sheetId="28" r:id="rId28"/>
    <sheet name="Sk.S" sheetId="29" r:id="rId29"/>
    <sheet name="Sk.T" sheetId="30" r:id="rId30"/>
    <sheet name="Sk.U" sheetId="31" r:id="rId31"/>
    <sheet name="Sk.V" sheetId="32" r:id="rId32"/>
    <sheet name="Sk.W" sheetId="33" r:id="rId33"/>
    <sheet name="Sk.X" sheetId="34" r:id="rId34"/>
    <sheet name="Sk.Y" sheetId="35" r:id="rId35"/>
    <sheet name="Sk.Z" sheetId="36" r:id="rId36"/>
    <sheet name="Sk.AA" sheetId="37" r:id="rId37"/>
    <sheet name="Sk.AB" sheetId="38" r:id="rId38"/>
    <sheet name="Sk.AC" sheetId="39" r:id="rId39"/>
    <sheet name="Sk.AD" sheetId="40" r:id="rId40"/>
    <sheet name="Sk.AE" sheetId="41" r:id="rId41"/>
    <sheet name="Sk.AF" sheetId="42" r:id="rId42"/>
    <sheet name="Výsledky_skupin" sheetId="43" state="hidden" r:id="rId43"/>
    <sheet name="Postupy" sheetId="44" state="hidden" r:id="rId44"/>
    <sheet name="Hřiště" sheetId="45" state="hidden" r:id="rId45"/>
    <sheet name="KO64" sheetId="46" r:id="rId46"/>
    <sheet name="KO32" sheetId="47" r:id="rId47"/>
    <sheet name="KO16" sheetId="48" r:id="rId48"/>
    <sheet name="Dohrávka_9-16" sheetId="49" r:id="rId49"/>
    <sheet name="KO8" sheetId="50" r:id="rId50"/>
    <sheet name="Dohrávka_5-8" sheetId="51" r:id="rId51"/>
    <sheet name="KO4" sheetId="52" r:id="rId52"/>
    <sheet name="Konečné_pořadí_1_16" sheetId="53" state="hidden" r:id="rId53"/>
    <sheet name="Nasazení" sheetId="54" state="hidden" r:id="rId54"/>
    <sheet name="Rozpis" sheetId="55" state="hidden" r:id="rId55"/>
    <sheet name="RozpisKK" sheetId="56" state="hidden" r:id="rId56"/>
    <sheet name="Body" sheetId="57" state="hidden" r:id="rId57"/>
    <sheet name="Bonusy" sheetId="58" state="hidden" r:id="rId58"/>
    <sheet name="Paušál" sheetId="59" state="hidden" r:id="rId59"/>
    <sheet name="Počet kol" sheetId="60" state="hidden" r:id="rId60"/>
    <sheet name="Vysledky" sheetId="61" state="hidden" r:id="rId61"/>
  </sheets>
  <definedNames>
    <definedName name="BezHrist">#REF!</definedName>
    <definedName name="Dolosovano">#REF!</definedName>
    <definedName name="Hriste16">#REF!</definedName>
    <definedName name="Hriste32">#REF!</definedName>
    <definedName name="Hriste4">#REF!</definedName>
    <definedName name="Hriste8">#REF!</definedName>
    <definedName name="Kvalita">#REF!</definedName>
    <definedName name="Skupiny">#REF!</definedName>
  </definedNames>
  <calcPr calcId="181029"/>
</workbook>
</file>

<file path=xl/calcChain.xml><?xml version="1.0" encoding="utf-8"?>
<calcChain xmlns="http://schemas.openxmlformats.org/spreadsheetml/2006/main">
  <c r="E1028" i="61" l="1"/>
  <c r="D1028" i="61"/>
  <c r="C1028" i="61"/>
  <c r="B1028" i="61"/>
  <c r="E1027" i="61"/>
  <c r="D1027" i="61"/>
  <c r="C1027" i="61"/>
  <c r="B1027" i="61"/>
  <c r="E1026" i="61"/>
  <c r="D1026" i="61"/>
  <c r="C1026" i="61"/>
  <c r="B1026" i="61"/>
  <c r="I1025" i="61"/>
  <c r="H1025" i="61"/>
  <c r="G1025" i="61"/>
  <c r="E1025" i="61"/>
  <c r="D1025" i="61"/>
  <c r="C1025" i="61"/>
  <c r="B1025" i="61"/>
  <c r="A1025" i="61"/>
  <c r="E1024" i="61"/>
  <c r="D1024" i="61"/>
  <c r="C1024" i="61"/>
  <c r="B1024" i="61"/>
  <c r="E1023" i="61"/>
  <c r="D1023" i="61"/>
  <c r="C1023" i="61"/>
  <c r="B1023" i="61"/>
  <c r="E1022" i="61"/>
  <c r="D1022" i="61"/>
  <c r="C1022" i="61"/>
  <c r="B1022" i="61"/>
  <c r="H1021" i="61"/>
  <c r="E1021" i="61"/>
  <c r="D1021" i="61"/>
  <c r="C1021" i="61"/>
  <c r="B1021" i="61"/>
  <c r="A1021" i="61"/>
  <c r="I1021" i="61" s="1"/>
  <c r="E1020" i="61"/>
  <c r="D1020" i="61"/>
  <c r="C1020" i="61"/>
  <c r="B1020" i="61"/>
  <c r="E1019" i="61"/>
  <c r="D1019" i="61"/>
  <c r="C1019" i="61"/>
  <c r="B1019" i="61"/>
  <c r="E1018" i="61"/>
  <c r="D1018" i="61"/>
  <c r="C1018" i="61"/>
  <c r="B1018" i="61"/>
  <c r="I1017" i="61"/>
  <c r="H1017" i="61"/>
  <c r="G1017" i="61"/>
  <c r="E1017" i="61"/>
  <c r="D1017" i="61"/>
  <c r="C1017" i="61"/>
  <c r="B1017" i="61"/>
  <c r="A1017" i="61"/>
  <c r="E1016" i="61"/>
  <c r="D1016" i="61"/>
  <c r="C1016" i="61"/>
  <c r="B1016" i="61"/>
  <c r="E1015" i="61"/>
  <c r="D1015" i="61"/>
  <c r="C1015" i="61"/>
  <c r="B1015" i="61"/>
  <c r="E1014" i="61"/>
  <c r="D1014" i="61"/>
  <c r="C1014" i="61"/>
  <c r="B1014" i="61"/>
  <c r="I1013" i="61"/>
  <c r="H1013" i="61"/>
  <c r="G1013" i="61"/>
  <c r="E1013" i="61"/>
  <c r="D1013" i="61"/>
  <c r="C1013" i="61"/>
  <c r="B1013" i="61"/>
  <c r="A1013" i="61"/>
  <c r="E1012" i="61"/>
  <c r="D1012" i="61"/>
  <c r="C1012" i="61"/>
  <c r="B1012" i="61"/>
  <c r="E1011" i="61"/>
  <c r="D1011" i="61"/>
  <c r="C1011" i="61"/>
  <c r="B1011" i="61"/>
  <c r="E1010" i="61"/>
  <c r="D1010" i="61"/>
  <c r="C1010" i="61"/>
  <c r="B1010" i="61"/>
  <c r="I1009" i="61"/>
  <c r="H1009" i="61"/>
  <c r="G1009" i="61"/>
  <c r="E1009" i="61"/>
  <c r="D1009" i="61"/>
  <c r="C1009" i="61"/>
  <c r="B1009" i="61"/>
  <c r="A1009" i="61"/>
  <c r="E1008" i="61"/>
  <c r="D1008" i="61"/>
  <c r="C1008" i="61"/>
  <c r="B1008" i="61"/>
  <c r="E1007" i="61"/>
  <c r="D1007" i="61"/>
  <c r="C1007" i="61"/>
  <c r="B1007" i="61"/>
  <c r="E1006" i="61"/>
  <c r="D1006" i="61"/>
  <c r="C1006" i="61"/>
  <c r="B1006" i="61"/>
  <c r="I1005" i="61"/>
  <c r="H1005" i="61"/>
  <c r="G1005" i="61"/>
  <c r="E1005" i="61"/>
  <c r="D1005" i="61"/>
  <c r="C1005" i="61"/>
  <c r="B1005" i="61"/>
  <c r="A1005" i="61"/>
  <c r="E1004" i="61"/>
  <c r="D1004" i="61"/>
  <c r="C1004" i="61"/>
  <c r="B1004" i="61"/>
  <c r="E1003" i="61"/>
  <c r="D1003" i="61"/>
  <c r="C1003" i="61"/>
  <c r="B1003" i="61"/>
  <c r="E1002" i="61"/>
  <c r="D1002" i="61"/>
  <c r="C1002" i="61"/>
  <c r="B1002" i="61"/>
  <c r="I1001" i="61"/>
  <c r="H1001" i="61"/>
  <c r="G1001" i="61"/>
  <c r="E1001" i="61"/>
  <c r="D1001" i="61"/>
  <c r="C1001" i="61"/>
  <c r="B1001" i="61"/>
  <c r="A1001" i="61"/>
  <c r="E1000" i="61"/>
  <c r="D1000" i="61"/>
  <c r="C1000" i="61"/>
  <c r="B1000" i="61"/>
  <c r="E999" i="61"/>
  <c r="D999" i="61"/>
  <c r="C999" i="61"/>
  <c r="B999" i="61"/>
  <c r="E998" i="61"/>
  <c r="D998" i="61"/>
  <c r="C998" i="61"/>
  <c r="B998" i="61"/>
  <c r="I997" i="61"/>
  <c r="H997" i="61"/>
  <c r="G997" i="61"/>
  <c r="E997" i="61"/>
  <c r="D997" i="61"/>
  <c r="C997" i="61"/>
  <c r="B997" i="61"/>
  <c r="A997" i="61"/>
  <c r="E996" i="61"/>
  <c r="D996" i="61"/>
  <c r="C996" i="61"/>
  <c r="B996" i="61"/>
  <c r="E995" i="61"/>
  <c r="D995" i="61"/>
  <c r="C995" i="61"/>
  <c r="B995" i="61"/>
  <c r="E994" i="61"/>
  <c r="D994" i="61"/>
  <c r="C994" i="61"/>
  <c r="B994" i="61"/>
  <c r="I993" i="61"/>
  <c r="H993" i="61"/>
  <c r="G993" i="61"/>
  <c r="E993" i="61"/>
  <c r="D993" i="61"/>
  <c r="C993" i="61"/>
  <c r="B993" i="61"/>
  <c r="A993" i="61"/>
  <c r="E992" i="61"/>
  <c r="D992" i="61"/>
  <c r="C992" i="61"/>
  <c r="B992" i="61"/>
  <c r="E991" i="61"/>
  <c r="D991" i="61"/>
  <c r="C991" i="61"/>
  <c r="B991" i="61"/>
  <c r="E990" i="61"/>
  <c r="D990" i="61"/>
  <c r="C990" i="61"/>
  <c r="B990" i="61"/>
  <c r="I989" i="61"/>
  <c r="H989" i="61"/>
  <c r="G989" i="61"/>
  <c r="E989" i="61"/>
  <c r="D989" i="61"/>
  <c r="C989" i="61"/>
  <c r="B989" i="61"/>
  <c r="A989" i="61"/>
  <c r="E988" i="61"/>
  <c r="D988" i="61"/>
  <c r="C988" i="61"/>
  <c r="B988" i="61"/>
  <c r="E987" i="61"/>
  <c r="D987" i="61"/>
  <c r="C987" i="61"/>
  <c r="B987" i="61"/>
  <c r="E986" i="61"/>
  <c r="D986" i="61"/>
  <c r="C986" i="61"/>
  <c r="B986" i="61"/>
  <c r="I985" i="61"/>
  <c r="H985" i="61"/>
  <c r="G985" i="61"/>
  <c r="E985" i="61"/>
  <c r="D985" i="61"/>
  <c r="C985" i="61"/>
  <c r="B985" i="61"/>
  <c r="A985" i="61"/>
  <c r="E984" i="61"/>
  <c r="D984" i="61"/>
  <c r="C984" i="61"/>
  <c r="B984" i="61"/>
  <c r="E983" i="61"/>
  <c r="D983" i="61"/>
  <c r="C983" i="61"/>
  <c r="B983" i="61"/>
  <c r="E982" i="61"/>
  <c r="D982" i="61"/>
  <c r="C982" i="61"/>
  <c r="B982" i="61"/>
  <c r="I981" i="61"/>
  <c r="H981" i="61"/>
  <c r="G981" i="61"/>
  <c r="E981" i="61"/>
  <c r="D981" i="61"/>
  <c r="C981" i="61"/>
  <c r="B981" i="61"/>
  <c r="A981" i="61"/>
  <c r="E980" i="61"/>
  <c r="D980" i="61"/>
  <c r="C980" i="61"/>
  <c r="B980" i="61"/>
  <c r="E979" i="61"/>
  <c r="D979" i="61"/>
  <c r="C979" i="61"/>
  <c r="B979" i="61"/>
  <c r="E978" i="61"/>
  <c r="D978" i="61"/>
  <c r="C978" i="61"/>
  <c r="B978" i="61"/>
  <c r="I977" i="61"/>
  <c r="H977" i="61"/>
  <c r="G977" i="61"/>
  <c r="E977" i="61"/>
  <c r="D977" i="61"/>
  <c r="C977" i="61"/>
  <c r="B977" i="61"/>
  <c r="A977" i="61"/>
  <c r="E976" i="61"/>
  <c r="D976" i="61"/>
  <c r="C976" i="61"/>
  <c r="B976" i="61"/>
  <c r="E975" i="61"/>
  <c r="D975" i="61"/>
  <c r="C975" i="61"/>
  <c r="B975" i="61"/>
  <c r="E974" i="61"/>
  <c r="D974" i="61"/>
  <c r="C974" i="61"/>
  <c r="B974" i="61"/>
  <c r="I973" i="61"/>
  <c r="H973" i="61"/>
  <c r="G973" i="61"/>
  <c r="E973" i="61"/>
  <c r="D973" i="61"/>
  <c r="C973" i="61"/>
  <c r="B973" i="61"/>
  <c r="A973" i="61"/>
  <c r="E972" i="61"/>
  <c r="D972" i="61"/>
  <c r="C972" i="61"/>
  <c r="B972" i="61"/>
  <c r="E971" i="61"/>
  <c r="D971" i="61"/>
  <c r="C971" i="61"/>
  <c r="B971" i="61"/>
  <c r="E970" i="61"/>
  <c r="D970" i="61"/>
  <c r="C970" i="61"/>
  <c r="B970" i="61"/>
  <c r="I969" i="61"/>
  <c r="H969" i="61"/>
  <c r="G969" i="61"/>
  <c r="E969" i="61"/>
  <c r="D969" i="61"/>
  <c r="C969" i="61"/>
  <c r="B969" i="61"/>
  <c r="A969" i="61"/>
  <c r="E968" i="61"/>
  <c r="D968" i="61"/>
  <c r="C968" i="61"/>
  <c r="B968" i="61"/>
  <c r="E967" i="61"/>
  <c r="D967" i="61"/>
  <c r="C967" i="61"/>
  <c r="B967" i="61"/>
  <c r="E966" i="61"/>
  <c r="D966" i="61"/>
  <c r="C966" i="61"/>
  <c r="B966" i="61"/>
  <c r="I965" i="61"/>
  <c r="H965" i="61"/>
  <c r="G965" i="61"/>
  <c r="E965" i="61"/>
  <c r="D965" i="61"/>
  <c r="C965" i="61"/>
  <c r="B965" i="61"/>
  <c r="A965" i="61"/>
  <c r="E964" i="61"/>
  <c r="D964" i="61"/>
  <c r="C964" i="61"/>
  <c r="B964" i="61"/>
  <c r="E963" i="61"/>
  <c r="D963" i="61"/>
  <c r="C963" i="61"/>
  <c r="B963" i="61"/>
  <c r="E962" i="61"/>
  <c r="D962" i="61"/>
  <c r="C962" i="61"/>
  <c r="B962" i="61"/>
  <c r="I961" i="61"/>
  <c r="H961" i="61"/>
  <c r="G961" i="61"/>
  <c r="E961" i="61"/>
  <c r="D961" i="61"/>
  <c r="C961" i="61"/>
  <c r="B961" i="61"/>
  <c r="A961" i="61"/>
  <c r="E960" i="61"/>
  <c r="D960" i="61"/>
  <c r="C960" i="61"/>
  <c r="B960" i="61"/>
  <c r="E959" i="61"/>
  <c r="D959" i="61"/>
  <c r="C959" i="61"/>
  <c r="B959" i="61"/>
  <c r="E958" i="61"/>
  <c r="D958" i="61"/>
  <c r="C958" i="61"/>
  <c r="B958" i="61"/>
  <c r="I957" i="61"/>
  <c r="H957" i="61"/>
  <c r="G957" i="61"/>
  <c r="E957" i="61"/>
  <c r="D957" i="61"/>
  <c r="C957" i="61"/>
  <c r="B957" i="61"/>
  <c r="A957" i="61"/>
  <c r="E956" i="61"/>
  <c r="D956" i="61"/>
  <c r="C956" i="61"/>
  <c r="B956" i="61"/>
  <c r="E955" i="61"/>
  <c r="D955" i="61"/>
  <c r="C955" i="61"/>
  <c r="B955" i="61"/>
  <c r="E954" i="61"/>
  <c r="D954" i="61"/>
  <c r="C954" i="61"/>
  <c r="B954" i="61"/>
  <c r="I953" i="61"/>
  <c r="H953" i="61"/>
  <c r="G953" i="61"/>
  <c r="E953" i="61"/>
  <c r="D953" i="61"/>
  <c r="C953" i="61"/>
  <c r="B953" i="61"/>
  <c r="A953" i="61"/>
  <c r="E952" i="61"/>
  <c r="D952" i="61"/>
  <c r="C952" i="61"/>
  <c r="B952" i="61"/>
  <c r="E951" i="61"/>
  <c r="D951" i="61"/>
  <c r="C951" i="61"/>
  <c r="B951" i="61"/>
  <c r="E950" i="61"/>
  <c r="D950" i="61"/>
  <c r="C950" i="61"/>
  <c r="B950" i="61"/>
  <c r="I949" i="61"/>
  <c r="H949" i="61"/>
  <c r="G949" i="61"/>
  <c r="E949" i="61"/>
  <c r="D949" i="61"/>
  <c r="C949" i="61"/>
  <c r="B949" i="61"/>
  <c r="A949" i="61"/>
  <c r="E948" i="61"/>
  <c r="D948" i="61"/>
  <c r="C948" i="61"/>
  <c r="B948" i="61"/>
  <c r="E947" i="61"/>
  <c r="D947" i="61"/>
  <c r="C947" i="61"/>
  <c r="B947" i="61"/>
  <c r="E946" i="61"/>
  <c r="D946" i="61"/>
  <c r="C946" i="61"/>
  <c r="B946" i="61"/>
  <c r="I945" i="61"/>
  <c r="H945" i="61"/>
  <c r="G945" i="61"/>
  <c r="E945" i="61"/>
  <c r="D945" i="61"/>
  <c r="C945" i="61"/>
  <c r="B945" i="61"/>
  <c r="A945" i="61"/>
  <c r="E944" i="61"/>
  <c r="D944" i="61"/>
  <c r="C944" i="61"/>
  <c r="B944" i="61"/>
  <c r="E943" i="61"/>
  <c r="D943" i="61"/>
  <c r="C943" i="61"/>
  <c r="B943" i="61"/>
  <c r="E942" i="61"/>
  <c r="D942" i="61"/>
  <c r="C942" i="61"/>
  <c r="B942" i="61"/>
  <c r="I941" i="61"/>
  <c r="H941" i="61"/>
  <c r="G941" i="61"/>
  <c r="E941" i="61"/>
  <c r="D941" i="61"/>
  <c r="C941" i="61"/>
  <c r="B941" i="61"/>
  <c r="A941" i="61"/>
  <c r="E940" i="61"/>
  <c r="D940" i="61"/>
  <c r="C940" i="61"/>
  <c r="B940" i="61"/>
  <c r="E939" i="61"/>
  <c r="D939" i="61"/>
  <c r="C939" i="61"/>
  <c r="B939" i="61"/>
  <c r="E938" i="61"/>
  <c r="D938" i="61"/>
  <c r="C938" i="61"/>
  <c r="B938" i="61"/>
  <c r="I937" i="61"/>
  <c r="H937" i="61"/>
  <c r="G937" i="61"/>
  <c r="E937" i="61"/>
  <c r="D937" i="61"/>
  <c r="C937" i="61"/>
  <c r="B937" i="61"/>
  <c r="A937" i="61"/>
  <c r="E936" i="61"/>
  <c r="D936" i="61"/>
  <c r="C936" i="61"/>
  <c r="B936" i="61"/>
  <c r="E935" i="61"/>
  <c r="D935" i="61"/>
  <c r="C935" i="61"/>
  <c r="B935" i="61"/>
  <c r="E934" i="61"/>
  <c r="D934" i="61"/>
  <c r="C934" i="61"/>
  <c r="B934" i="61"/>
  <c r="I933" i="61"/>
  <c r="H933" i="61"/>
  <c r="G933" i="61"/>
  <c r="E933" i="61"/>
  <c r="D933" i="61"/>
  <c r="C933" i="61"/>
  <c r="B933" i="61"/>
  <c r="A933" i="61"/>
  <c r="E932" i="61"/>
  <c r="D932" i="61"/>
  <c r="C932" i="61"/>
  <c r="B932" i="61"/>
  <c r="E931" i="61"/>
  <c r="D931" i="61"/>
  <c r="C931" i="61"/>
  <c r="B931" i="61"/>
  <c r="E930" i="61"/>
  <c r="D930" i="61"/>
  <c r="C930" i="61"/>
  <c r="B930" i="61"/>
  <c r="I929" i="61"/>
  <c r="H929" i="61"/>
  <c r="G929" i="61"/>
  <c r="E929" i="61"/>
  <c r="D929" i="61"/>
  <c r="C929" i="61"/>
  <c r="B929" i="61"/>
  <c r="A929" i="61"/>
  <c r="E928" i="61"/>
  <c r="D928" i="61"/>
  <c r="C928" i="61"/>
  <c r="B928" i="61"/>
  <c r="E927" i="61"/>
  <c r="D927" i="61"/>
  <c r="C927" i="61"/>
  <c r="B927" i="61"/>
  <c r="E926" i="61"/>
  <c r="D926" i="61"/>
  <c r="C926" i="61"/>
  <c r="B926" i="61"/>
  <c r="I925" i="61"/>
  <c r="H925" i="61"/>
  <c r="G925" i="61"/>
  <c r="E925" i="61"/>
  <c r="D925" i="61"/>
  <c r="C925" i="61"/>
  <c r="B925" i="61"/>
  <c r="A925" i="61"/>
  <c r="E924" i="61"/>
  <c r="D924" i="61"/>
  <c r="C924" i="61"/>
  <c r="B924" i="61"/>
  <c r="E923" i="61"/>
  <c r="D923" i="61"/>
  <c r="C923" i="61"/>
  <c r="B923" i="61"/>
  <c r="E922" i="61"/>
  <c r="D922" i="61"/>
  <c r="C922" i="61"/>
  <c r="B922" i="61"/>
  <c r="I921" i="61"/>
  <c r="H921" i="61"/>
  <c r="G921" i="61"/>
  <c r="E921" i="61"/>
  <c r="D921" i="61"/>
  <c r="C921" i="61"/>
  <c r="B921" i="61"/>
  <c r="A921" i="61"/>
  <c r="E920" i="61"/>
  <c r="D920" i="61"/>
  <c r="C920" i="61"/>
  <c r="B920" i="61"/>
  <c r="E919" i="61"/>
  <c r="D919" i="61"/>
  <c r="C919" i="61"/>
  <c r="B919" i="61"/>
  <c r="E918" i="61"/>
  <c r="D918" i="61"/>
  <c r="C918" i="61"/>
  <c r="B918" i="61"/>
  <c r="I917" i="61"/>
  <c r="H917" i="61"/>
  <c r="G917" i="61"/>
  <c r="E917" i="61"/>
  <c r="D917" i="61"/>
  <c r="C917" i="61"/>
  <c r="B917" i="61"/>
  <c r="A917" i="61"/>
  <c r="E916" i="61"/>
  <c r="D916" i="61"/>
  <c r="C916" i="61"/>
  <c r="B916" i="61"/>
  <c r="E915" i="61"/>
  <c r="D915" i="61"/>
  <c r="C915" i="61"/>
  <c r="B915" i="61"/>
  <c r="E914" i="61"/>
  <c r="D914" i="61"/>
  <c r="C914" i="61"/>
  <c r="B914" i="61"/>
  <c r="I913" i="61"/>
  <c r="H913" i="61"/>
  <c r="G913" i="61"/>
  <c r="E913" i="61"/>
  <c r="D913" i="61"/>
  <c r="C913" i="61"/>
  <c r="B913" i="61"/>
  <c r="A913" i="61"/>
  <c r="E912" i="61"/>
  <c r="D912" i="61"/>
  <c r="C912" i="61"/>
  <c r="B912" i="61"/>
  <c r="E911" i="61"/>
  <c r="D911" i="61"/>
  <c r="C911" i="61"/>
  <c r="B911" i="61"/>
  <c r="E910" i="61"/>
  <c r="D910" i="61"/>
  <c r="C910" i="61"/>
  <c r="B910" i="61"/>
  <c r="I909" i="61"/>
  <c r="H909" i="61"/>
  <c r="G909" i="61"/>
  <c r="E909" i="61"/>
  <c r="D909" i="61"/>
  <c r="C909" i="61"/>
  <c r="B909" i="61"/>
  <c r="A909" i="61"/>
  <c r="E908" i="61"/>
  <c r="D908" i="61"/>
  <c r="C908" i="61"/>
  <c r="B908" i="61"/>
  <c r="E907" i="61"/>
  <c r="D907" i="61"/>
  <c r="C907" i="61"/>
  <c r="B907" i="61"/>
  <c r="E906" i="61"/>
  <c r="D906" i="61"/>
  <c r="C906" i="61"/>
  <c r="B906" i="61"/>
  <c r="I905" i="61"/>
  <c r="H905" i="61"/>
  <c r="G905" i="61"/>
  <c r="E905" i="61"/>
  <c r="D905" i="61"/>
  <c r="C905" i="61"/>
  <c r="B905" i="61"/>
  <c r="A905" i="61"/>
  <c r="E904" i="61"/>
  <c r="D904" i="61"/>
  <c r="C904" i="61"/>
  <c r="B904" i="61"/>
  <c r="E903" i="61"/>
  <c r="D903" i="61"/>
  <c r="C903" i="61"/>
  <c r="B903" i="61"/>
  <c r="E902" i="61"/>
  <c r="D902" i="61"/>
  <c r="C902" i="61"/>
  <c r="B902" i="61"/>
  <c r="I901" i="61"/>
  <c r="H901" i="61"/>
  <c r="G901" i="61"/>
  <c r="E901" i="61"/>
  <c r="D901" i="61"/>
  <c r="C901" i="61"/>
  <c r="B901" i="61"/>
  <c r="A901" i="61"/>
  <c r="E900" i="61"/>
  <c r="D900" i="61"/>
  <c r="C900" i="61"/>
  <c r="B900" i="61"/>
  <c r="E899" i="61"/>
  <c r="D899" i="61"/>
  <c r="C899" i="61"/>
  <c r="B899" i="61"/>
  <c r="E898" i="61"/>
  <c r="D898" i="61"/>
  <c r="C898" i="61"/>
  <c r="B898" i="61"/>
  <c r="I897" i="61"/>
  <c r="H897" i="61"/>
  <c r="G897" i="61"/>
  <c r="E897" i="61"/>
  <c r="D897" i="61"/>
  <c r="C897" i="61"/>
  <c r="B897" i="61"/>
  <c r="A897" i="61"/>
  <c r="E896" i="61"/>
  <c r="D896" i="61"/>
  <c r="C896" i="61"/>
  <c r="B896" i="61"/>
  <c r="E895" i="61"/>
  <c r="D895" i="61"/>
  <c r="C895" i="61"/>
  <c r="B895" i="61"/>
  <c r="E894" i="61"/>
  <c r="D894" i="61"/>
  <c r="C894" i="61"/>
  <c r="B894" i="61"/>
  <c r="I893" i="61"/>
  <c r="H893" i="61"/>
  <c r="G893" i="61"/>
  <c r="E893" i="61"/>
  <c r="D893" i="61"/>
  <c r="C893" i="61"/>
  <c r="B893" i="61"/>
  <c r="A893" i="61"/>
  <c r="E892" i="61"/>
  <c r="D892" i="61"/>
  <c r="C892" i="61"/>
  <c r="B892" i="61"/>
  <c r="E891" i="61"/>
  <c r="D891" i="61"/>
  <c r="C891" i="61"/>
  <c r="B891" i="61"/>
  <c r="E890" i="61"/>
  <c r="D890" i="61"/>
  <c r="C890" i="61"/>
  <c r="B890" i="61"/>
  <c r="I889" i="61"/>
  <c r="H889" i="61"/>
  <c r="G889" i="61"/>
  <c r="E889" i="61"/>
  <c r="D889" i="61"/>
  <c r="C889" i="61"/>
  <c r="B889" i="61"/>
  <c r="A889" i="61"/>
  <c r="E888" i="61"/>
  <c r="D888" i="61"/>
  <c r="C888" i="61"/>
  <c r="B888" i="61"/>
  <c r="E887" i="61"/>
  <c r="D887" i="61"/>
  <c r="C887" i="61"/>
  <c r="B887" i="61"/>
  <c r="E886" i="61"/>
  <c r="D886" i="61"/>
  <c r="C886" i="61"/>
  <c r="B886" i="61"/>
  <c r="I885" i="61"/>
  <c r="H885" i="61"/>
  <c r="G885" i="61"/>
  <c r="E885" i="61"/>
  <c r="D885" i="61"/>
  <c r="C885" i="61"/>
  <c r="B885" i="61"/>
  <c r="A885" i="61"/>
  <c r="E884" i="61"/>
  <c r="D884" i="61"/>
  <c r="C884" i="61"/>
  <c r="B884" i="61"/>
  <c r="E883" i="61"/>
  <c r="D883" i="61"/>
  <c r="C883" i="61"/>
  <c r="B883" i="61"/>
  <c r="E882" i="61"/>
  <c r="D882" i="61"/>
  <c r="C882" i="61"/>
  <c r="B882" i="61"/>
  <c r="I881" i="61"/>
  <c r="H881" i="61"/>
  <c r="G881" i="61"/>
  <c r="E881" i="61"/>
  <c r="D881" i="61"/>
  <c r="C881" i="61"/>
  <c r="B881" i="61"/>
  <c r="A881" i="61"/>
  <c r="E880" i="61"/>
  <c r="D880" i="61"/>
  <c r="C880" i="61"/>
  <c r="B880" i="61"/>
  <c r="E879" i="61"/>
  <c r="D879" i="61"/>
  <c r="C879" i="61"/>
  <c r="B879" i="61"/>
  <c r="E878" i="61"/>
  <c r="D878" i="61"/>
  <c r="C878" i="61"/>
  <c r="B878" i="61"/>
  <c r="I877" i="61"/>
  <c r="H877" i="61"/>
  <c r="G877" i="61"/>
  <c r="E877" i="61"/>
  <c r="D877" i="61"/>
  <c r="C877" i="61"/>
  <c r="B877" i="61"/>
  <c r="A877" i="61"/>
  <c r="E876" i="61"/>
  <c r="D876" i="61"/>
  <c r="C876" i="61"/>
  <c r="B876" i="61"/>
  <c r="E875" i="61"/>
  <c r="D875" i="61"/>
  <c r="C875" i="61"/>
  <c r="B875" i="61"/>
  <c r="E874" i="61"/>
  <c r="D874" i="61"/>
  <c r="C874" i="61"/>
  <c r="B874" i="61"/>
  <c r="I873" i="61"/>
  <c r="H873" i="61"/>
  <c r="G873" i="61"/>
  <c r="E873" i="61"/>
  <c r="D873" i="61"/>
  <c r="C873" i="61"/>
  <c r="B873" i="61"/>
  <c r="A873" i="61"/>
  <c r="E872" i="61"/>
  <c r="D872" i="61"/>
  <c r="C872" i="61"/>
  <c r="B872" i="61"/>
  <c r="E871" i="61"/>
  <c r="D871" i="61"/>
  <c r="C871" i="61"/>
  <c r="B871" i="61"/>
  <c r="E870" i="61"/>
  <c r="D870" i="61"/>
  <c r="C870" i="61"/>
  <c r="B870" i="61"/>
  <c r="I869" i="61"/>
  <c r="H869" i="61"/>
  <c r="G869" i="61"/>
  <c r="E869" i="61"/>
  <c r="D869" i="61"/>
  <c r="C869" i="61"/>
  <c r="B869" i="61"/>
  <c r="A869" i="61"/>
  <c r="E868" i="61"/>
  <c r="D868" i="61"/>
  <c r="C868" i="61"/>
  <c r="B868" i="61"/>
  <c r="E867" i="61"/>
  <c r="D867" i="61"/>
  <c r="C867" i="61"/>
  <c r="B867" i="61"/>
  <c r="E866" i="61"/>
  <c r="D866" i="61"/>
  <c r="C866" i="61"/>
  <c r="B866" i="61"/>
  <c r="I865" i="61"/>
  <c r="H865" i="61"/>
  <c r="G865" i="61"/>
  <c r="E865" i="61"/>
  <c r="D865" i="61"/>
  <c r="C865" i="61"/>
  <c r="B865" i="61"/>
  <c r="A865" i="61"/>
  <c r="E864" i="61"/>
  <c r="D864" i="61"/>
  <c r="C864" i="61"/>
  <c r="B864" i="61"/>
  <c r="E863" i="61"/>
  <c r="D863" i="61"/>
  <c r="C863" i="61"/>
  <c r="B863" i="61"/>
  <c r="E862" i="61"/>
  <c r="D862" i="61"/>
  <c r="C862" i="61"/>
  <c r="B862" i="61"/>
  <c r="I861" i="61"/>
  <c r="H861" i="61"/>
  <c r="G861" i="61"/>
  <c r="E861" i="61"/>
  <c r="D861" i="61"/>
  <c r="C861" i="61"/>
  <c r="B861" i="61"/>
  <c r="A861" i="61"/>
  <c r="E860" i="61"/>
  <c r="D860" i="61"/>
  <c r="C860" i="61"/>
  <c r="B860" i="61"/>
  <c r="E859" i="61"/>
  <c r="D859" i="61"/>
  <c r="C859" i="61"/>
  <c r="B859" i="61"/>
  <c r="E858" i="61"/>
  <c r="D858" i="61"/>
  <c r="C858" i="61"/>
  <c r="B858" i="61"/>
  <c r="I857" i="61"/>
  <c r="H857" i="61"/>
  <c r="G857" i="61"/>
  <c r="E857" i="61"/>
  <c r="D857" i="61"/>
  <c r="C857" i="61"/>
  <c r="B857" i="61"/>
  <c r="A857" i="61"/>
  <c r="E856" i="61"/>
  <c r="D856" i="61"/>
  <c r="C856" i="61"/>
  <c r="B856" i="61"/>
  <c r="E855" i="61"/>
  <c r="D855" i="61"/>
  <c r="C855" i="61"/>
  <c r="B855" i="61"/>
  <c r="E854" i="61"/>
  <c r="D854" i="61"/>
  <c r="C854" i="61"/>
  <c r="B854" i="61"/>
  <c r="I853" i="61"/>
  <c r="H853" i="61"/>
  <c r="G853" i="61"/>
  <c r="E853" i="61"/>
  <c r="D853" i="61"/>
  <c r="C853" i="61"/>
  <c r="B853" i="61"/>
  <c r="A853" i="61"/>
  <c r="E852" i="61"/>
  <c r="D852" i="61"/>
  <c r="C852" i="61"/>
  <c r="B852" i="61"/>
  <c r="E851" i="61"/>
  <c r="D851" i="61"/>
  <c r="C851" i="61"/>
  <c r="B851" i="61"/>
  <c r="E850" i="61"/>
  <c r="D850" i="61"/>
  <c r="C850" i="61"/>
  <c r="B850" i="61"/>
  <c r="I849" i="61"/>
  <c r="H849" i="61"/>
  <c r="G849" i="61"/>
  <c r="E849" i="61"/>
  <c r="D849" i="61"/>
  <c r="C849" i="61"/>
  <c r="B849" i="61"/>
  <c r="A849" i="61"/>
  <c r="E848" i="61"/>
  <c r="D848" i="61"/>
  <c r="C848" i="61"/>
  <c r="B848" i="61"/>
  <c r="E847" i="61"/>
  <c r="D847" i="61"/>
  <c r="C847" i="61"/>
  <c r="B847" i="61"/>
  <c r="E846" i="61"/>
  <c r="D846" i="61"/>
  <c r="C846" i="61"/>
  <c r="B846" i="61"/>
  <c r="I845" i="61"/>
  <c r="H845" i="61"/>
  <c r="G845" i="61"/>
  <c r="E845" i="61"/>
  <c r="D845" i="61"/>
  <c r="C845" i="61"/>
  <c r="B845" i="61"/>
  <c r="A845" i="61"/>
  <c r="E844" i="61"/>
  <c r="D844" i="61"/>
  <c r="C844" i="61"/>
  <c r="B844" i="61"/>
  <c r="E843" i="61"/>
  <c r="D843" i="61"/>
  <c r="C843" i="61"/>
  <c r="B843" i="61"/>
  <c r="E842" i="61"/>
  <c r="D842" i="61"/>
  <c r="C842" i="61"/>
  <c r="B842" i="61"/>
  <c r="I841" i="61"/>
  <c r="H841" i="61"/>
  <c r="G841" i="61"/>
  <c r="E841" i="61"/>
  <c r="D841" i="61"/>
  <c r="C841" i="61"/>
  <c r="B841" i="61"/>
  <c r="A841" i="61"/>
  <c r="E840" i="61"/>
  <c r="D840" i="61"/>
  <c r="C840" i="61"/>
  <c r="B840" i="61"/>
  <c r="E839" i="61"/>
  <c r="D839" i="61"/>
  <c r="C839" i="61"/>
  <c r="B839" i="61"/>
  <c r="E838" i="61"/>
  <c r="D838" i="61"/>
  <c r="C838" i="61"/>
  <c r="B838" i="61"/>
  <c r="I837" i="61"/>
  <c r="H837" i="61"/>
  <c r="G837" i="61"/>
  <c r="E837" i="61"/>
  <c r="D837" i="61"/>
  <c r="C837" i="61"/>
  <c r="B837" i="61"/>
  <c r="A837" i="61"/>
  <c r="E836" i="61"/>
  <c r="D836" i="61"/>
  <c r="C836" i="61"/>
  <c r="B836" i="61"/>
  <c r="E835" i="61"/>
  <c r="D835" i="61"/>
  <c r="C835" i="61"/>
  <c r="B835" i="61"/>
  <c r="E834" i="61"/>
  <c r="D834" i="61"/>
  <c r="C834" i="61"/>
  <c r="B834" i="61"/>
  <c r="I833" i="61"/>
  <c r="H833" i="61"/>
  <c r="G833" i="61"/>
  <c r="E833" i="61"/>
  <c r="D833" i="61"/>
  <c r="C833" i="61"/>
  <c r="B833" i="61"/>
  <c r="A833" i="61"/>
  <c r="E832" i="61"/>
  <c r="D832" i="61"/>
  <c r="C832" i="61"/>
  <c r="B832" i="61"/>
  <c r="E831" i="61"/>
  <c r="D831" i="61"/>
  <c r="C831" i="61"/>
  <c r="B831" i="61"/>
  <c r="E830" i="61"/>
  <c r="D830" i="61"/>
  <c r="C830" i="61"/>
  <c r="B830" i="61"/>
  <c r="I829" i="61"/>
  <c r="H829" i="61"/>
  <c r="G829" i="61"/>
  <c r="E829" i="61"/>
  <c r="D829" i="61"/>
  <c r="C829" i="61"/>
  <c r="B829" i="61"/>
  <c r="A829" i="61"/>
  <c r="E828" i="61"/>
  <c r="D828" i="61"/>
  <c r="C828" i="61"/>
  <c r="B828" i="61"/>
  <c r="E827" i="61"/>
  <c r="D827" i="61"/>
  <c r="C827" i="61"/>
  <c r="B827" i="61"/>
  <c r="E826" i="61"/>
  <c r="D826" i="61"/>
  <c r="C826" i="61"/>
  <c r="B826" i="61"/>
  <c r="I825" i="61"/>
  <c r="H825" i="61"/>
  <c r="G825" i="61"/>
  <c r="E825" i="61"/>
  <c r="D825" i="61"/>
  <c r="C825" i="61"/>
  <c r="B825" i="61"/>
  <c r="A825" i="61"/>
  <c r="E824" i="61"/>
  <c r="D824" i="61"/>
  <c r="C824" i="61"/>
  <c r="B824" i="61"/>
  <c r="E823" i="61"/>
  <c r="D823" i="61"/>
  <c r="C823" i="61"/>
  <c r="B823" i="61"/>
  <c r="E822" i="61"/>
  <c r="D822" i="61"/>
  <c r="C822" i="61"/>
  <c r="B822" i="61"/>
  <c r="I821" i="61"/>
  <c r="G821" i="61"/>
  <c r="E821" i="61"/>
  <c r="D821" i="61"/>
  <c r="C821" i="61"/>
  <c r="B821" i="61"/>
  <c r="A821" i="61"/>
  <c r="H821" i="61" s="1"/>
  <c r="E820" i="61"/>
  <c r="D820" i="61"/>
  <c r="C820" i="61"/>
  <c r="B820" i="61"/>
  <c r="E819" i="61"/>
  <c r="D819" i="61"/>
  <c r="C819" i="61"/>
  <c r="B819" i="61"/>
  <c r="E818" i="61"/>
  <c r="D818" i="61"/>
  <c r="C818" i="61"/>
  <c r="B818" i="61"/>
  <c r="I817" i="61"/>
  <c r="H817" i="61"/>
  <c r="G817" i="61"/>
  <c r="E817" i="61"/>
  <c r="D817" i="61"/>
  <c r="C817" i="61"/>
  <c r="B817" i="61"/>
  <c r="A817" i="61"/>
  <c r="E816" i="61"/>
  <c r="D816" i="61"/>
  <c r="C816" i="61"/>
  <c r="B816" i="61"/>
  <c r="E815" i="61"/>
  <c r="D815" i="61"/>
  <c r="C815" i="61"/>
  <c r="B815" i="61"/>
  <c r="E814" i="61"/>
  <c r="D814" i="61"/>
  <c r="C814" i="61"/>
  <c r="B814" i="61"/>
  <c r="I813" i="61"/>
  <c r="H813" i="61"/>
  <c r="G813" i="61"/>
  <c r="E813" i="61"/>
  <c r="D813" i="61"/>
  <c r="C813" i="61"/>
  <c r="B813" i="61"/>
  <c r="A813" i="61"/>
  <c r="E812" i="61"/>
  <c r="D812" i="61"/>
  <c r="C812" i="61"/>
  <c r="B812" i="61"/>
  <c r="E811" i="61"/>
  <c r="D811" i="61"/>
  <c r="C811" i="61"/>
  <c r="B811" i="61"/>
  <c r="E810" i="61"/>
  <c r="D810" i="61"/>
  <c r="C810" i="61"/>
  <c r="B810" i="61"/>
  <c r="I809" i="61"/>
  <c r="H809" i="61"/>
  <c r="G809" i="61"/>
  <c r="E809" i="61"/>
  <c r="D809" i="61"/>
  <c r="C809" i="61"/>
  <c r="B809" i="61"/>
  <c r="A809" i="61"/>
  <c r="E808" i="61"/>
  <c r="D808" i="61"/>
  <c r="C808" i="61"/>
  <c r="B808" i="61"/>
  <c r="E807" i="61"/>
  <c r="D807" i="61"/>
  <c r="C807" i="61"/>
  <c r="B807" i="61"/>
  <c r="E806" i="61"/>
  <c r="D806" i="61"/>
  <c r="C806" i="61"/>
  <c r="B806" i="61"/>
  <c r="I805" i="61"/>
  <c r="H805" i="61"/>
  <c r="G805" i="61"/>
  <c r="E805" i="61"/>
  <c r="D805" i="61"/>
  <c r="C805" i="61"/>
  <c r="B805" i="61"/>
  <c r="A805" i="61"/>
  <c r="E804" i="61"/>
  <c r="D804" i="61"/>
  <c r="C804" i="61"/>
  <c r="B804" i="61"/>
  <c r="E803" i="61"/>
  <c r="D803" i="61"/>
  <c r="C803" i="61"/>
  <c r="B803" i="61"/>
  <c r="E802" i="61"/>
  <c r="D802" i="61"/>
  <c r="C802" i="61"/>
  <c r="B802" i="61"/>
  <c r="I801" i="61"/>
  <c r="H801" i="61"/>
  <c r="G801" i="61"/>
  <c r="E801" i="61"/>
  <c r="D801" i="61"/>
  <c r="C801" i="61"/>
  <c r="B801" i="61"/>
  <c r="A801" i="61"/>
  <c r="E800" i="61"/>
  <c r="D800" i="61"/>
  <c r="C800" i="61"/>
  <c r="B800" i="61"/>
  <c r="E799" i="61"/>
  <c r="D799" i="61"/>
  <c r="C799" i="61"/>
  <c r="B799" i="61"/>
  <c r="E798" i="61"/>
  <c r="D798" i="61"/>
  <c r="C798" i="61"/>
  <c r="B798" i="61"/>
  <c r="I797" i="61"/>
  <c r="H797" i="61"/>
  <c r="G797" i="61"/>
  <c r="E797" i="61"/>
  <c r="D797" i="61"/>
  <c r="C797" i="61"/>
  <c r="B797" i="61"/>
  <c r="A797" i="61"/>
  <c r="E796" i="61"/>
  <c r="D796" i="61"/>
  <c r="C796" i="61"/>
  <c r="B796" i="61"/>
  <c r="E795" i="61"/>
  <c r="D795" i="61"/>
  <c r="C795" i="61"/>
  <c r="B795" i="61"/>
  <c r="E794" i="61"/>
  <c r="D794" i="61"/>
  <c r="C794" i="61"/>
  <c r="B794" i="61"/>
  <c r="I793" i="61"/>
  <c r="H793" i="61"/>
  <c r="G793" i="61"/>
  <c r="E793" i="61"/>
  <c r="D793" i="61"/>
  <c r="C793" i="61"/>
  <c r="B793" i="61"/>
  <c r="A793" i="61"/>
  <c r="E792" i="61"/>
  <c r="D792" i="61"/>
  <c r="C792" i="61"/>
  <c r="B792" i="61"/>
  <c r="E791" i="61"/>
  <c r="D791" i="61"/>
  <c r="C791" i="61"/>
  <c r="B791" i="61"/>
  <c r="E790" i="61"/>
  <c r="D790" i="61"/>
  <c r="C790" i="61"/>
  <c r="B790" i="61"/>
  <c r="I789" i="61"/>
  <c r="H789" i="61"/>
  <c r="G789" i="61"/>
  <c r="E789" i="61"/>
  <c r="D789" i="61"/>
  <c r="C789" i="61"/>
  <c r="B789" i="61"/>
  <c r="A789" i="61"/>
  <c r="E788" i="61"/>
  <c r="D788" i="61"/>
  <c r="C788" i="61"/>
  <c r="B788" i="61"/>
  <c r="E787" i="61"/>
  <c r="D787" i="61"/>
  <c r="C787" i="61"/>
  <c r="B787" i="61"/>
  <c r="E786" i="61"/>
  <c r="D786" i="61"/>
  <c r="C786" i="61"/>
  <c r="B786" i="61"/>
  <c r="H785" i="61"/>
  <c r="G785" i="61"/>
  <c r="E785" i="61"/>
  <c r="D785" i="61"/>
  <c r="C785" i="61"/>
  <c r="B785" i="61"/>
  <c r="A785" i="61"/>
  <c r="I785" i="61" s="1"/>
  <c r="E784" i="61"/>
  <c r="D784" i="61"/>
  <c r="C784" i="61"/>
  <c r="B784" i="61"/>
  <c r="E783" i="61"/>
  <c r="D783" i="61"/>
  <c r="C783" i="61"/>
  <c r="B783" i="61"/>
  <c r="E782" i="61"/>
  <c r="D782" i="61"/>
  <c r="C782" i="61"/>
  <c r="B782" i="61"/>
  <c r="I781" i="61"/>
  <c r="H781" i="61"/>
  <c r="G781" i="61"/>
  <c r="E781" i="61"/>
  <c r="D781" i="61"/>
  <c r="C781" i="61"/>
  <c r="B781" i="61"/>
  <c r="A781" i="61"/>
  <c r="E780" i="61"/>
  <c r="D780" i="61"/>
  <c r="C780" i="61"/>
  <c r="B780" i="61"/>
  <c r="E779" i="61"/>
  <c r="D779" i="61"/>
  <c r="C779" i="61"/>
  <c r="B779" i="61"/>
  <c r="E778" i="61"/>
  <c r="D778" i="61"/>
  <c r="C778" i="61"/>
  <c r="B778" i="61"/>
  <c r="I777" i="61"/>
  <c r="H777" i="61"/>
  <c r="G777" i="61"/>
  <c r="E777" i="61"/>
  <c r="D777" i="61"/>
  <c r="C777" i="61"/>
  <c r="B777" i="61"/>
  <c r="A777" i="61"/>
  <c r="E776" i="61"/>
  <c r="D776" i="61"/>
  <c r="C776" i="61"/>
  <c r="B776" i="61"/>
  <c r="E775" i="61"/>
  <c r="D775" i="61"/>
  <c r="C775" i="61"/>
  <c r="B775" i="61"/>
  <c r="E774" i="61"/>
  <c r="D774" i="61"/>
  <c r="C774" i="61"/>
  <c r="B774" i="61"/>
  <c r="I773" i="61"/>
  <c r="H773" i="61"/>
  <c r="G773" i="61"/>
  <c r="E773" i="61"/>
  <c r="D773" i="61"/>
  <c r="C773" i="61"/>
  <c r="B773" i="61"/>
  <c r="A773" i="61"/>
  <c r="E772" i="61"/>
  <c r="D772" i="61"/>
  <c r="C772" i="61"/>
  <c r="B772" i="61"/>
  <c r="E771" i="61"/>
  <c r="D771" i="61"/>
  <c r="C771" i="61"/>
  <c r="B771" i="61"/>
  <c r="E770" i="61"/>
  <c r="D770" i="61"/>
  <c r="C770" i="61"/>
  <c r="B770" i="61"/>
  <c r="I769" i="61"/>
  <c r="H769" i="61"/>
  <c r="G769" i="61"/>
  <c r="E769" i="61"/>
  <c r="D769" i="61"/>
  <c r="C769" i="61"/>
  <c r="B769" i="61"/>
  <c r="A769" i="61"/>
  <c r="E768" i="61"/>
  <c r="D768" i="61"/>
  <c r="C768" i="61"/>
  <c r="B768" i="61"/>
  <c r="E767" i="61"/>
  <c r="D767" i="61"/>
  <c r="C767" i="61"/>
  <c r="B767" i="61"/>
  <c r="E766" i="61"/>
  <c r="D766" i="61"/>
  <c r="C766" i="61"/>
  <c r="B766" i="61"/>
  <c r="I765" i="61"/>
  <c r="H765" i="61"/>
  <c r="G765" i="61"/>
  <c r="E765" i="61"/>
  <c r="D765" i="61"/>
  <c r="C765" i="61"/>
  <c r="B765" i="61"/>
  <c r="A765" i="61"/>
  <c r="E764" i="61"/>
  <c r="D764" i="61"/>
  <c r="C764" i="61"/>
  <c r="B764" i="61"/>
  <c r="E763" i="61"/>
  <c r="D763" i="61"/>
  <c r="C763" i="61"/>
  <c r="B763" i="61"/>
  <c r="E762" i="61"/>
  <c r="D762" i="61"/>
  <c r="C762" i="61"/>
  <c r="B762" i="61"/>
  <c r="I761" i="61"/>
  <c r="H761" i="61"/>
  <c r="G761" i="61"/>
  <c r="E761" i="61"/>
  <c r="D761" i="61"/>
  <c r="C761" i="61"/>
  <c r="B761" i="61"/>
  <c r="A761" i="61"/>
  <c r="E760" i="61"/>
  <c r="D760" i="61"/>
  <c r="C760" i="61"/>
  <c r="B760" i="61"/>
  <c r="E759" i="61"/>
  <c r="D759" i="61"/>
  <c r="C759" i="61"/>
  <c r="B759" i="61"/>
  <c r="E758" i="61"/>
  <c r="D758" i="61"/>
  <c r="C758" i="61"/>
  <c r="B758" i="61"/>
  <c r="I757" i="61"/>
  <c r="H757" i="61"/>
  <c r="G757" i="61"/>
  <c r="E757" i="61"/>
  <c r="D757" i="61"/>
  <c r="C757" i="61"/>
  <c r="B757" i="61"/>
  <c r="A757" i="61"/>
  <c r="E756" i="61"/>
  <c r="D756" i="61"/>
  <c r="C756" i="61"/>
  <c r="B756" i="61"/>
  <c r="E755" i="61"/>
  <c r="D755" i="61"/>
  <c r="C755" i="61"/>
  <c r="B755" i="61"/>
  <c r="E754" i="61"/>
  <c r="D754" i="61"/>
  <c r="C754" i="61"/>
  <c r="B754" i="61"/>
  <c r="I753" i="61"/>
  <c r="H753" i="61"/>
  <c r="G753" i="61"/>
  <c r="E753" i="61"/>
  <c r="D753" i="61"/>
  <c r="C753" i="61"/>
  <c r="B753" i="61"/>
  <c r="A753" i="61"/>
  <c r="E752" i="61"/>
  <c r="D752" i="61"/>
  <c r="C752" i="61"/>
  <c r="B752" i="61"/>
  <c r="E751" i="61"/>
  <c r="D751" i="61"/>
  <c r="C751" i="61"/>
  <c r="B751" i="61"/>
  <c r="E750" i="61"/>
  <c r="D750" i="61"/>
  <c r="C750" i="61"/>
  <c r="B750" i="61"/>
  <c r="I749" i="61"/>
  <c r="H749" i="61"/>
  <c r="G749" i="61"/>
  <c r="E749" i="61"/>
  <c r="D749" i="61"/>
  <c r="C749" i="61"/>
  <c r="B749" i="61"/>
  <c r="A749" i="61"/>
  <c r="E748" i="61"/>
  <c r="D748" i="61"/>
  <c r="C748" i="61"/>
  <c r="B748" i="61"/>
  <c r="E747" i="61"/>
  <c r="D747" i="61"/>
  <c r="C747" i="61"/>
  <c r="B747" i="61"/>
  <c r="E746" i="61"/>
  <c r="D746" i="61"/>
  <c r="C746" i="61"/>
  <c r="B746" i="61"/>
  <c r="I745" i="61"/>
  <c r="H745" i="61"/>
  <c r="G745" i="61"/>
  <c r="E745" i="61"/>
  <c r="D745" i="61"/>
  <c r="C745" i="61"/>
  <c r="B745" i="61"/>
  <c r="A745" i="61"/>
  <c r="E744" i="61"/>
  <c r="D744" i="61"/>
  <c r="C744" i="61"/>
  <c r="B744" i="61"/>
  <c r="E743" i="61"/>
  <c r="D743" i="61"/>
  <c r="C743" i="61"/>
  <c r="B743" i="61"/>
  <c r="E742" i="61"/>
  <c r="D742" i="61"/>
  <c r="C742" i="61"/>
  <c r="B742" i="61"/>
  <c r="I741" i="61"/>
  <c r="H741" i="61"/>
  <c r="G741" i="61"/>
  <c r="E741" i="61"/>
  <c r="D741" i="61"/>
  <c r="C741" i="61"/>
  <c r="B741" i="61"/>
  <c r="A741" i="61"/>
  <c r="E740" i="61"/>
  <c r="D740" i="61"/>
  <c r="C740" i="61"/>
  <c r="B740" i="61"/>
  <c r="E739" i="61"/>
  <c r="D739" i="61"/>
  <c r="C739" i="61"/>
  <c r="B739" i="61"/>
  <c r="E738" i="61"/>
  <c r="D738" i="61"/>
  <c r="C738" i="61"/>
  <c r="B738" i="61"/>
  <c r="I737" i="61"/>
  <c r="H737" i="61"/>
  <c r="G737" i="61"/>
  <c r="E737" i="61"/>
  <c r="D737" i="61"/>
  <c r="C737" i="61"/>
  <c r="B737" i="61"/>
  <c r="A737" i="61"/>
  <c r="E736" i="61"/>
  <c r="D736" i="61"/>
  <c r="C736" i="61"/>
  <c r="B736" i="61"/>
  <c r="E735" i="61"/>
  <c r="D735" i="61"/>
  <c r="C735" i="61"/>
  <c r="B735" i="61"/>
  <c r="E734" i="61"/>
  <c r="D734" i="61"/>
  <c r="C734" i="61"/>
  <c r="B734" i="61"/>
  <c r="I733" i="61"/>
  <c r="H733" i="61"/>
  <c r="G733" i="61"/>
  <c r="E733" i="61"/>
  <c r="D733" i="61"/>
  <c r="C733" i="61"/>
  <c r="B733" i="61"/>
  <c r="A733" i="61"/>
  <c r="E732" i="61"/>
  <c r="D732" i="61"/>
  <c r="C732" i="61"/>
  <c r="B732" i="61"/>
  <c r="E731" i="61"/>
  <c r="D731" i="61"/>
  <c r="C731" i="61"/>
  <c r="B731" i="61"/>
  <c r="E730" i="61"/>
  <c r="D730" i="61"/>
  <c r="C730" i="61"/>
  <c r="B730" i="61"/>
  <c r="I729" i="61"/>
  <c r="H729" i="61"/>
  <c r="G729" i="61"/>
  <c r="E729" i="61"/>
  <c r="D729" i="61"/>
  <c r="C729" i="61"/>
  <c r="B729" i="61"/>
  <c r="A729" i="61"/>
  <c r="E728" i="61"/>
  <c r="D728" i="61"/>
  <c r="C728" i="61"/>
  <c r="B728" i="61"/>
  <c r="E727" i="61"/>
  <c r="D727" i="61"/>
  <c r="C727" i="61"/>
  <c r="B727" i="61"/>
  <c r="E726" i="61"/>
  <c r="D726" i="61"/>
  <c r="C726" i="61"/>
  <c r="B726" i="61"/>
  <c r="I725" i="61"/>
  <c r="H725" i="61"/>
  <c r="G725" i="61"/>
  <c r="E725" i="61"/>
  <c r="D725" i="61"/>
  <c r="C725" i="61"/>
  <c r="B725" i="61"/>
  <c r="A725" i="61"/>
  <c r="E724" i="61"/>
  <c r="D724" i="61"/>
  <c r="C724" i="61"/>
  <c r="B724" i="61"/>
  <c r="E723" i="61"/>
  <c r="D723" i="61"/>
  <c r="C723" i="61"/>
  <c r="B723" i="61"/>
  <c r="E722" i="61"/>
  <c r="D722" i="61"/>
  <c r="C722" i="61"/>
  <c r="B722" i="61"/>
  <c r="I721" i="61"/>
  <c r="H721" i="61"/>
  <c r="G721" i="61"/>
  <c r="E721" i="61"/>
  <c r="D721" i="61"/>
  <c r="C721" i="61"/>
  <c r="B721" i="61"/>
  <c r="A721" i="61"/>
  <c r="E720" i="61"/>
  <c r="D720" i="61"/>
  <c r="C720" i="61"/>
  <c r="B720" i="61"/>
  <c r="E719" i="61"/>
  <c r="D719" i="61"/>
  <c r="C719" i="61"/>
  <c r="B719" i="61"/>
  <c r="E718" i="61"/>
  <c r="D718" i="61"/>
  <c r="C718" i="61"/>
  <c r="B718" i="61"/>
  <c r="I717" i="61"/>
  <c r="H717" i="61"/>
  <c r="G717" i="61"/>
  <c r="E717" i="61"/>
  <c r="D717" i="61"/>
  <c r="C717" i="61"/>
  <c r="B717" i="61"/>
  <c r="A717" i="61"/>
  <c r="E716" i="61"/>
  <c r="D716" i="61"/>
  <c r="C716" i="61"/>
  <c r="B716" i="61"/>
  <c r="E715" i="61"/>
  <c r="D715" i="61"/>
  <c r="C715" i="61"/>
  <c r="B715" i="61"/>
  <c r="E714" i="61"/>
  <c r="D714" i="61"/>
  <c r="C714" i="61"/>
  <c r="B714" i="61"/>
  <c r="I713" i="61"/>
  <c r="G713" i="61"/>
  <c r="E713" i="61"/>
  <c r="D713" i="61"/>
  <c r="C713" i="61"/>
  <c r="B713" i="61"/>
  <c r="A713" i="61"/>
  <c r="H713" i="61" s="1"/>
  <c r="E712" i="61"/>
  <c r="D712" i="61"/>
  <c r="C712" i="61"/>
  <c r="B712" i="61"/>
  <c r="E711" i="61"/>
  <c r="D711" i="61"/>
  <c r="C711" i="61"/>
  <c r="B711" i="61"/>
  <c r="E710" i="61"/>
  <c r="D710" i="61"/>
  <c r="C710" i="61"/>
  <c r="B710" i="61"/>
  <c r="I709" i="61"/>
  <c r="H709" i="61"/>
  <c r="G709" i="61"/>
  <c r="E709" i="61"/>
  <c r="D709" i="61"/>
  <c r="C709" i="61"/>
  <c r="B709" i="61"/>
  <c r="A709" i="61"/>
  <c r="E708" i="61"/>
  <c r="D708" i="61"/>
  <c r="C708" i="61"/>
  <c r="B708" i="61"/>
  <c r="E707" i="61"/>
  <c r="D707" i="61"/>
  <c r="C707" i="61"/>
  <c r="B707" i="61"/>
  <c r="E706" i="61"/>
  <c r="D706" i="61"/>
  <c r="C706" i="61"/>
  <c r="B706" i="61"/>
  <c r="I705" i="61"/>
  <c r="H705" i="61"/>
  <c r="G705" i="61"/>
  <c r="E705" i="61"/>
  <c r="D705" i="61"/>
  <c r="C705" i="61"/>
  <c r="B705" i="61"/>
  <c r="A705" i="61"/>
  <c r="E704" i="61"/>
  <c r="D704" i="61"/>
  <c r="C704" i="61"/>
  <c r="B704" i="61"/>
  <c r="E703" i="61"/>
  <c r="D703" i="61"/>
  <c r="C703" i="61"/>
  <c r="B703" i="61"/>
  <c r="E702" i="61"/>
  <c r="D702" i="61"/>
  <c r="C702" i="61"/>
  <c r="B702" i="61"/>
  <c r="I701" i="61"/>
  <c r="H701" i="61"/>
  <c r="G701" i="61"/>
  <c r="E701" i="61"/>
  <c r="D701" i="61"/>
  <c r="C701" i="61"/>
  <c r="B701" i="61"/>
  <c r="A701" i="61"/>
  <c r="E700" i="61"/>
  <c r="D700" i="61"/>
  <c r="C700" i="61"/>
  <c r="B700" i="61"/>
  <c r="E699" i="61"/>
  <c r="D699" i="61"/>
  <c r="C699" i="61"/>
  <c r="B699" i="61"/>
  <c r="E698" i="61"/>
  <c r="D698" i="61"/>
  <c r="C698" i="61"/>
  <c r="B698" i="61"/>
  <c r="I697" i="61"/>
  <c r="H697" i="61"/>
  <c r="G697" i="61"/>
  <c r="E697" i="61"/>
  <c r="D697" i="61"/>
  <c r="C697" i="61"/>
  <c r="B697" i="61"/>
  <c r="A697" i="61"/>
  <c r="E696" i="61"/>
  <c r="D696" i="61"/>
  <c r="C696" i="61"/>
  <c r="B696" i="61"/>
  <c r="E695" i="61"/>
  <c r="D695" i="61"/>
  <c r="C695" i="61"/>
  <c r="B695" i="61"/>
  <c r="E694" i="61"/>
  <c r="D694" i="61"/>
  <c r="C694" i="61"/>
  <c r="B694" i="61"/>
  <c r="I693" i="61"/>
  <c r="H693" i="61"/>
  <c r="G693" i="61"/>
  <c r="E693" i="61"/>
  <c r="D693" i="61"/>
  <c r="C693" i="61"/>
  <c r="B693" i="61"/>
  <c r="A693" i="61"/>
  <c r="E692" i="61"/>
  <c r="D692" i="61"/>
  <c r="C692" i="61"/>
  <c r="B692" i="61"/>
  <c r="E691" i="61"/>
  <c r="D691" i="61"/>
  <c r="C691" i="61"/>
  <c r="B691" i="61"/>
  <c r="E690" i="61"/>
  <c r="D690" i="61"/>
  <c r="C690" i="61"/>
  <c r="B690" i="61"/>
  <c r="I689" i="61"/>
  <c r="H689" i="61"/>
  <c r="G689" i="61"/>
  <c r="E689" i="61"/>
  <c r="D689" i="61"/>
  <c r="C689" i="61"/>
  <c r="B689" i="61"/>
  <c r="A689" i="61"/>
  <c r="E688" i="61"/>
  <c r="D688" i="61"/>
  <c r="C688" i="61"/>
  <c r="B688" i="61"/>
  <c r="E687" i="61"/>
  <c r="D687" i="61"/>
  <c r="C687" i="61"/>
  <c r="B687" i="61"/>
  <c r="E686" i="61"/>
  <c r="D686" i="61"/>
  <c r="C686" i="61"/>
  <c r="B686" i="61"/>
  <c r="I685" i="61"/>
  <c r="H685" i="61"/>
  <c r="G685" i="61"/>
  <c r="E685" i="61"/>
  <c r="D685" i="61"/>
  <c r="C685" i="61"/>
  <c r="B685" i="61"/>
  <c r="A685" i="61"/>
  <c r="E684" i="61"/>
  <c r="D684" i="61"/>
  <c r="C684" i="61"/>
  <c r="B684" i="61"/>
  <c r="E683" i="61"/>
  <c r="D683" i="61"/>
  <c r="C683" i="61"/>
  <c r="B683" i="61"/>
  <c r="E682" i="61"/>
  <c r="D682" i="61"/>
  <c r="C682" i="61"/>
  <c r="B682" i="61"/>
  <c r="I681" i="61"/>
  <c r="H681" i="61"/>
  <c r="G681" i="61"/>
  <c r="E681" i="61"/>
  <c r="D681" i="61"/>
  <c r="C681" i="61"/>
  <c r="B681" i="61"/>
  <c r="A681" i="61"/>
  <c r="E680" i="61"/>
  <c r="D680" i="61"/>
  <c r="C680" i="61"/>
  <c r="B680" i="61"/>
  <c r="E679" i="61"/>
  <c r="D679" i="61"/>
  <c r="C679" i="61"/>
  <c r="B679" i="61"/>
  <c r="E678" i="61"/>
  <c r="D678" i="61"/>
  <c r="C678" i="61"/>
  <c r="B678" i="61"/>
  <c r="I677" i="61"/>
  <c r="H677" i="61"/>
  <c r="G677" i="61"/>
  <c r="E677" i="61"/>
  <c r="D677" i="61"/>
  <c r="C677" i="61"/>
  <c r="B677" i="61"/>
  <c r="A677" i="61"/>
  <c r="E676" i="61"/>
  <c r="D676" i="61"/>
  <c r="C676" i="61"/>
  <c r="B676" i="61"/>
  <c r="E675" i="61"/>
  <c r="D675" i="61"/>
  <c r="C675" i="61"/>
  <c r="B675" i="61"/>
  <c r="E674" i="61"/>
  <c r="D674" i="61"/>
  <c r="C674" i="61"/>
  <c r="B674" i="61"/>
  <c r="I673" i="61"/>
  <c r="H673" i="61"/>
  <c r="G673" i="61"/>
  <c r="E673" i="61"/>
  <c r="D673" i="61"/>
  <c r="C673" i="61"/>
  <c r="B673" i="61"/>
  <c r="A673" i="61"/>
  <c r="E672" i="61"/>
  <c r="D672" i="61"/>
  <c r="C672" i="61"/>
  <c r="B672" i="61"/>
  <c r="E671" i="61"/>
  <c r="D671" i="61"/>
  <c r="C671" i="61"/>
  <c r="B671" i="61"/>
  <c r="E670" i="61"/>
  <c r="D670" i="61"/>
  <c r="C670" i="61"/>
  <c r="B670" i="61"/>
  <c r="I669" i="61"/>
  <c r="H669" i="61"/>
  <c r="G669" i="61"/>
  <c r="E669" i="61"/>
  <c r="D669" i="61"/>
  <c r="C669" i="61"/>
  <c r="B669" i="61"/>
  <c r="A669" i="61"/>
  <c r="E668" i="61"/>
  <c r="D668" i="61"/>
  <c r="C668" i="61"/>
  <c r="B668" i="61"/>
  <c r="E667" i="61"/>
  <c r="D667" i="61"/>
  <c r="C667" i="61"/>
  <c r="B667" i="61"/>
  <c r="E666" i="61"/>
  <c r="D666" i="61"/>
  <c r="C666" i="61"/>
  <c r="B666" i="61"/>
  <c r="I665" i="61"/>
  <c r="H665" i="61"/>
  <c r="G665" i="61"/>
  <c r="E665" i="61"/>
  <c r="D665" i="61"/>
  <c r="C665" i="61"/>
  <c r="B665" i="61"/>
  <c r="A665" i="61"/>
  <c r="E664" i="61"/>
  <c r="D664" i="61"/>
  <c r="C664" i="61"/>
  <c r="B664" i="61"/>
  <c r="E663" i="61"/>
  <c r="D663" i="61"/>
  <c r="C663" i="61"/>
  <c r="B663" i="61"/>
  <c r="E662" i="61"/>
  <c r="D662" i="61"/>
  <c r="C662" i="61"/>
  <c r="B662" i="61"/>
  <c r="I661" i="61"/>
  <c r="H661" i="61"/>
  <c r="G661" i="61"/>
  <c r="E661" i="61"/>
  <c r="D661" i="61"/>
  <c r="C661" i="61"/>
  <c r="B661" i="61"/>
  <c r="A661" i="61"/>
  <c r="E660" i="61"/>
  <c r="D660" i="61"/>
  <c r="C660" i="61"/>
  <c r="B660" i="61"/>
  <c r="E659" i="61"/>
  <c r="D659" i="61"/>
  <c r="C659" i="61"/>
  <c r="B659" i="61"/>
  <c r="E658" i="61"/>
  <c r="D658" i="61"/>
  <c r="C658" i="61"/>
  <c r="B658" i="61"/>
  <c r="I657" i="61"/>
  <c r="H657" i="61"/>
  <c r="G657" i="61"/>
  <c r="E657" i="61"/>
  <c r="D657" i="61"/>
  <c r="C657" i="61"/>
  <c r="B657" i="61"/>
  <c r="A657" i="61"/>
  <c r="E656" i="61"/>
  <c r="D656" i="61"/>
  <c r="C656" i="61"/>
  <c r="B656" i="61"/>
  <c r="E655" i="61"/>
  <c r="D655" i="61"/>
  <c r="C655" i="61"/>
  <c r="B655" i="61"/>
  <c r="E654" i="61"/>
  <c r="D654" i="61"/>
  <c r="C654" i="61"/>
  <c r="B654" i="61"/>
  <c r="I653" i="61"/>
  <c r="H653" i="61"/>
  <c r="G653" i="61"/>
  <c r="E653" i="61"/>
  <c r="D653" i="61"/>
  <c r="C653" i="61"/>
  <c r="B653" i="61"/>
  <c r="A653" i="61"/>
  <c r="E652" i="61"/>
  <c r="D652" i="61"/>
  <c r="C652" i="61"/>
  <c r="B652" i="61"/>
  <c r="E651" i="61"/>
  <c r="D651" i="61"/>
  <c r="C651" i="61"/>
  <c r="B651" i="61"/>
  <c r="E650" i="61"/>
  <c r="D650" i="61"/>
  <c r="C650" i="61"/>
  <c r="B650" i="61"/>
  <c r="I649" i="61"/>
  <c r="H649" i="61"/>
  <c r="G649" i="61"/>
  <c r="E649" i="61"/>
  <c r="D649" i="61"/>
  <c r="C649" i="61"/>
  <c r="B649" i="61"/>
  <c r="A649" i="61"/>
  <c r="E648" i="61"/>
  <c r="D648" i="61"/>
  <c r="C648" i="61"/>
  <c r="B648" i="61"/>
  <c r="E647" i="61"/>
  <c r="D647" i="61"/>
  <c r="C647" i="61"/>
  <c r="B647" i="61"/>
  <c r="E646" i="61"/>
  <c r="D646" i="61"/>
  <c r="C646" i="61"/>
  <c r="B646" i="61"/>
  <c r="I645" i="61"/>
  <c r="H645" i="61"/>
  <c r="G645" i="61"/>
  <c r="E645" i="61"/>
  <c r="D645" i="61"/>
  <c r="C645" i="61"/>
  <c r="B645" i="61"/>
  <c r="A645" i="61"/>
  <c r="E644" i="61"/>
  <c r="D644" i="61"/>
  <c r="C644" i="61"/>
  <c r="B644" i="61"/>
  <c r="E643" i="61"/>
  <c r="D643" i="61"/>
  <c r="C643" i="61"/>
  <c r="B643" i="61"/>
  <c r="E642" i="61"/>
  <c r="D642" i="61"/>
  <c r="C642" i="61"/>
  <c r="B642" i="61"/>
  <c r="I641" i="61"/>
  <c r="H641" i="61"/>
  <c r="G641" i="61"/>
  <c r="E641" i="61"/>
  <c r="D641" i="61"/>
  <c r="C641" i="61"/>
  <c r="B641" i="61"/>
  <c r="A641" i="61"/>
  <c r="E640" i="61"/>
  <c r="D640" i="61"/>
  <c r="C640" i="61"/>
  <c r="B640" i="61"/>
  <c r="E639" i="61"/>
  <c r="D639" i="61"/>
  <c r="C639" i="61"/>
  <c r="B639" i="61"/>
  <c r="E638" i="61"/>
  <c r="D638" i="61"/>
  <c r="C638" i="61"/>
  <c r="B638" i="61"/>
  <c r="I637" i="61"/>
  <c r="H637" i="61"/>
  <c r="G637" i="61"/>
  <c r="E637" i="61"/>
  <c r="D637" i="61"/>
  <c r="C637" i="61"/>
  <c r="B637" i="61"/>
  <c r="A637" i="61"/>
  <c r="E636" i="61"/>
  <c r="D636" i="61"/>
  <c r="C636" i="61"/>
  <c r="B636" i="61"/>
  <c r="E635" i="61"/>
  <c r="D635" i="61"/>
  <c r="C635" i="61"/>
  <c r="B635" i="61"/>
  <c r="E634" i="61"/>
  <c r="D634" i="61"/>
  <c r="C634" i="61"/>
  <c r="B634" i="61"/>
  <c r="I633" i="61"/>
  <c r="H633" i="61"/>
  <c r="G633" i="61"/>
  <c r="E633" i="61"/>
  <c r="D633" i="61"/>
  <c r="C633" i="61"/>
  <c r="B633" i="61"/>
  <c r="A633" i="61"/>
  <c r="E632" i="61"/>
  <c r="D632" i="61"/>
  <c r="C632" i="61"/>
  <c r="B632" i="61"/>
  <c r="E631" i="61"/>
  <c r="D631" i="61"/>
  <c r="C631" i="61"/>
  <c r="B631" i="61"/>
  <c r="E630" i="61"/>
  <c r="D630" i="61"/>
  <c r="C630" i="61"/>
  <c r="B630" i="61"/>
  <c r="I629" i="61"/>
  <c r="H629" i="61"/>
  <c r="G629" i="61"/>
  <c r="E629" i="61"/>
  <c r="D629" i="61"/>
  <c r="C629" i="61"/>
  <c r="B629" i="61"/>
  <c r="A629" i="61"/>
  <c r="E628" i="61"/>
  <c r="D628" i="61"/>
  <c r="C628" i="61"/>
  <c r="B628" i="61"/>
  <c r="E627" i="61"/>
  <c r="D627" i="61"/>
  <c r="C627" i="61"/>
  <c r="B627" i="61"/>
  <c r="E626" i="61"/>
  <c r="D626" i="61"/>
  <c r="C626" i="61"/>
  <c r="B626" i="61"/>
  <c r="I625" i="61"/>
  <c r="H625" i="61"/>
  <c r="G625" i="61"/>
  <c r="E625" i="61"/>
  <c r="D625" i="61"/>
  <c r="C625" i="61"/>
  <c r="B625" i="61"/>
  <c r="A625" i="61"/>
  <c r="E624" i="61"/>
  <c r="D624" i="61"/>
  <c r="C624" i="61"/>
  <c r="B624" i="61"/>
  <c r="E623" i="61"/>
  <c r="D623" i="61"/>
  <c r="C623" i="61"/>
  <c r="B623" i="61"/>
  <c r="E622" i="61"/>
  <c r="D622" i="61"/>
  <c r="C622" i="61"/>
  <c r="B622" i="61"/>
  <c r="I621" i="61"/>
  <c r="H621" i="61"/>
  <c r="G621" i="61"/>
  <c r="E621" i="61"/>
  <c r="D621" i="61"/>
  <c r="C621" i="61"/>
  <c r="B621" i="61"/>
  <c r="A621" i="61"/>
  <c r="E620" i="61"/>
  <c r="D620" i="61"/>
  <c r="C620" i="61"/>
  <c r="B620" i="61"/>
  <c r="E619" i="61"/>
  <c r="D619" i="61"/>
  <c r="C619" i="61"/>
  <c r="B619" i="61"/>
  <c r="E618" i="61"/>
  <c r="D618" i="61"/>
  <c r="C618" i="61"/>
  <c r="B618" i="61"/>
  <c r="I617" i="61"/>
  <c r="H617" i="61"/>
  <c r="G617" i="61"/>
  <c r="E617" i="61"/>
  <c r="D617" i="61"/>
  <c r="C617" i="61"/>
  <c r="B617" i="61"/>
  <c r="A617" i="61"/>
  <c r="E616" i="61"/>
  <c r="D616" i="61"/>
  <c r="C616" i="61"/>
  <c r="B616" i="61"/>
  <c r="E615" i="61"/>
  <c r="D615" i="61"/>
  <c r="C615" i="61"/>
  <c r="B615" i="61"/>
  <c r="E614" i="61"/>
  <c r="D614" i="61"/>
  <c r="C614" i="61"/>
  <c r="B614" i="61"/>
  <c r="I613" i="61"/>
  <c r="H613" i="61"/>
  <c r="G613" i="61"/>
  <c r="E613" i="61"/>
  <c r="D613" i="61"/>
  <c r="C613" i="61"/>
  <c r="B613" i="61"/>
  <c r="A613" i="61"/>
  <c r="E612" i="61"/>
  <c r="D612" i="61"/>
  <c r="C612" i="61"/>
  <c r="B612" i="61"/>
  <c r="E611" i="61"/>
  <c r="D611" i="61"/>
  <c r="C611" i="61"/>
  <c r="B611" i="61"/>
  <c r="E610" i="61"/>
  <c r="D610" i="61"/>
  <c r="C610" i="61"/>
  <c r="B610" i="61"/>
  <c r="I609" i="61"/>
  <c r="H609" i="61"/>
  <c r="G609" i="61"/>
  <c r="E609" i="61"/>
  <c r="D609" i="61"/>
  <c r="C609" i="61"/>
  <c r="B609" i="61"/>
  <c r="A609" i="61"/>
  <c r="E608" i="61"/>
  <c r="D608" i="61"/>
  <c r="C608" i="61"/>
  <c r="B608" i="61"/>
  <c r="E607" i="61"/>
  <c r="D607" i="61"/>
  <c r="C607" i="61"/>
  <c r="B607" i="61"/>
  <c r="E606" i="61"/>
  <c r="D606" i="61"/>
  <c r="C606" i="61"/>
  <c r="B606" i="61"/>
  <c r="I605" i="61"/>
  <c r="H605" i="61"/>
  <c r="G605" i="61"/>
  <c r="E605" i="61"/>
  <c r="D605" i="61"/>
  <c r="C605" i="61"/>
  <c r="B605" i="61"/>
  <c r="A605" i="61"/>
  <c r="E604" i="61"/>
  <c r="D604" i="61"/>
  <c r="C604" i="61"/>
  <c r="B604" i="61"/>
  <c r="E603" i="61"/>
  <c r="D603" i="61"/>
  <c r="C603" i="61"/>
  <c r="B603" i="61"/>
  <c r="E602" i="61"/>
  <c r="D602" i="61"/>
  <c r="C602" i="61"/>
  <c r="B602" i="61"/>
  <c r="I601" i="61"/>
  <c r="H601" i="61"/>
  <c r="G601" i="61"/>
  <c r="E601" i="61"/>
  <c r="D601" i="61"/>
  <c r="C601" i="61"/>
  <c r="B601" i="61"/>
  <c r="A601" i="61"/>
  <c r="E600" i="61"/>
  <c r="D600" i="61"/>
  <c r="C600" i="61"/>
  <c r="B600" i="61"/>
  <c r="E599" i="61"/>
  <c r="D599" i="61"/>
  <c r="C599" i="61"/>
  <c r="B599" i="61"/>
  <c r="E598" i="61"/>
  <c r="D598" i="61"/>
  <c r="C598" i="61"/>
  <c r="B598" i="61"/>
  <c r="I597" i="61"/>
  <c r="H597" i="61"/>
  <c r="G597" i="61"/>
  <c r="E597" i="61"/>
  <c r="D597" i="61"/>
  <c r="C597" i="61"/>
  <c r="B597" i="61"/>
  <c r="A597" i="61"/>
  <c r="E596" i="61"/>
  <c r="D596" i="61"/>
  <c r="C596" i="61"/>
  <c r="B596" i="61"/>
  <c r="E595" i="61"/>
  <c r="D595" i="61"/>
  <c r="C595" i="61"/>
  <c r="B595" i="61"/>
  <c r="E594" i="61"/>
  <c r="D594" i="61"/>
  <c r="C594" i="61"/>
  <c r="B594" i="61"/>
  <c r="I593" i="61"/>
  <c r="H593" i="61"/>
  <c r="G593" i="61"/>
  <c r="E593" i="61"/>
  <c r="D593" i="61"/>
  <c r="C593" i="61"/>
  <c r="B593" i="61"/>
  <c r="A593" i="61"/>
  <c r="E592" i="61"/>
  <c r="D592" i="61"/>
  <c r="C592" i="61"/>
  <c r="B592" i="61"/>
  <c r="E591" i="61"/>
  <c r="D591" i="61"/>
  <c r="C591" i="61"/>
  <c r="B591" i="61"/>
  <c r="E590" i="61"/>
  <c r="D590" i="61"/>
  <c r="C590" i="61"/>
  <c r="B590" i="61"/>
  <c r="I589" i="61"/>
  <c r="H589" i="61"/>
  <c r="G589" i="61"/>
  <c r="E589" i="61"/>
  <c r="D589" i="61"/>
  <c r="C589" i="61"/>
  <c r="B589" i="61"/>
  <c r="A589" i="61"/>
  <c r="E588" i="61"/>
  <c r="D588" i="61"/>
  <c r="C588" i="61"/>
  <c r="B588" i="61"/>
  <c r="E587" i="61"/>
  <c r="D587" i="61"/>
  <c r="C587" i="61"/>
  <c r="B587" i="61"/>
  <c r="E586" i="61"/>
  <c r="D586" i="61"/>
  <c r="C586" i="61"/>
  <c r="B586" i="61"/>
  <c r="I585" i="61"/>
  <c r="H585" i="61"/>
  <c r="G585" i="61"/>
  <c r="E585" i="61"/>
  <c r="D585" i="61"/>
  <c r="C585" i="61"/>
  <c r="B585" i="61"/>
  <c r="A585" i="61"/>
  <c r="E584" i="61"/>
  <c r="D584" i="61"/>
  <c r="C584" i="61"/>
  <c r="B584" i="61"/>
  <c r="E583" i="61"/>
  <c r="D583" i="61"/>
  <c r="C583" i="61"/>
  <c r="B583" i="61"/>
  <c r="E582" i="61"/>
  <c r="D582" i="61"/>
  <c r="C582" i="61"/>
  <c r="B582" i="61"/>
  <c r="I581" i="61"/>
  <c r="H581" i="61"/>
  <c r="G581" i="61"/>
  <c r="E581" i="61"/>
  <c r="D581" i="61"/>
  <c r="C581" i="61"/>
  <c r="B581" i="61"/>
  <c r="A581" i="61"/>
  <c r="E580" i="61"/>
  <c r="D580" i="61"/>
  <c r="C580" i="61"/>
  <c r="B580" i="61"/>
  <c r="E579" i="61"/>
  <c r="D579" i="61"/>
  <c r="C579" i="61"/>
  <c r="B579" i="61"/>
  <c r="E578" i="61"/>
  <c r="D578" i="61"/>
  <c r="C578" i="61"/>
  <c r="B578" i="61"/>
  <c r="I577" i="61"/>
  <c r="H577" i="61"/>
  <c r="G577" i="61"/>
  <c r="E577" i="61"/>
  <c r="D577" i="61"/>
  <c r="C577" i="61"/>
  <c r="B577" i="61"/>
  <c r="A577" i="61"/>
  <c r="E576" i="61"/>
  <c r="D576" i="61"/>
  <c r="C576" i="61"/>
  <c r="B576" i="61"/>
  <c r="E575" i="61"/>
  <c r="D575" i="61"/>
  <c r="C575" i="61"/>
  <c r="B575" i="61"/>
  <c r="E574" i="61"/>
  <c r="D574" i="61"/>
  <c r="C574" i="61"/>
  <c r="B574" i="61"/>
  <c r="I573" i="61"/>
  <c r="H573" i="61"/>
  <c r="G573" i="61"/>
  <c r="E573" i="61"/>
  <c r="D573" i="61"/>
  <c r="C573" i="61"/>
  <c r="B573" i="61"/>
  <c r="A573" i="61"/>
  <c r="E572" i="61"/>
  <c r="D572" i="61"/>
  <c r="C572" i="61"/>
  <c r="B572" i="61"/>
  <c r="E571" i="61"/>
  <c r="D571" i="61"/>
  <c r="C571" i="61"/>
  <c r="B571" i="61"/>
  <c r="E570" i="61"/>
  <c r="D570" i="61"/>
  <c r="C570" i="61"/>
  <c r="B570" i="61"/>
  <c r="I569" i="61"/>
  <c r="H569" i="61"/>
  <c r="G569" i="61"/>
  <c r="E569" i="61"/>
  <c r="D569" i="61"/>
  <c r="C569" i="61"/>
  <c r="B569" i="61"/>
  <c r="A569" i="61"/>
  <c r="E568" i="61"/>
  <c r="D568" i="61"/>
  <c r="C568" i="61"/>
  <c r="B568" i="61"/>
  <c r="E567" i="61"/>
  <c r="D567" i="61"/>
  <c r="C567" i="61"/>
  <c r="B567" i="61"/>
  <c r="E566" i="61"/>
  <c r="D566" i="61"/>
  <c r="C566" i="61"/>
  <c r="B566" i="61"/>
  <c r="I565" i="61"/>
  <c r="H565" i="61"/>
  <c r="G565" i="61"/>
  <c r="E565" i="61"/>
  <c r="D565" i="61"/>
  <c r="C565" i="61"/>
  <c r="B565" i="61"/>
  <c r="A565" i="61"/>
  <c r="E564" i="61"/>
  <c r="D564" i="61"/>
  <c r="C564" i="61"/>
  <c r="B564" i="61"/>
  <c r="E563" i="61"/>
  <c r="D563" i="61"/>
  <c r="C563" i="61"/>
  <c r="B563" i="61"/>
  <c r="E562" i="61"/>
  <c r="D562" i="61"/>
  <c r="C562" i="61"/>
  <c r="B562" i="61"/>
  <c r="I561" i="61"/>
  <c r="H561" i="61"/>
  <c r="G561" i="61"/>
  <c r="E561" i="61"/>
  <c r="D561" i="61"/>
  <c r="C561" i="61"/>
  <c r="B561" i="61"/>
  <c r="A561" i="61"/>
  <c r="E560" i="61"/>
  <c r="D560" i="61"/>
  <c r="C560" i="61"/>
  <c r="B560" i="61"/>
  <c r="E559" i="61"/>
  <c r="D559" i="61"/>
  <c r="C559" i="61"/>
  <c r="B559" i="61"/>
  <c r="E558" i="61"/>
  <c r="D558" i="61"/>
  <c r="C558" i="61"/>
  <c r="B558" i="61"/>
  <c r="I557" i="61"/>
  <c r="H557" i="61"/>
  <c r="G557" i="61"/>
  <c r="E557" i="61"/>
  <c r="D557" i="61"/>
  <c r="C557" i="61"/>
  <c r="B557" i="61"/>
  <c r="A557" i="61"/>
  <c r="E556" i="61"/>
  <c r="D556" i="61"/>
  <c r="C556" i="61"/>
  <c r="B556" i="61"/>
  <c r="E555" i="61"/>
  <c r="D555" i="61"/>
  <c r="C555" i="61"/>
  <c r="B555" i="61"/>
  <c r="E554" i="61"/>
  <c r="D554" i="61"/>
  <c r="C554" i="61"/>
  <c r="B554" i="61"/>
  <c r="I553" i="61"/>
  <c r="H553" i="61"/>
  <c r="G553" i="61"/>
  <c r="E553" i="61"/>
  <c r="D553" i="61"/>
  <c r="C553" i="61"/>
  <c r="B553" i="61"/>
  <c r="A553" i="61"/>
  <c r="E552" i="61"/>
  <c r="D552" i="61"/>
  <c r="C552" i="61"/>
  <c r="B552" i="61"/>
  <c r="E551" i="61"/>
  <c r="D551" i="61"/>
  <c r="C551" i="61"/>
  <c r="B551" i="61"/>
  <c r="E550" i="61"/>
  <c r="D550" i="61"/>
  <c r="C550" i="61"/>
  <c r="B550" i="61"/>
  <c r="I549" i="61"/>
  <c r="H549" i="61"/>
  <c r="G549" i="61"/>
  <c r="E549" i="61"/>
  <c r="D549" i="61"/>
  <c r="C549" i="61"/>
  <c r="B549" i="61"/>
  <c r="A549" i="61"/>
  <c r="E548" i="61"/>
  <c r="D548" i="61"/>
  <c r="C548" i="61"/>
  <c r="B548" i="61"/>
  <c r="E547" i="61"/>
  <c r="D547" i="61"/>
  <c r="C547" i="61"/>
  <c r="B547" i="61"/>
  <c r="E546" i="61"/>
  <c r="D546" i="61"/>
  <c r="C546" i="61"/>
  <c r="B546" i="61"/>
  <c r="I545" i="61"/>
  <c r="H545" i="61"/>
  <c r="E545" i="61"/>
  <c r="D545" i="61"/>
  <c r="C545" i="61"/>
  <c r="B545" i="61"/>
  <c r="A545" i="61"/>
  <c r="G545" i="61" s="1"/>
  <c r="E544" i="61"/>
  <c r="D544" i="61"/>
  <c r="C544" i="61"/>
  <c r="B544" i="61"/>
  <c r="E543" i="61"/>
  <c r="D543" i="61"/>
  <c r="C543" i="61"/>
  <c r="B543" i="61"/>
  <c r="E542" i="61"/>
  <c r="D542" i="61"/>
  <c r="C542" i="61"/>
  <c r="B542" i="61"/>
  <c r="I541" i="61"/>
  <c r="H541" i="61"/>
  <c r="G541" i="61"/>
  <c r="E541" i="61"/>
  <c r="D541" i="61"/>
  <c r="C541" i="61"/>
  <c r="B541" i="61"/>
  <c r="A541" i="61"/>
  <c r="E540" i="61"/>
  <c r="D540" i="61"/>
  <c r="C540" i="61"/>
  <c r="B540" i="61"/>
  <c r="E539" i="61"/>
  <c r="D539" i="61"/>
  <c r="C539" i="61"/>
  <c r="B539" i="61"/>
  <c r="E538" i="61"/>
  <c r="D538" i="61"/>
  <c r="C538" i="61"/>
  <c r="B538" i="61"/>
  <c r="I537" i="61"/>
  <c r="H537" i="61"/>
  <c r="G537" i="61"/>
  <c r="E537" i="61"/>
  <c r="D537" i="61"/>
  <c r="C537" i="61"/>
  <c r="B537" i="61"/>
  <c r="A537" i="61"/>
  <c r="E536" i="61"/>
  <c r="D536" i="61"/>
  <c r="C536" i="61"/>
  <c r="B536" i="61"/>
  <c r="E535" i="61"/>
  <c r="D535" i="61"/>
  <c r="C535" i="61"/>
  <c r="B535" i="61"/>
  <c r="E534" i="61"/>
  <c r="D534" i="61"/>
  <c r="C534" i="61"/>
  <c r="B534" i="61"/>
  <c r="I533" i="61"/>
  <c r="H533" i="61"/>
  <c r="G533" i="61"/>
  <c r="E533" i="61"/>
  <c r="D533" i="61"/>
  <c r="C533" i="61"/>
  <c r="B533" i="61"/>
  <c r="A533" i="61"/>
  <c r="E532" i="61"/>
  <c r="D532" i="61"/>
  <c r="C532" i="61"/>
  <c r="B532" i="61"/>
  <c r="E531" i="61"/>
  <c r="D531" i="61"/>
  <c r="C531" i="61"/>
  <c r="B531" i="61"/>
  <c r="E530" i="61"/>
  <c r="D530" i="61"/>
  <c r="C530" i="61"/>
  <c r="B530" i="61"/>
  <c r="I529" i="61"/>
  <c r="H529" i="61"/>
  <c r="G529" i="61"/>
  <c r="E529" i="61"/>
  <c r="D529" i="61"/>
  <c r="C529" i="61"/>
  <c r="B529" i="61"/>
  <c r="A529" i="61"/>
  <c r="E528" i="61"/>
  <c r="D528" i="61"/>
  <c r="C528" i="61"/>
  <c r="B528" i="61"/>
  <c r="E527" i="61"/>
  <c r="D527" i="61"/>
  <c r="C527" i="61"/>
  <c r="B527" i="61"/>
  <c r="E526" i="61"/>
  <c r="D526" i="61"/>
  <c r="C526" i="61"/>
  <c r="B526" i="61"/>
  <c r="I525" i="61"/>
  <c r="H525" i="61"/>
  <c r="G525" i="61"/>
  <c r="E525" i="61"/>
  <c r="D525" i="61"/>
  <c r="C525" i="61"/>
  <c r="B525" i="61"/>
  <c r="A525" i="61"/>
  <c r="E524" i="61"/>
  <c r="D524" i="61"/>
  <c r="C524" i="61"/>
  <c r="B524" i="61"/>
  <c r="E523" i="61"/>
  <c r="D523" i="61"/>
  <c r="C523" i="61"/>
  <c r="B523" i="61"/>
  <c r="E522" i="61"/>
  <c r="D522" i="61"/>
  <c r="C522" i="61"/>
  <c r="B522" i="61"/>
  <c r="I521" i="61"/>
  <c r="H521" i="61"/>
  <c r="G521" i="61"/>
  <c r="E521" i="61"/>
  <c r="D521" i="61"/>
  <c r="C521" i="61"/>
  <c r="B521" i="61"/>
  <c r="A521" i="61"/>
  <c r="E520" i="61"/>
  <c r="D520" i="61"/>
  <c r="C520" i="61"/>
  <c r="B520" i="61"/>
  <c r="E519" i="61"/>
  <c r="D519" i="61"/>
  <c r="C519" i="61"/>
  <c r="B519" i="61"/>
  <c r="E518" i="61"/>
  <c r="D518" i="61"/>
  <c r="C518" i="61"/>
  <c r="B518" i="61"/>
  <c r="I517" i="61"/>
  <c r="H517" i="61"/>
  <c r="G517" i="61"/>
  <c r="E517" i="61"/>
  <c r="D517" i="61"/>
  <c r="C517" i="61"/>
  <c r="B517" i="61"/>
  <c r="A517" i="61"/>
  <c r="E516" i="61"/>
  <c r="D516" i="61"/>
  <c r="C516" i="61"/>
  <c r="B516" i="61"/>
  <c r="E515" i="61"/>
  <c r="D515" i="61"/>
  <c r="C515" i="61"/>
  <c r="B515" i="61"/>
  <c r="E514" i="61"/>
  <c r="D514" i="61"/>
  <c r="C514" i="61"/>
  <c r="B514" i="61"/>
  <c r="E513" i="61"/>
  <c r="D513" i="61"/>
  <c r="C513" i="61"/>
  <c r="B513" i="61"/>
  <c r="E512" i="61"/>
  <c r="D512" i="61"/>
  <c r="C512" i="61"/>
  <c r="B512" i="61"/>
  <c r="E511" i="61"/>
  <c r="D511" i="61"/>
  <c r="C511" i="61"/>
  <c r="B511" i="61"/>
  <c r="E510" i="61"/>
  <c r="D510" i="61"/>
  <c r="C510" i="61"/>
  <c r="B510" i="61"/>
  <c r="E509" i="61"/>
  <c r="D509" i="61"/>
  <c r="C509" i="61"/>
  <c r="B509" i="61"/>
  <c r="E508" i="61"/>
  <c r="D508" i="61"/>
  <c r="C508" i="61"/>
  <c r="B508" i="61"/>
  <c r="E507" i="61"/>
  <c r="D507" i="61"/>
  <c r="C507" i="61"/>
  <c r="B507" i="61"/>
  <c r="E506" i="61"/>
  <c r="D506" i="61"/>
  <c r="C506" i="61"/>
  <c r="B506" i="61"/>
  <c r="E505" i="61"/>
  <c r="D505" i="61"/>
  <c r="C505" i="61"/>
  <c r="B505" i="61"/>
  <c r="E504" i="61"/>
  <c r="D504" i="61"/>
  <c r="C504" i="61"/>
  <c r="B504" i="61"/>
  <c r="E503" i="61"/>
  <c r="D503" i="61"/>
  <c r="C503" i="61"/>
  <c r="B503" i="61"/>
  <c r="E502" i="61"/>
  <c r="D502" i="61"/>
  <c r="C502" i="61"/>
  <c r="B502" i="61"/>
  <c r="E501" i="61"/>
  <c r="D501" i="61"/>
  <c r="C501" i="61"/>
  <c r="B501" i="61"/>
  <c r="E500" i="61"/>
  <c r="D500" i="61"/>
  <c r="C500" i="61"/>
  <c r="B500" i="61"/>
  <c r="E499" i="61"/>
  <c r="D499" i="61"/>
  <c r="C499" i="61"/>
  <c r="B499" i="61"/>
  <c r="E498" i="61"/>
  <c r="D498" i="61"/>
  <c r="C498" i="61"/>
  <c r="B498" i="61"/>
  <c r="E497" i="61"/>
  <c r="D497" i="61"/>
  <c r="C497" i="61"/>
  <c r="B497" i="61"/>
  <c r="E496" i="61"/>
  <c r="D496" i="61"/>
  <c r="C496" i="61"/>
  <c r="B496" i="61"/>
  <c r="E495" i="61"/>
  <c r="D495" i="61"/>
  <c r="C495" i="61"/>
  <c r="B495" i="61"/>
  <c r="E494" i="61"/>
  <c r="D494" i="61"/>
  <c r="C494" i="61"/>
  <c r="B494" i="61"/>
  <c r="E493" i="61"/>
  <c r="D493" i="61"/>
  <c r="C493" i="61"/>
  <c r="B493" i="61"/>
  <c r="E492" i="61"/>
  <c r="D492" i="61"/>
  <c r="C492" i="61"/>
  <c r="B492" i="61"/>
  <c r="E491" i="61"/>
  <c r="D491" i="61"/>
  <c r="C491" i="61"/>
  <c r="B491" i="61"/>
  <c r="E490" i="61"/>
  <c r="D490" i="61"/>
  <c r="C490" i="61"/>
  <c r="B490" i="61"/>
  <c r="E489" i="61"/>
  <c r="D489" i="61"/>
  <c r="C489" i="61"/>
  <c r="B489" i="61"/>
  <c r="E488" i="61"/>
  <c r="D488" i="61"/>
  <c r="C488" i="61"/>
  <c r="B488" i="61"/>
  <c r="E487" i="61"/>
  <c r="D487" i="61"/>
  <c r="C487" i="61"/>
  <c r="B487" i="61"/>
  <c r="E486" i="61"/>
  <c r="D486" i="61"/>
  <c r="C486" i="61"/>
  <c r="B486" i="61"/>
  <c r="E485" i="61"/>
  <c r="D485" i="61"/>
  <c r="C485" i="61"/>
  <c r="B485" i="61"/>
  <c r="E484" i="61"/>
  <c r="D484" i="61"/>
  <c r="C484" i="61"/>
  <c r="B484" i="61"/>
  <c r="E483" i="61"/>
  <c r="D483" i="61"/>
  <c r="C483" i="61"/>
  <c r="B483" i="61"/>
  <c r="E482" i="61"/>
  <c r="D482" i="61"/>
  <c r="C482" i="61"/>
  <c r="B482" i="61"/>
  <c r="E481" i="61"/>
  <c r="D481" i="61"/>
  <c r="C481" i="61"/>
  <c r="B481" i="61"/>
  <c r="E480" i="61"/>
  <c r="D480" i="61"/>
  <c r="C480" i="61"/>
  <c r="B480" i="61"/>
  <c r="E479" i="61"/>
  <c r="D479" i="61"/>
  <c r="C479" i="61"/>
  <c r="B479" i="61"/>
  <c r="E478" i="61"/>
  <c r="D478" i="61"/>
  <c r="C478" i="61"/>
  <c r="B478" i="61"/>
  <c r="E477" i="61"/>
  <c r="D477" i="61"/>
  <c r="C477" i="61"/>
  <c r="B477" i="61"/>
  <c r="E476" i="61"/>
  <c r="D476" i="61"/>
  <c r="C476" i="61"/>
  <c r="B476" i="61"/>
  <c r="E475" i="61"/>
  <c r="D475" i="61"/>
  <c r="C475" i="61"/>
  <c r="B475" i="61"/>
  <c r="E474" i="61"/>
  <c r="D474" i="61"/>
  <c r="C474" i="61"/>
  <c r="B474" i="61"/>
  <c r="E473" i="61"/>
  <c r="D473" i="61"/>
  <c r="C473" i="61"/>
  <c r="B473" i="61"/>
  <c r="E472" i="61"/>
  <c r="D472" i="61"/>
  <c r="C472" i="61"/>
  <c r="B472" i="61"/>
  <c r="E471" i="61"/>
  <c r="D471" i="61"/>
  <c r="C471" i="61"/>
  <c r="B471" i="61"/>
  <c r="E470" i="61"/>
  <c r="D470" i="61"/>
  <c r="C470" i="61"/>
  <c r="B470" i="61"/>
  <c r="E469" i="61"/>
  <c r="D469" i="61"/>
  <c r="C469" i="61"/>
  <c r="B469" i="61"/>
  <c r="E468" i="61"/>
  <c r="D468" i="61"/>
  <c r="C468" i="61"/>
  <c r="B468" i="61"/>
  <c r="E467" i="61"/>
  <c r="D467" i="61"/>
  <c r="C467" i="61"/>
  <c r="B467" i="61"/>
  <c r="E466" i="61"/>
  <c r="D466" i="61"/>
  <c r="C466" i="61"/>
  <c r="B466" i="61"/>
  <c r="E465" i="61"/>
  <c r="D465" i="61"/>
  <c r="C465" i="61"/>
  <c r="B465" i="61"/>
  <c r="E464" i="61"/>
  <c r="D464" i="61"/>
  <c r="C464" i="61"/>
  <c r="B464" i="61"/>
  <c r="E463" i="61"/>
  <c r="D463" i="61"/>
  <c r="C463" i="61"/>
  <c r="B463" i="61"/>
  <c r="E462" i="61"/>
  <c r="D462" i="61"/>
  <c r="C462" i="61"/>
  <c r="B462" i="61"/>
  <c r="E461" i="61"/>
  <c r="D461" i="61"/>
  <c r="C461" i="61"/>
  <c r="B461" i="61"/>
  <c r="E460" i="61"/>
  <c r="D460" i="61"/>
  <c r="C460" i="61"/>
  <c r="B460" i="61"/>
  <c r="E459" i="61"/>
  <c r="D459" i="61"/>
  <c r="C459" i="61"/>
  <c r="B459" i="61"/>
  <c r="E458" i="61"/>
  <c r="D458" i="61"/>
  <c r="C458" i="61"/>
  <c r="B458" i="61"/>
  <c r="E457" i="61"/>
  <c r="D457" i="61"/>
  <c r="C457" i="61"/>
  <c r="B457" i="61"/>
  <c r="E456" i="61"/>
  <c r="D456" i="61"/>
  <c r="C456" i="61"/>
  <c r="B456" i="61"/>
  <c r="E455" i="61"/>
  <c r="D455" i="61"/>
  <c r="C455" i="61"/>
  <c r="B455" i="61"/>
  <c r="E454" i="61"/>
  <c r="D454" i="61"/>
  <c r="C454" i="61"/>
  <c r="B454" i="61"/>
  <c r="E453" i="61"/>
  <c r="D453" i="61"/>
  <c r="C453" i="61"/>
  <c r="B453" i="61"/>
  <c r="E452" i="61"/>
  <c r="D452" i="61"/>
  <c r="C452" i="61"/>
  <c r="B452" i="61"/>
  <c r="E451" i="61"/>
  <c r="D451" i="61"/>
  <c r="C451" i="61"/>
  <c r="B451" i="61"/>
  <c r="E450" i="61"/>
  <c r="D450" i="61"/>
  <c r="C450" i="61"/>
  <c r="B450" i="61"/>
  <c r="E449" i="61"/>
  <c r="D449" i="61"/>
  <c r="C449" i="61"/>
  <c r="B449" i="61"/>
  <c r="E448" i="61"/>
  <c r="D448" i="61"/>
  <c r="C448" i="61"/>
  <c r="B448" i="61"/>
  <c r="E447" i="61"/>
  <c r="D447" i="61"/>
  <c r="C447" i="61"/>
  <c r="B447" i="61"/>
  <c r="E446" i="61"/>
  <c r="D446" i="61"/>
  <c r="C446" i="61"/>
  <c r="B446" i="61"/>
  <c r="E445" i="61"/>
  <c r="D445" i="61"/>
  <c r="C445" i="61"/>
  <c r="B445" i="61"/>
  <c r="E444" i="61"/>
  <c r="D444" i="61"/>
  <c r="C444" i="61"/>
  <c r="B444" i="61"/>
  <c r="E443" i="61"/>
  <c r="D443" i="61"/>
  <c r="C443" i="61"/>
  <c r="B443" i="61"/>
  <c r="E442" i="61"/>
  <c r="D442" i="61"/>
  <c r="C442" i="61"/>
  <c r="B442" i="61"/>
  <c r="E441" i="61"/>
  <c r="D441" i="61"/>
  <c r="C441" i="61"/>
  <c r="B441" i="61"/>
  <c r="E440" i="61"/>
  <c r="D440" i="61"/>
  <c r="C440" i="61"/>
  <c r="B440" i="61"/>
  <c r="E439" i="61"/>
  <c r="D439" i="61"/>
  <c r="C439" i="61"/>
  <c r="B439" i="61"/>
  <c r="E438" i="61"/>
  <c r="D438" i="61"/>
  <c r="C438" i="61"/>
  <c r="B438" i="61"/>
  <c r="E437" i="61"/>
  <c r="D437" i="61"/>
  <c r="C437" i="61"/>
  <c r="B437" i="61"/>
  <c r="E436" i="61"/>
  <c r="D436" i="61"/>
  <c r="C436" i="61"/>
  <c r="B436" i="61"/>
  <c r="E435" i="61"/>
  <c r="D435" i="61"/>
  <c r="C435" i="61"/>
  <c r="B435" i="61"/>
  <c r="E434" i="61"/>
  <c r="D434" i="61"/>
  <c r="C434" i="61"/>
  <c r="B434" i="61"/>
  <c r="E433" i="61"/>
  <c r="D433" i="61"/>
  <c r="C433" i="61"/>
  <c r="B433" i="61"/>
  <c r="E432" i="61"/>
  <c r="D432" i="61"/>
  <c r="C432" i="61"/>
  <c r="B432" i="61"/>
  <c r="E431" i="61"/>
  <c r="D431" i="61"/>
  <c r="C431" i="61"/>
  <c r="B431" i="61"/>
  <c r="E430" i="61"/>
  <c r="D430" i="61"/>
  <c r="C430" i="61"/>
  <c r="B430" i="61"/>
  <c r="E429" i="61"/>
  <c r="D429" i="61"/>
  <c r="C429" i="61"/>
  <c r="B429" i="61"/>
  <c r="E428" i="61"/>
  <c r="D428" i="61"/>
  <c r="C428" i="61"/>
  <c r="B428" i="61"/>
  <c r="E427" i="61"/>
  <c r="D427" i="61"/>
  <c r="C427" i="61"/>
  <c r="B427" i="61"/>
  <c r="E426" i="61"/>
  <c r="D426" i="61"/>
  <c r="C426" i="61"/>
  <c r="B426" i="61"/>
  <c r="E425" i="61"/>
  <c r="D425" i="61"/>
  <c r="C425" i="61"/>
  <c r="B425" i="61"/>
  <c r="E424" i="61"/>
  <c r="D424" i="61"/>
  <c r="C424" i="61"/>
  <c r="B424" i="61"/>
  <c r="E423" i="61"/>
  <c r="D423" i="61"/>
  <c r="C423" i="61"/>
  <c r="B423" i="61"/>
  <c r="E422" i="61"/>
  <c r="D422" i="61"/>
  <c r="C422" i="61"/>
  <c r="B422" i="61"/>
  <c r="E421" i="61"/>
  <c r="D421" i="61"/>
  <c r="C421" i="61"/>
  <c r="B421" i="61"/>
  <c r="E420" i="61"/>
  <c r="D420" i="61"/>
  <c r="C420" i="61"/>
  <c r="B420" i="61"/>
  <c r="E419" i="61"/>
  <c r="D419" i="61"/>
  <c r="C419" i="61"/>
  <c r="B419" i="61"/>
  <c r="E418" i="61"/>
  <c r="D418" i="61"/>
  <c r="C418" i="61"/>
  <c r="B418" i="61"/>
  <c r="E417" i="61"/>
  <c r="D417" i="61"/>
  <c r="C417" i="61"/>
  <c r="B417" i="61"/>
  <c r="E416" i="61"/>
  <c r="D416" i="61"/>
  <c r="C416" i="61"/>
  <c r="B416" i="61"/>
  <c r="E415" i="61"/>
  <c r="D415" i="61"/>
  <c r="C415" i="61"/>
  <c r="B415" i="61"/>
  <c r="E414" i="61"/>
  <c r="D414" i="61"/>
  <c r="C414" i="61"/>
  <c r="B414" i="61"/>
  <c r="E413" i="61"/>
  <c r="D413" i="61"/>
  <c r="C413" i="61"/>
  <c r="B413" i="61"/>
  <c r="E412" i="61"/>
  <c r="D412" i="61"/>
  <c r="C412" i="61"/>
  <c r="B412" i="61"/>
  <c r="E411" i="61"/>
  <c r="D411" i="61"/>
  <c r="C411" i="61"/>
  <c r="B411" i="61"/>
  <c r="E410" i="61"/>
  <c r="D410" i="61"/>
  <c r="C410" i="61"/>
  <c r="B410" i="61"/>
  <c r="E409" i="61"/>
  <c r="D409" i="61"/>
  <c r="C409" i="61"/>
  <c r="B409" i="61"/>
  <c r="E408" i="61"/>
  <c r="D408" i="61"/>
  <c r="C408" i="61"/>
  <c r="B408" i="61"/>
  <c r="E407" i="61"/>
  <c r="D407" i="61"/>
  <c r="C407" i="61"/>
  <c r="B407" i="61"/>
  <c r="E406" i="61"/>
  <c r="D406" i="61"/>
  <c r="C406" i="61"/>
  <c r="B406" i="61"/>
  <c r="E405" i="61"/>
  <c r="D405" i="61"/>
  <c r="C405" i="61"/>
  <c r="B405" i="61"/>
  <c r="E404" i="61"/>
  <c r="D404" i="61"/>
  <c r="C404" i="61"/>
  <c r="B404" i="61"/>
  <c r="E403" i="61"/>
  <c r="D403" i="61"/>
  <c r="C403" i="61"/>
  <c r="B403" i="61"/>
  <c r="E402" i="61"/>
  <c r="D402" i="61"/>
  <c r="C402" i="61"/>
  <c r="B402" i="61"/>
  <c r="E401" i="61"/>
  <c r="D401" i="61"/>
  <c r="C401" i="61"/>
  <c r="B401" i="61"/>
  <c r="E400" i="61"/>
  <c r="D400" i="61"/>
  <c r="C400" i="61"/>
  <c r="B400" i="61"/>
  <c r="E399" i="61"/>
  <c r="D399" i="61"/>
  <c r="C399" i="61"/>
  <c r="B399" i="61"/>
  <c r="E398" i="61"/>
  <c r="D398" i="61"/>
  <c r="C398" i="61"/>
  <c r="B398" i="61"/>
  <c r="E397" i="61"/>
  <c r="D397" i="61"/>
  <c r="C397" i="61"/>
  <c r="B397" i="61"/>
  <c r="E396" i="61"/>
  <c r="D396" i="61"/>
  <c r="C396" i="61"/>
  <c r="B396" i="61"/>
  <c r="E395" i="61"/>
  <c r="D395" i="61"/>
  <c r="C395" i="61"/>
  <c r="B395" i="61"/>
  <c r="E394" i="61"/>
  <c r="D394" i="61"/>
  <c r="C394" i="61"/>
  <c r="B394" i="61"/>
  <c r="E393" i="61"/>
  <c r="D393" i="61"/>
  <c r="C393" i="61"/>
  <c r="B393" i="61"/>
  <c r="E392" i="61"/>
  <c r="D392" i="61"/>
  <c r="C392" i="61"/>
  <c r="B392" i="61"/>
  <c r="E391" i="61"/>
  <c r="D391" i="61"/>
  <c r="C391" i="61"/>
  <c r="B391" i="61"/>
  <c r="E390" i="61"/>
  <c r="D390" i="61"/>
  <c r="C390" i="61"/>
  <c r="B390" i="61"/>
  <c r="E389" i="61"/>
  <c r="D389" i="61"/>
  <c r="C389" i="61"/>
  <c r="B389" i="61"/>
  <c r="E388" i="61"/>
  <c r="D388" i="61"/>
  <c r="C388" i="61"/>
  <c r="B388" i="61"/>
  <c r="E387" i="61"/>
  <c r="D387" i="61"/>
  <c r="C387" i="61"/>
  <c r="B387" i="61"/>
  <c r="E386" i="61"/>
  <c r="D386" i="61"/>
  <c r="C386" i="61"/>
  <c r="B386" i="61"/>
  <c r="E385" i="61"/>
  <c r="D385" i="61"/>
  <c r="C385" i="61"/>
  <c r="B385" i="61"/>
  <c r="E384" i="61"/>
  <c r="D384" i="61"/>
  <c r="C384" i="61"/>
  <c r="B384" i="61"/>
  <c r="E383" i="61"/>
  <c r="D383" i="61"/>
  <c r="C383" i="61"/>
  <c r="B383" i="61"/>
  <c r="E382" i="61"/>
  <c r="D382" i="61"/>
  <c r="C382" i="61"/>
  <c r="B382" i="61"/>
  <c r="E381" i="61"/>
  <c r="D381" i="61"/>
  <c r="C381" i="61"/>
  <c r="B381" i="61"/>
  <c r="E380" i="61"/>
  <c r="D380" i="61"/>
  <c r="C380" i="61"/>
  <c r="B380" i="61"/>
  <c r="E379" i="61"/>
  <c r="D379" i="61"/>
  <c r="C379" i="61"/>
  <c r="B379" i="61"/>
  <c r="E378" i="61"/>
  <c r="D378" i="61"/>
  <c r="C378" i="61"/>
  <c r="B378" i="61"/>
  <c r="E377" i="61"/>
  <c r="D377" i="61"/>
  <c r="C377" i="61"/>
  <c r="B377" i="61"/>
  <c r="E376" i="61"/>
  <c r="D376" i="61"/>
  <c r="C376" i="61"/>
  <c r="B376" i="61"/>
  <c r="E375" i="61"/>
  <c r="D375" i="61"/>
  <c r="C375" i="61"/>
  <c r="B375" i="61"/>
  <c r="E374" i="61"/>
  <c r="D374" i="61"/>
  <c r="C374" i="61"/>
  <c r="B374" i="61"/>
  <c r="E373" i="61"/>
  <c r="D373" i="61"/>
  <c r="C373" i="61"/>
  <c r="B373" i="61"/>
  <c r="E372" i="61"/>
  <c r="D372" i="61"/>
  <c r="C372" i="61"/>
  <c r="B372" i="61"/>
  <c r="E371" i="61"/>
  <c r="D371" i="61"/>
  <c r="C371" i="61"/>
  <c r="B371" i="61"/>
  <c r="E370" i="61"/>
  <c r="D370" i="61"/>
  <c r="C370" i="61"/>
  <c r="B370" i="61"/>
  <c r="E369" i="61"/>
  <c r="D369" i="61"/>
  <c r="C369" i="61"/>
  <c r="B369" i="61"/>
  <c r="E368" i="61"/>
  <c r="D368" i="61"/>
  <c r="C368" i="61"/>
  <c r="B368" i="61"/>
  <c r="E367" i="61"/>
  <c r="D367" i="61"/>
  <c r="C367" i="61"/>
  <c r="B367" i="61"/>
  <c r="E366" i="61"/>
  <c r="D366" i="61"/>
  <c r="C366" i="61"/>
  <c r="B366" i="61"/>
  <c r="E365" i="61"/>
  <c r="D365" i="61"/>
  <c r="C365" i="61"/>
  <c r="B365" i="61"/>
  <c r="E364" i="61"/>
  <c r="D364" i="61"/>
  <c r="C364" i="61"/>
  <c r="B364" i="61"/>
  <c r="E363" i="61"/>
  <c r="D363" i="61"/>
  <c r="C363" i="61"/>
  <c r="B363" i="61"/>
  <c r="E362" i="61"/>
  <c r="D362" i="61"/>
  <c r="C362" i="61"/>
  <c r="B362" i="61"/>
  <c r="E361" i="61"/>
  <c r="D361" i="61"/>
  <c r="C361" i="61"/>
  <c r="B361" i="61"/>
  <c r="E360" i="61"/>
  <c r="D360" i="61"/>
  <c r="C360" i="61"/>
  <c r="B360" i="61"/>
  <c r="E359" i="61"/>
  <c r="D359" i="61"/>
  <c r="C359" i="61"/>
  <c r="B359" i="61"/>
  <c r="E358" i="61"/>
  <c r="D358" i="61"/>
  <c r="C358" i="61"/>
  <c r="B358" i="61"/>
  <c r="E357" i="61"/>
  <c r="D357" i="61"/>
  <c r="C357" i="61"/>
  <c r="B357" i="61"/>
  <c r="E356" i="61"/>
  <c r="D356" i="61"/>
  <c r="C356" i="61"/>
  <c r="B356" i="61"/>
  <c r="E355" i="61"/>
  <c r="D355" i="61"/>
  <c r="C355" i="61"/>
  <c r="B355" i="61"/>
  <c r="E354" i="61"/>
  <c r="D354" i="61"/>
  <c r="C354" i="61"/>
  <c r="B354" i="61"/>
  <c r="E353" i="61"/>
  <c r="D353" i="61"/>
  <c r="C353" i="61"/>
  <c r="B353" i="61"/>
  <c r="E352" i="61"/>
  <c r="D352" i="61"/>
  <c r="C352" i="61"/>
  <c r="B352" i="61"/>
  <c r="E351" i="61"/>
  <c r="D351" i="61"/>
  <c r="C351" i="61"/>
  <c r="B351" i="61"/>
  <c r="E350" i="61"/>
  <c r="D350" i="61"/>
  <c r="C350" i="61"/>
  <c r="B350" i="61"/>
  <c r="E349" i="61"/>
  <c r="D349" i="61"/>
  <c r="C349" i="61"/>
  <c r="B349" i="61"/>
  <c r="E348" i="61"/>
  <c r="D348" i="61"/>
  <c r="C348" i="61"/>
  <c r="B348" i="61"/>
  <c r="E347" i="61"/>
  <c r="D347" i="61"/>
  <c r="C347" i="61"/>
  <c r="B347" i="61"/>
  <c r="E346" i="61"/>
  <c r="D346" i="61"/>
  <c r="C346" i="61"/>
  <c r="B346" i="61"/>
  <c r="E345" i="61"/>
  <c r="D345" i="61"/>
  <c r="C345" i="61"/>
  <c r="B345" i="61"/>
  <c r="E344" i="61"/>
  <c r="D344" i="61"/>
  <c r="C344" i="61"/>
  <c r="B344" i="61"/>
  <c r="E343" i="61"/>
  <c r="D343" i="61"/>
  <c r="C343" i="61"/>
  <c r="B343" i="61"/>
  <c r="E342" i="61"/>
  <c r="D342" i="61"/>
  <c r="C342" i="61"/>
  <c r="B342" i="61"/>
  <c r="E341" i="61"/>
  <c r="D341" i="61"/>
  <c r="C341" i="61"/>
  <c r="B341" i="61"/>
  <c r="E340" i="61"/>
  <c r="D340" i="61"/>
  <c r="C340" i="61"/>
  <c r="B340" i="61"/>
  <c r="E339" i="61"/>
  <c r="D339" i="61"/>
  <c r="C339" i="61"/>
  <c r="B339" i="61"/>
  <c r="E338" i="61"/>
  <c r="D338" i="61"/>
  <c r="C338" i="61"/>
  <c r="B338" i="61"/>
  <c r="E337" i="61"/>
  <c r="D337" i="61"/>
  <c r="C337" i="61"/>
  <c r="B337" i="61"/>
  <c r="E336" i="61"/>
  <c r="D336" i="61"/>
  <c r="C336" i="61"/>
  <c r="B336" i="61"/>
  <c r="E335" i="61"/>
  <c r="D335" i="61"/>
  <c r="C335" i="61"/>
  <c r="B335" i="61"/>
  <c r="E334" i="61"/>
  <c r="D334" i="61"/>
  <c r="C334" i="61"/>
  <c r="B334" i="61"/>
  <c r="E333" i="61"/>
  <c r="D333" i="61"/>
  <c r="C333" i="61"/>
  <c r="B333" i="61"/>
  <c r="E332" i="61"/>
  <c r="D332" i="61"/>
  <c r="C332" i="61"/>
  <c r="B332" i="61"/>
  <c r="E331" i="61"/>
  <c r="D331" i="61"/>
  <c r="C331" i="61"/>
  <c r="B331" i="61"/>
  <c r="E330" i="61"/>
  <c r="D330" i="61"/>
  <c r="C330" i="61"/>
  <c r="B330" i="61"/>
  <c r="E329" i="61"/>
  <c r="D329" i="61"/>
  <c r="C329" i="61"/>
  <c r="B329" i="61"/>
  <c r="E328" i="61"/>
  <c r="D328" i="61"/>
  <c r="C328" i="61"/>
  <c r="B328" i="61"/>
  <c r="E327" i="61"/>
  <c r="D327" i="61"/>
  <c r="C327" i="61"/>
  <c r="B327" i="61"/>
  <c r="E326" i="61"/>
  <c r="D326" i="61"/>
  <c r="C326" i="61"/>
  <c r="B326" i="61"/>
  <c r="E325" i="61"/>
  <c r="D325" i="61"/>
  <c r="C325" i="61"/>
  <c r="B325" i="61"/>
  <c r="E324" i="61"/>
  <c r="D324" i="61"/>
  <c r="C324" i="61"/>
  <c r="B324" i="61"/>
  <c r="E323" i="61"/>
  <c r="D323" i="61"/>
  <c r="C323" i="61"/>
  <c r="B323" i="61"/>
  <c r="E322" i="61"/>
  <c r="D322" i="61"/>
  <c r="C322" i="61"/>
  <c r="B322" i="61"/>
  <c r="E321" i="61"/>
  <c r="D321" i="61"/>
  <c r="C321" i="61"/>
  <c r="B321" i="61"/>
  <c r="E320" i="61"/>
  <c r="D320" i="61"/>
  <c r="C320" i="61"/>
  <c r="B320" i="61"/>
  <c r="E319" i="61"/>
  <c r="D319" i="61"/>
  <c r="C319" i="61"/>
  <c r="B319" i="61"/>
  <c r="E318" i="61"/>
  <c r="D318" i="61"/>
  <c r="C318" i="61"/>
  <c r="B318" i="61"/>
  <c r="E317" i="61"/>
  <c r="D317" i="61"/>
  <c r="C317" i="61"/>
  <c r="B317" i="61"/>
  <c r="E316" i="61"/>
  <c r="D316" i="61"/>
  <c r="C316" i="61"/>
  <c r="B316" i="61"/>
  <c r="E315" i="61"/>
  <c r="D315" i="61"/>
  <c r="C315" i="61"/>
  <c r="B315" i="61"/>
  <c r="E314" i="61"/>
  <c r="D314" i="61"/>
  <c r="C314" i="61"/>
  <c r="B314" i="61"/>
  <c r="E313" i="61"/>
  <c r="D313" i="61"/>
  <c r="C313" i="61"/>
  <c r="B313" i="61"/>
  <c r="E312" i="61"/>
  <c r="D312" i="61"/>
  <c r="C312" i="61"/>
  <c r="B312" i="61"/>
  <c r="E311" i="61"/>
  <c r="D311" i="61"/>
  <c r="C311" i="61"/>
  <c r="B311" i="61"/>
  <c r="E310" i="61"/>
  <c r="D310" i="61"/>
  <c r="C310" i="61"/>
  <c r="B310" i="61"/>
  <c r="E309" i="61"/>
  <c r="D309" i="61"/>
  <c r="C309" i="61"/>
  <c r="B309" i="61"/>
  <c r="E308" i="61"/>
  <c r="D308" i="61"/>
  <c r="C308" i="61"/>
  <c r="B308" i="61"/>
  <c r="E307" i="61"/>
  <c r="D307" i="61"/>
  <c r="C307" i="61"/>
  <c r="B307" i="61"/>
  <c r="E306" i="61"/>
  <c r="D306" i="61"/>
  <c r="C306" i="61"/>
  <c r="B306" i="61"/>
  <c r="E305" i="61"/>
  <c r="D305" i="61"/>
  <c r="C305" i="61"/>
  <c r="B305" i="61"/>
  <c r="E304" i="61"/>
  <c r="D304" i="61"/>
  <c r="C304" i="61"/>
  <c r="B304" i="61"/>
  <c r="E303" i="61"/>
  <c r="D303" i="61"/>
  <c r="C303" i="61"/>
  <c r="B303" i="61"/>
  <c r="E302" i="61"/>
  <c r="D302" i="61"/>
  <c r="C302" i="61"/>
  <c r="B302" i="61"/>
  <c r="E301" i="61"/>
  <c r="D301" i="61"/>
  <c r="C301" i="61"/>
  <c r="B301" i="61"/>
  <c r="E300" i="61"/>
  <c r="D300" i="61"/>
  <c r="C300" i="61"/>
  <c r="B300" i="61"/>
  <c r="E299" i="61"/>
  <c r="D299" i="61"/>
  <c r="C299" i="61"/>
  <c r="B299" i="61"/>
  <c r="E298" i="61"/>
  <c r="D298" i="61"/>
  <c r="C298" i="61"/>
  <c r="B298" i="61"/>
  <c r="E297" i="61"/>
  <c r="D297" i="61"/>
  <c r="C297" i="61"/>
  <c r="B297" i="61"/>
  <c r="E296" i="61"/>
  <c r="D296" i="61"/>
  <c r="C296" i="61"/>
  <c r="B296" i="61"/>
  <c r="E295" i="61"/>
  <c r="D295" i="61"/>
  <c r="C295" i="61"/>
  <c r="B295" i="61"/>
  <c r="E294" i="61"/>
  <c r="D294" i="61"/>
  <c r="C294" i="61"/>
  <c r="B294" i="61"/>
  <c r="E293" i="61"/>
  <c r="D293" i="61"/>
  <c r="C293" i="61"/>
  <c r="B293" i="61"/>
  <c r="E292" i="61"/>
  <c r="D292" i="61"/>
  <c r="C292" i="61"/>
  <c r="B292" i="61"/>
  <c r="E291" i="61"/>
  <c r="D291" i="61"/>
  <c r="C291" i="61"/>
  <c r="B291" i="61"/>
  <c r="E290" i="61"/>
  <c r="D290" i="61"/>
  <c r="C290" i="61"/>
  <c r="B290" i="61"/>
  <c r="E289" i="61"/>
  <c r="D289" i="61"/>
  <c r="C289" i="61"/>
  <c r="B289" i="61"/>
  <c r="E288" i="61"/>
  <c r="D288" i="61"/>
  <c r="C288" i="61"/>
  <c r="B288" i="61"/>
  <c r="E287" i="61"/>
  <c r="D287" i="61"/>
  <c r="C287" i="61"/>
  <c r="B287" i="61"/>
  <c r="E286" i="61"/>
  <c r="D286" i="61"/>
  <c r="C286" i="61"/>
  <c r="B286" i="61"/>
  <c r="E285" i="61"/>
  <c r="D285" i="61"/>
  <c r="C285" i="61"/>
  <c r="B285" i="61"/>
  <c r="E284" i="61"/>
  <c r="D284" i="61"/>
  <c r="C284" i="61"/>
  <c r="B284" i="61"/>
  <c r="E283" i="61"/>
  <c r="D283" i="61"/>
  <c r="C283" i="61"/>
  <c r="B283" i="61"/>
  <c r="E282" i="61"/>
  <c r="D282" i="61"/>
  <c r="C282" i="61"/>
  <c r="B282" i="61"/>
  <c r="E281" i="61"/>
  <c r="D281" i="61"/>
  <c r="C281" i="61"/>
  <c r="B281" i="61"/>
  <c r="E280" i="61"/>
  <c r="D280" i="61"/>
  <c r="C280" i="61"/>
  <c r="B280" i="61"/>
  <c r="E279" i="61"/>
  <c r="D279" i="61"/>
  <c r="C279" i="61"/>
  <c r="B279" i="61"/>
  <c r="E278" i="61"/>
  <c r="D278" i="61"/>
  <c r="C278" i="61"/>
  <c r="B278" i="61"/>
  <c r="E277" i="61"/>
  <c r="D277" i="61"/>
  <c r="C277" i="61"/>
  <c r="B277" i="61"/>
  <c r="E276" i="61"/>
  <c r="D276" i="61"/>
  <c r="C276" i="61"/>
  <c r="B276" i="61"/>
  <c r="E275" i="61"/>
  <c r="D275" i="61"/>
  <c r="C275" i="61"/>
  <c r="B275" i="61"/>
  <c r="E274" i="61"/>
  <c r="D274" i="61"/>
  <c r="C274" i="61"/>
  <c r="B274" i="61"/>
  <c r="E273" i="61"/>
  <c r="D273" i="61"/>
  <c r="C273" i="61"/>
  <c r="B273" i="61"/>
  <c r="E272" i="61"/>
  <c r="D272" i="61"/>
  <c r="C272" i="61"/>
  <c r="B272" i="61"/>
  <c r="E271" i="61"/>
  <c r="D271" i="61"/>
  <c r="C271" i="61"/>
  <c r="B271" i="61"/>
  <c r="E270" i="61"/>
  <c r="D270" i="61"/>
  <c r="C270" i="61"/>
  <c r="B270" i="61"/>
  <c r="E269" i="61"/>
  <c r="D269" i="61"/>
  <c r="C269" i="61"/>
  <c r="B269" i="61"/>
  <c r="E268" i="61"/>
  <c r="D268" i="61"/>
  <c r="C268" i="61"/>
  <c r="B268" i="61"/>
  <c r="E267" i="61"/>
  <c r="D267" i="61"/>
  <c r="C267" i="61"/>
  <c r="B267" i="61"/>
  <c r="E266" i="61"/>
  <c r="D266" i="61"/>
  <c r="C266" i="61"/>
  <c r="B266" i="61"/>
  <c r="E265" i="61"/>
  <c r="D265" i="61"/>
  <c r="C265" i="61"/>
  <c r="B265" i="61"/>
  <c r="E264" i="61"/>
  <c r="D264" i="61"/>
  <c r="C264" i="61"/>
  <c r="B264" i="61"/>
  <c r="E263" i="61"/>
  <c r="D263" i="61"/>
  <c r="C263" i="61"/>
  <c r="B263" i="61"/>
  <c r="E262" i="61"/>
  <c r="D262" i="61"/>
  <c r="C262" i="61"/>
  <c r="B262" i="61"/>
  <c r="E261" i="61"/>
  <c r="D261" i="61"/>
  <c r="C261" i="61"/>
  <c r="B261" i="61"/>
  <c r="E260" i="61"/>
  <c r="D260" i="61"/>
  <c r="C260" i="61"/>
  <c r="B260" i="61"/>
  <c r="E259" i="61"/>
  <c r="D259" i="61"/>
  <c r="C259" i="61"/>
  <c r="B259" i="61"/>
  <c r="E258" i="61"/>
  <c r="D258" i="61"/>
  <c r="C258" i="61"/>
  <c r="B258" i="61"/>
  <c r="E257" i="61"/>
  <c r="D257" i="61"/>
  <c r="C257" i="61"/>
  <c r="B257" i="61"/>
  <c r="E256" i="61"/>
  <c r="D256" i="61"/>
  <c r="C256" i="61"/>
  <c r="B256" i="61"/>
  <c r="E255" i="61"/>
  <c r="D255" i="61"/>
  <c r="C255" i="61"/>
  <c r="B255" i="61"/>
  <c r="E254" i="61"/>
  <c r="D254" i="61"/>
  <c r="C254" i="61"/>
  <c r="B254" i="61"/>
  <c r="E253" i="61"/>
  <c r="D253" i="61"/>
  <c r="C253" i="61"/>
  <c r="B253" i="61"/>
  <c r="E252" i="61"/>
  <c r="D252" i="61"/>
  <c r="C252" i="61"/>
  <c r="B252" i="61"/>
  <c r="E251" i="61"/>
  <c r="D251" i="61"/>
  <c r="C251" i="61"/>
  <c r="B251" i="61"/>
  <c r="E250" i="61"/>
  <c r="D250" i="61"/>
  <c r="C250" i="61"/>
  <c r="B250" i="61"/>
  <c r="E249" i="61"/>
  <c r="D249" i="61"/>
  <c r="C249" i="61"/>
  <c r="B249" i="61"/>
  <c r="E248" i="61"/>
  <c r="D248" i="61"/>
  <c r="C248" i="61"/>
  <c r="B248" i="61"/>
  <c r="E247" i="61"/>
  <c r="D247" i="61"/>
  <c r="C247" i="61"/>
  <c r="B247" i="61"/>
  <c r="E246" i="61"/>
  <c r="D246" i="61"/>
  <c r="C246" i="61"/>
  <c r="B246" i="61"/>
  <c r="E245" i="61"/>
  <c r="D245" i="61"/>
  <c r="C245" i="61"/>
  <c r="B245" i="61"/>
  <c r="E244" i="61"/>
  <c r="D244" i="61"/>
  <c r="C244" i="61"/>
  <c r="B244" i="61"/>
  <c r="E243" i="61"/>
  <c r="D243" i="61"/>
  <c r="C243" i="61"/>
  <c r="B243" i="61"/>
  <c r="E242" i="61"/>
  <c r="D242" i="61"/>
  <c r="C242" i="61"/>
  <c r="B242" i="61"/>
  <c r="E241" i="61"/>
  <c r="D241" i="61"/>
  <c r="C241" i="61"/>
  <c r="B241" i="61"/>
  <c r="E240" i="61"/>
  <c r="D240" i="61"/>
  <c r="C240" i="61"/>
  <c r="B240" i="61"/>
  <c r="E239" i="61"/>
  <c r="D239" i="61"/>
  <c r="C239" i="61"/>
  <c r="B239" i="61"/>
  <c r="E238" i="61"/>
  <c r="D238" i="61"/>
  <c r="C238" i="61"/>
  <c r="B238" i="61"/>
  <c r="E237" i="61"/>
  <c r="D237" i="61"/>
  <c r="C237" i="61"/>
  <c r="B237" i="61"/>
  <c r="E236" i="61"/>
  <c r="D236" i="61"/>
  <c r="C236" i="61"/>
  <c r="B236" i="61"/>
  <c r="E235" i="61"/>
  <c r="D235" i="61"/>
  <c r="C235" i="61"/>
  <c r="B235" i="61"/>
  <c r="E234" i="61"/>
  <c r="D234" i="61"/>
  <c r="C234" i="61"/>
  <c r="B234" i="61"/>
  <c r="E233" i="61"/>
  <c r="D233" i="61"/>
  <c r="C233" i="61"/>
  <c r="B233" i="61"/>
  <c r="E232" i="61"/>
  <c r="D232" i="61"/>
  <c r="C232" i="61"/>
  <c r="B232" i="61"/>
  <c r="E231" i="61"/>
  <c r="D231" i="61"/>
  <c r="C231" i="61"/>
  <c r="B231" i="61"/>
  <c r="E230" i="61"/>
  <c r="D230" i="61"/>
  <c r="C230" i="61"/>
  <c r="B230" i="61"/>
  <c r="E229" i="61"/>
  <c r="D229" i="61"/>
  <c r="C229" i="61"/>
  <c r="B229" i="61"/>
  <c r="E228" i="61"/>
  <c r="D228" i="61"/>
  <c r="C228" i="61"/>
  <c r="B228" i="61"/>
  <c r="E227" i="61"/>
  <c r="D227" i="61"/>
  <c r="C227" i="61"/>
  <c r="B227" i="61"/>
  <c r="E226" i="61"/>
  <c r="D226" i="61"/>
  <c r="C226" i="61"/>
  <c r="B226" i="61"/>
  <c r="E225" i="61"/>
  <c r="D225" i="61"/>
  <c r="C225" i="61"/>
  <c r="B225" i="61"/>
  <c r="E224" i="61"/>
  <c r="D224" i="61"/>
  <c r="C224" i="61"/>
  <c r="B224" i="61"/>
  <c r="E223" i="61"/>
  <c r="D223" i="61"/>
  <c r="C223" i="61"/>
  <c r="B223" i="61"/>
  <c r="E222" i="61"/>
  <c r="D222" i="61"/>
  <c r="C222" i="61"/>
  <c r="B222" i="61"/>
  <c r="E221" i="61"/>
  <c r="D221" i="61"/>
  <c r="C221" i="61"/>
  <c r="B221" i="61"/>
  <c r="E220" i="61"/>
  <c r="D220" i="61"/>
  <c r="C220" i="61"/>
  <c r="B220" i="61"/>
  <c r="E219" i="61"/>
  <c r="D219" i="61"/>
  <c r="C219" i="61"/>
  <c r="B219" i="61"/>
  <c r="E218" i="61"/>
  <c r="D218" i="61"/>
  <c r="C218" i="61"/>
  <c r="B218" i="61"/>
  <c r="E217" i="61"/>
  <c r="D217" i="61"/>
  <c r="C217" i="61"/>
  <c r="B217" i="61"/>
  <c r="E216" i="61"/>
  <c r="D216" i="61"/>
  <c r="C216" i="61"/>
  <c r="B216" i="61"/>
  <c r="E215" i="61"/>
  <c r="D215" i="61"/>
  <c r="C215" i="61"/>
  <c r="B215" i="61"/>
  <c r="E214" i="61"/>
  <c r="D214" i="61"/>
  <c r="C214" i="61"/>
  <c r="B214" i="61"/>
  <c r="E213" i="61"/>
  <c r="D213" i="61"/>
  <c r="C213" i="61"/>
  <c r="B213" i="61"/>
  <c r="E212" i="61"/>
  <c r="D212" i="61"/>
  <c r="C212" i="61"/>
  <c r="B212" i="61"/>
  <c r="E211" i="61"/>
  <c r="D211" i="61"/>
  <c r="C211" i="61"/>
  <c r="B211" i="61"/>
  <c r="E210" i="61"/>
  <c r="D210" i="61"/>
  <c r="C210" i="61"/>
  <c r="B210" i="61"/>
  <c r="E209" i="61"/>
  <c r="D209" i="61"/>
  <c r="C209" i="61"/>
  <c r="B209" i="61"/>
  <c r="E208" i="61"/>
  <c r="D208" i="61"/>
  <c r="C208" i="61"/>
  <c r="B208" i="61"/>
  <c r="E207" i="61"/>
  <c r="D207" i="61"/>
  <c r="C207" i="61"/>
  <c r="B207" i="61"/>
  <c r="E206" i="61"/>
  <c r="D206" i="61"/>
  <c r="C206" i="61"/>
  <c r="B206" i="61"/>
  <c r="E205" i="61"/>
  <c r="D205" i="61"/>
  <c r="C205" i="61"/>
  <c r="B205" i="61"/>
  <c r="E204" i="61"/>
  <c r="D204" i="61"/>
  <c r="C204" i="61"/>
  <c r="B204" i="61"/>
  <c r="E203" i="61"/>
  <c r="D203" i="61"/>
  <c r="C203" i="61"/>
  <c r="B203" i="61"/>
  <c r="E202" i="61"/>
  <c r="D202" i="61"/>
  <c r="C202" i="61"/>
  <c r="B202" i="61"/>
  <c r="E201" i="61"/>
  <c r="D201" i="61"/>
  <c r="C201" i="61"/>
  <c r="B201" i="61"/>
  <c r="E200" i="61"/>
  <c r="D200" i="61"/>
  <c r="C200" i="61"/>
  <c r="B200" i="61"/>
  <c r="E199" i="61"/>
  <c r="D199" i="61"/>
  <c r="C199" i="61"/>
  <c r="B199" i="61"/>
  <c r="E198" i="61"/>
  <c r="D198" i="61"/>
  <c r="C198" i="61"/>
  <c r="B198" i="61"/>
  <c r="E197" i="61"/>
  <c r="D197" i="61"/>
  <c r="C197" i="61"/>
  <c r="B197" i="61"/>
  <c r="E196" i="61"/>
  <c r="D196" i="61"/>
  <c r="C196" i="61"/>
  <c r="B196" i="61"/>
  <c r="E195" i="61"/>
  <c r="D195" i="61"/>
  <c r="C195" i="61"/>
  <c r="B195" i="61"/>
  <c r="E194" i="61"/>
  <c r="D194" i="61"/>
  <c r="C194" i="61"/>
  <c r="B194" i="61"/>
  <c r="E193" i="61"/>
  <c r="D193" i="61"/>
  <c r="C193" i="61"/>
  <c r="B193" i="61"/>
  <c r="E192" i="61"/>
  <c r="D192" i="61"/>
  <c r="C192" i="61"/>
  <c r="B192" i="61"/>
  <c r="E191" i="61"/>
  <c r="D191" i="61"/>
  <c r="C191" i="61"/>
  <c r="B191" i="61"/>
  <c r="E190" i="61"/>
  <c r="D190" i="61"/>
  <c r="C190" i="61"/>
  <c r="B190" i="61"/>
  <c r="E189" i="61"/>
  <c r="D189" i="61"/>
  <c r="C189" i="61"/>
  <c r="B189" i="61"/>
  <c r="E188" i="61"/>
  <c r="D188" i="61"/>
  <c r="C188" i="61"/>
  <c r="B188" i="61"/>
  <c r="E187" i="61"/>
  <c r="D187" i="61"/>
  <c r="C187" i="61"/>
  <c r="B187" i="61"/>
  <c r="E186" i="61"/>
  <c r="D186" i="61"/>
  <c r="C186" i="61"/>
  <c r="B186" i="61"/>
  <c r="E185" i="61"/>
  <c r="D185" i="61"/>
  <c r="C185" i="61"/>
  <c r="B185" i="61"/>
  <c r="E184" i="61"/>
  <c r="D184" i="61"/>
  <c r="C184" i="61"/>
  <c r="B184" i="61"/>
  <c r="E183" i="61"/>
  <c r="D183" i="61"/>
  <c r="C183" i="61"/>
  <c r="B183" i="61"/>
  <c r="E182" i="61"/>
  <c r="D182" i="61"/>
  <c r="C182" i="61"/>
  <c r="B182" i="61"/>
  <c r="E181" i="61"/>
  <c r="D181" i="61"/>
  <c r="C181" i="61"/>
  <c r="B181" i="61"/>
  <c r="A181" i="61"/>
  <c r="E180" i="61"/>
  <c r="D180" i="61"/>
  <c r="C180" i="61"/>
  <c r="B180" i="61"/>
  <c r="E179" i="61"/>
  <c r="D179" i="61"/>
  <c r="C179" i="61"/>
  <c r="B179" i="61"/>
  <c r="E178" i="61"/>
  <c r="D178" i="61"/>
  <c r="C178" i="61"/>
  <c r="B178" i="61"/>
  <c r="E177" i="61"/>
  <c r="D177" i="61"/>
  <c r="C177" i="61"/>
  <c r="B177" i="61"/>
  <c r="A177" i="61"/>
  <c r="E176" i="61"/>
  <c r="D176" i="61"/>
  <c r="C176" i="61"/>
  <c r="B176" i="61"/>
  <c r="E175" i="61"/>
  <c r="D175" i="61"/>
  <c r="C175" i="61"/>
  <c r="B175" i="61"/>
  <c r="E174" i="61"/>
  <c r="D174" i="61"/>
  <c r="C174" i="61"/>
  <c r="B174" i="61"/>
  <c r="E173" i="61"/>
  <c r="D173" i="61"/>
  <c r="C173" i="61"/>
  <c r="B173" i="61"/>
  <c r="A173" i="61"/>
  <c r="E172" i="61"/>
  <c r="D172" i="61"/>
  <c r="C172" i="61"/>
  <c r="B172" i="61"/>
  <c r="E171" i="61"/>
  <c r="D171" i="61"/>
  <c r="C171" i="61"/>
  <c r="B171" i="61"/>
  <c r="E170" i="61"/>
  <c r="D170" i="61"/>
  <c r="C170" i="61"/>
  <c r="B170" i="61"/>
  <c r="E169" i="61"/>
  <c r="D169" i="61"/>
  <c r="C169" i="61"/>
  <c r="B169" i="61"/>
  <c r="A169" i="61"/>
  <c r="E168" i="61"/>
  <c r="D168" i="61"/>
  <c r="C168" i="61"/>
  <c r="B168" i="61"/>
  <c r="E167" i="61"/>
  <c r="D167" i="61"/>
  <c r="C167" i="61"/>
  <c r="B167" i="61"/>
  <c r="E166" i="61"/>
  <c r="D166" i="61"/>
  <c r="C166" i="61"/>
  <c r="B166" i="61"/>
  <c r="E165" i="61"/>
  <c r="D165" i="61"/>
  <c r="C165" i="61"/>
  <c r="B165" i="61"/>
  <c r="A165" i="61"/>
  <c r="E164" i="61"/>
  <c r="D164" i="61"/>
  <c r="C164" i="61"/>
  <c r="B164" i="61"/>
  <c r="E163" i="61"/>
  <c r="D163" i="61"/>
  <c r="C163" i="61"/>
  <c r="B163" i="61"/>
  <c r="E162" i="61"/>
  <c r="D162" i="61"/>
  <c r="C162" i="61"/>
  <c r="B162" i="61"/>
  <c r="E161" i="61"/>
  <c r="D161" i="61"/>
  <c r="C161" i="61"/>
  <c r="B161" i="61"/>
  <c r="E160" i="61"/>
  <c r="D160" i="61"/>
  <c r="C160" i="61"/>
  <c r="B160" i="61"/>
  <c r="E159" i="61"/>
  <c r="D159" i="61"/>
  <c r="C159" i="61"/>
  <c r="B159" i="61"/>
  <c r="E158" i="61"/>
  <c r="D158" i="61"/>
  <c r="C158" i="61"/>
  <c r="B158" i="61"/>
  <c r="E157" i="61"/>
  <c r="D157" i="61"/>
  <c r="C157" i="61"/>
  <c r="B157" i="61"/>
  <c r="E156" i="61"/>
  <c r="D156" i="61"/>
  <c r="C156" i="61"/>
  <c r="B156" i="61"/>
  <c r="E155" i="61"/>
  <c r="D155" i="61"/>
  <c r="C155" i="61"/>
  <c r="B155" i="61"/>
  <c r="E154" i="61"/>
  <c r="D154" i="61"/>
  <c r="C154" i="61"/>
  <c r="B154" i="61"/>
  <c r="E153" i="61"/>
  <c r="D153" i="61"/>
  <c r="C153" i="61"/>
  <c r="B153" i="61"/>
  <c r="E152" i="61"/>
  <c r="D152" i="61"/>
  <c r="C152" i="61"/>
  <c r="B152" i="61"/>
  <c r="E151" i="61"/>
  <c r="D151" i="61"/>
  <c r="C151" i="61"/>
  <c r="B151" i="61"/>
  <c r="E150" i="61"/>
  <c r="D150" i="61"/>
  <c r="C150" i="61"/>
  <c r="B150" i="61"/>
  <c r="E149" i="61"/>
  <c r="D149" i="61"/>
  <c r="C149" i="61"/>
  <c r="B149" i="61"/>
  <c r="A149" i="61"/>
  <c r="E148" i="61"/>
  <c r="D148" i="61"/>
  <c r="C148" i="61"/>
  <c r="B148" i="61"/>
  <c r="E147" i="61"/>
  <c r="D147" i="61"/>
  <c r="C147" i="61"/>
  <c r="B147" i="61"/>
  <c r="E146" i="61"/>
  <c r="D146" i="61"/>
  <c r="C146" i="61"/>
  <c r="B146" i="61"/>
  <c r="E145" i="61"/>
  <c r="D145" i="61"/>
  <c r="C145" i="61"/>
  <c r="B145" i="61"/>
  <c r="E144" i="61"/>
  <c r="D144" i="61"/>
  <c r="C144" i="61"/>
  <c r="B144" i="61"/>
  <c r="E143" i="61"/>
  <c r="D143" i="61"/>
  <c r="C143" i="61"/>
  <c r="B143" i="61"/>
  <c r="E142" i="61"/>
  <c r="D142" i="61"/>
  <c r="C142" i="61"/>
  <c r="B142" i="61"/>
  <c r="E141" i="61"/>
  <c r="D141" i="61"/>
  <c r="C141" i="61"/>
  <c r="B141" i="61"/>
  <c r="A141" i="61"/>
  <c r="E140" i="61"/>
  <c r="D140" i="61"/>
  <c r="C140" i="61"/>
  <c r="B140" i="61"/>
  <c r="E139" i="61"/>
  <c r="D139" i="61"/>
  <c r="C139" i="61"/>
  <c r="B139" i="61"/>
  <c r="E138" i="61"/>
  <c r="D138" i="61"/>
  <c r="C138" i="61"/>
  <c r="B138" i="61"/>
  <c r="E137" i="61"/>
  <c r="D137" i="61"/>
  <c r="C137" i="61"/>
  <c r="B137" i="61"/>
  <c r="A137" i="61"/>
  <c r="E136" i="61"/>
  <c r="D136" i="61"/>
  <c r="C136" i="61"/>
  <c r="B136" i="61"/>
  <c r="E135" i="61"/>
  <c r="D135" i="61"/>
  <c r="C135" i="61"/>
  <c r="B135" i="61"/>
  <c r="E134" i="61"/>
  <c r="D134" i="61"/>
  <c r="C134" i="61"/>
  <c r="B134" i="61"/>
  <c r="E133" i="61"/>
  <c r="D133" i="61"/>
  <c r="C133" i="61"/>
  <c r="B133" i="61"/>
  <c r="A133" i="61"/>
  <c r="E132" i="61"/>
  <c r="D132" i="61"/>
  <c r="C132" i="61"/>
  <c r="B132" i="61"/>
  <c r="E131" i="61"/>
  <c r="D131" i="61"/>
  <c r="C131" i="61"/>
  <c r="B131" i="61"/>
  <c r="E130" i="61"/>
  <c r="D130" i="61"/>
  <c r="C130" i="61"/>
  <c r="B130" i="61"/>
  <c r="E129" i="61"/>
  <c r="D129" i="61"/>
  <c r="C129" i="61"/>
  <c r="B129" i="61"/>
  <c r="A129" i="61"/>
  <c r="E128" i="61"/>
  <c r="D128" i="61"/>
  <c r="C128" i="61"/>
  <c r="B128" i="61"/>
  <c r="E127" i="61"/>
  <c r="D127" i="61"/>
  <c r="C127" i="61"/>
  <c r="B127" i="61"/>
  <c r="E126" i="61"/>
  <c r="D126" i="61"/>
  <c r="C126" i="61"/>
  <c r="B126" i="61"/>
  <c r="E125" i="61"/>
  <c r="D125" i="61"/>
  <c r="C125" i="61"/>
  <c r="B125" i="61"/>
  <c r="A125" i="61"/>
  <c r="E124" i="61"/>
  <c r="D124" i="61"/>
  <c r="C124" i="61"/>
  <c r="B124" i="61"/>
  <c r="E123" i="61"/>
  <c r="D123" i="61"/>
  <c r="C123" i="61"/>
  <c r="B123" i="61"/>
  <c r="E122" i="61"/>
  <c r="D122" i="61"/>
  <c r="C122" i="61"/>
  <c r="B122" i="61"/>
  <c r="E121" i="61"/>
  <c r="D121" i="61"/>
  <c r="C121" i="61"/>
  <c r="B121" i="61"/>
  <c r="A121" i="61"/>
  <c r="E120" i="61"/>
  <c r="D120" i="61"/>
  <c r="C120" i="61"/>
  <c r="B120" i="61"/>
  <c r="E119" i="61"/>
  <c r="D119" i="61"/>
  <c r="C119" i="61"/>
  <c r="B119" i="61"/>
  <c r="E118" i="61"/>
  <c r="D118" i="61"/>
  <c r="C118" i="61"/>
  <c r="B118" i="61"/>
  <c r="E117" i="61"/>
  <c r="D117" i="61"/>
  <c r="C117" i="61"/>
  <c r="B117" i="61"/>
  <c r="E116" i="61"/>
  <c r="D116" i="61"/>
  <c r="C116" i="61"/>
  <c r="B116" i="61"/>
  <c r="E115" i="61"/>
  <c r="D115" i="61"/>
  <c r="C115" i="61"/>
  <c r="B115" i="61"/>
  <c r="E114" i="61"/>
  <c r="D114" i="61"/>
  <c r="C114" i="61"/>
  <c r="B114" i="61"/>
  <c r="E113" i="61"/>
  <c r="D113" i="61"/>
  <c r="C113" i="61"/>
  <c r="B113" i="61"/>
  <c r="E112" i="61"/>
  <c r="D112" i="61"/>
  <c r="C112" i="61"/>
  <c r="B112" i="61"/>
  <c r="E111" i="61"/>
  <c r="D111" i="61"/>
  <c r="C111" i="61"/>
  <c r="B111" i="61"/>
  <c r="E110" i="61"/>
  <c r="D110" i="61"/>
  <c r="C110" i="61"/>
  <c r="B110" i="61"/>
  <c r="E109" i="61"/>
  <c r="D109" i="61"/>
  <c r="C109" i="61"/>
  <c r="B109" i="61"/>
  <c r="A109" i="61"/>
  <c r="E108" i="61"/>
  <c r="D108" i="61"/>
  <c r="C108" i="61"/>
  <c r="B108" i="61"/>
  <c r="E107" i="61"/>
  <c r="D107" i="61"/>
  <c r="C107" i="61"/>
  <c r="B107" i="61"/>
  <c r="E106" i="61"/>
  <c r="D106" i="61"/>
  <c r="C106" i="61"/>
  <c r="B106" i="61"/>
  <c r="E105" i="61"/>
  <c r="D105" i="61"/>
  <c r="C105" i="61"/>
  <c r="B105" i="61"/>
  <c r="E104" i="61"/>
  <c r="D104" i="61"/>
  <c r="C104" i="61"/>
  <c r="B104" i="61"/>
  <c r="E103" i="61"/>
  <c r="D103" i="61"/>
  <c r="C103" i="61"/>
  <c r="B103" i="61"/>
  <c r="E102" i="61"/>
  <c r="D102" i="61"/>
  <c r="C102" i="61"/>
  <c r="B102" i="61"/>
  <c r="E101" i="61"/>
  <c r="D101" i="61"/>
  <c r="C101" i="61"/>
  <c r="B101" i="61"/>
  <c r="E100" i="61"/>
  <c r="D100" i="61"/>
  <c r="C100" i="61"/>
  <c r="B100" i="61"/>
  <c r="E99" i="61"/>
  <c r="D99" i="61"/>
  <c r="C99" i="61"/>
  <c r="B99" i="61"/>
  <c r="E98" i="61"/>
  <c r="D98" i="61"/>
  <c r="C98" i="61"/>
  <c r="B98" i="61"/>
  <c r="E97" i="61"/>
  <c r="D97" i="61"/>
  <c r="C97" i="61"/>
  <c r="B97" i="61"/>
  <c r="A97" i="61"/>
  <c r="E96" i="61"/>
  <c r="D96" i="61"/>
  <c r="C96" i="61"/>
  <c r="B96" i="61"/>
  <c r="E95" i="61"/>
  <c r="D95" i="61"/>
  <c r="C95" i="61"/>
  <c r="B95" i="61"/>
  <c r="E94" i="61"/>
  <c r="D94" i="61"/>
  <c r="C94" i="61"/>
  <c r="B94" i="61"/>
  <c r="E93" i="61"/>
  <c r="D93" i="61"/>
  <c r="C93" i="61"/>
  <c r="B93" i="61"/>
  <c r="E92" i="61"/>
  <c r="D92" i="61"/>
  <c r="C92" i="61"/>
  <c r="B92" i="61"/>
  <c r="E91" i="61"/>
  <c r="D91" i="61"/>
  <c r="C91" i="61"/>
  <c r="B91" i="61"/>
  <c r="E90" i="61"/>
  <c r="D90" i="61"/>
  <c r="C90" i="61"/>
  <c r="B90" i="61"/>
  <c r="E89" i="61"/>
  <c r="D89" i="61"/>
  <c r="C89" i="61"/>
  <c r="B89" i="61"/>
  <c r="A89" i="61"/>
  <c r="E88" i="61"/>
  <c r="D88" i="61"/>
  <c r="C88" i="61"/>
  <c r="B88" i="61"/>
  <c r="E87" i="61"/>
  <c r="D87" i="61"/>
  <c r="C87" i="61"/>
  <c r="B87" i="61"/>
  <c r="E86" i="61"/>
  <c r="D86" i="61"/>
  <c r="C86" i="61"/>
  <c r="B86" i="61"/>
  <c r="E85" i="61"/>
  <c r="D85" i="61"/>
  <c r="C85" i="61"/>
  <c r="B85" i="61"/>
  <c r="A85" i="61"/>
  <c r="E84" i="61"/>
  <c r="D84" i="61"/>
  <c r="C84" i="61"/>
  <c r="B84" i="61"/>
  <c r="E83" i="61"/>
  <c r="D83" i="61"/>
  <c r="C83" i="61"/>
  <c r="B83" i="61"/>
  <c r="E82" i="61"/>
  <c r="D82" i="61"/>
  <c r="C82" i="61"/>
  <c r="B82" i="61"/>
  <c r="E81" i="61"/>
  <c r="D81" i="61"/>
  <c r="C81" i="61"/>
  <c r="B81" i="61"/>
  <c r="A81" i="61"/>
  <c r="E80" i="61"/>
  <c r="D80" i="61"/>
  <c r="C80" i="61"/>
  <c r="B80" i="61"/>
  <c r="E79" i="61"/>
  <c r="D79" i="61"/>
  <c r="C79" i="61"/>
  <c r="B79" i="61"/>
  <c r="E78" i="61"/>
  <c r="D78" i="61"/>
  <c r="C78" i="61"/>
  <c r="B78" i="61"/>
  <c r="E77" i="61"/>
  <c r="D77" i="61"/>
  <c r="C77" i="61"/>
  <c r="B77" i="61"/>
  <c r="A77" i="61"/>
  <c r="E76" i="61"/>
  <c r="D76" i="61"/>
  <c r="C76" i="61"/>
  <c r="B76" i="61"/>
  <c r="E75" i="61"/>
  <c r="D75" i="61"/>
  <c r="C75" i="61"/>
  <c r="B75" i="61"/>
  <c r="E74" i="61"/>
  <c r="D74" i="61"/>
  <c r="C74" i="61"/>
  <c r="B74" i="61"/>
  <c r="E73" i="61"/>
  <c r="D73" i="61"/>
  <c r="C73" i="61"/>
  <c r="B73" i="61"/>
  <c r="E72" i="61"/>
  <c r="D72" i="61"/>
  <c r="C72" i="61"/>
  <c r="B72" i="61"/>
  <c r="E71" i="61"/>
  <c r="D71" i="61"/>
  <c r="C71" i="61"/>
  <c r="B71" i="61"/>
  <c r="E70" i="61"/>
  <c r="D70" i="61"/>
  <c r="C70" i="61"/>
  <c r="B70" i="61"/>
  <c r="E69" i="61"/>
  <c r="D69" i="61"/>
  <c r="C69" i="61"/>
  <c r="B69" i="61"/>
  <c r="A69" i="61"/>
  <c r="E68" i="61"/>
  <c r="D68" i="61"/>
  <c r="C68" i="61"/>
  <c r="B68" i="61"/>
  <c r="E67" i="61"/>
  <c r="D67" i="61"/>
  <c r="C67" i="61"/>
  <c r="B67" i="61"/>
  <c r="E66" i="61"/>
  <c r="D66" i="61"/>
  <c r="C66" i="61"/>
  <c r="B66" i="61"/>
  <c r="E65" i="61"/>
  <c r="D65" i="61"/>
  <c r="C65" i="61"/>
  <c r="B65" i="61"/>
  <c r="E64" i="61"/>
  <c r="D64" i="61"/>
  <c r="C64" i="61"/>
  <c r="B64" i="61"/>
  <c r="E63" i="61"/>
  <c r="D63" i="61"/>
  <c r="C63" i="61"/>
  <c r="B63" i="61"/>
  <c r="E62" i="61"/>
  <c r="D62" i="61"/>
  <c r="C62" i="61"/>
  <c r="B62" i="61"/>
  <c r="E61" i="61"/>
  <c r="D61" i="61"/>
  <c r="C61" i="61"/>
  <c r="B61" i="61"/>
  <c r="A61" i="61"/>
  <c r="E60" i="61"/>
  <c r="D60" i="61"/>
  <c r="C60" i="61"/>
  <c r="B60" i="61"/>
  <c r="E59" i="61"/>
  <c r="D59" i="61"/>
  <c r="C59" i="61"/>
  <c r="B59" i="61"/>
  <c r="E58" i="61"/>
  <c r="D58" i="61"/>
  <c r="C58" i="61"/>
  <c r="B58" i="61"/>
  <c r="E57" i="61"/>
  <c r="D57" i="61"/>
  <c r="C57" i="61"/>
  <c r="B57" i="61"/>
  <c r="A57" i="61"/>
  <c r="E56" i="61"/>
  <c r="D56" i="61"/>
  <c r="C56" i="61"/>
  <c r="B56" i="61"/>
  <c r="E55" i="61"/>
  <c r="D55" i="61"/>
  <c r="C55" i="61"/>
  <c r="B55" i="61"/>
  <c r="E54" i="61"/>
  <c r="D54" i="61"/>
  <c r="C54" i="61"/>
  <c r="B54" i="61"/>
  <c r="E53" i="61"/>
  <c r="D53" i="61"/>
  <c r="C53" i="61"/>
  <c r="B53" i="61"/>
  <c r="A53" i="61"/>
  <c r="E52" i="61"/>
  <c r="D52" i="61"/>
  <c r="C52" i="61"/>
  <c r="B52" i="61"/>
  <c r="E51" i="61"/>
  <c r="D51" i="61"/>
  <c r="C51" i="61"/>
  <c r="B51" i="61"/>
  <c r="E50" i="61"/>
  <c r="D50" i="61"/>
  <c r="C50" i="61"/>
  <c r="B50" i="61"/>
  <c r="E49" i="61"/>
  <c r="D49" i="61"/>
  <c r="C49" i="61"/>
  <c r="B49" i="61"/>
  <c r="E48" i="61"/>
  <c r="D48" i="61"/>
  <c r="C48" i="61"/>
  <c r="B48" i="61"/>
  <c r="E47" i="61"/>
  <c r="D47" i="61"/>
  <c r="C47" i="61"/>
  <c r="B47" i="61"/>
  <c r="E46" i="61"/>
  <c r="D46" i="61"/>
  <c r="C46" i="61"/>
  <c r="B46" i="61"/>
  <c r="E45" i="61"/>
  <c r="D45" i="61"/>
  <c r="C45" i="61"/>
  <c r="B45" i="61"/>
  <c r="E44" i="61"/>
  <c r="D44" i="61"/>
  <c r="C44" i="61"/>
  <c r="B44" i="61"/>
  <c r="E43" i="61"/>
  <c r="D43" i="61"/>
  <c r="C43" i="61"/>
  <c r="B43" i="61"/>
  <c r="E42" i="61"/>
  <c r="D42" i="61"/>
  <c r="C42" i="61"/>
  <c r="B42" i="61"/>
  <c r="E41" i="61"/>
  <c r="D41" i="61"/>
  <c r="C41" i="61"/>
  <c r="B41" i="61"/>
  <c r="A41" i="61"/>
  <c r="E40" i="61"/>
  <c r="D40" i="61"/>
  <c r="C40" i="61"/>
  <c r="B40" i="61"/>
  <c r="E39" i="61"/>
  <c r="D39" i="61"/>
  <c r="C39" i="61"/>
  <c r="B39" i="61"/>
  <c r="E38" i="61"/>
  <c r="D38" i="61"/>
  <c r="C38" i="61"/>
  <c r="B38" i="61"/>
  <c r="E37" i="61"/>
  <c r="D37" i="61"/>
  <c r="C37" i="61"/>
  <c r="B37" i="61"/>
  <c r="A37" i="61"/>
  <c r="E36" i="61"/>
  <c r="D36" i="61"/>
  <c r="C36" i="61"/>
  <c r="B36" i="61"/>
  <c r="E35" i="61"/>
  <c r="D35" i="61"/>
  <c r="C35" i="61"/>
  <c r="B35" i="61"/>
  <c r="E34" i="61"/>
  <c r="D34" i="61"/>
  <c r="C34" i="61"/>
  <c r="B34" i="61"/>
  <c r="E33" i="61"/>
  <c r="D33" i="61"/>
  <c r="C33" i="61"/>
  <c r="B33" i="61"/>
  <c r="E32" i="61"/>
  <c r="D32" i="61"/>
  <c r="C32" i="61"/>
  <c r="B32" i="61"/>
  <c r="E31" i="61"/>
  <c r="D31" i="61"/>
  <c r="C31" i="61"/>
  <c r="B31" i="61"/>
  <c r="E30" i="61"/>
  <c r="D30" i="61"/>
  <c r="C30" i="61"/>
  <c r="B30" i="61"/>
  <c r="E29" i="61"/>
  <c r="D29" i="61"/>
  <c r="C29" i="61"/>
  <c r="B29" i="61"/>
  <c r="A29" i="61"/>
  <c r="E28" i="61"/>
  <c r="D28" i="61"/>
  <c r="C28" i="61"/>
  <c r="B28" i="61"/>
  <c r="E27" i="61"/>
  <c r="D27" i="61"/>
  <c r="C27" i="61"/>
  <c r="B27" i="61"/>
  <c r="E26" i="61"/>
  <c r="D26" i="61"/>
  <c r="C26" i="61"/>
  <c r="B26" i="61"/>
  <c r="E25" i="61"/>
  <c r="D25" i="61"/>
  <c r="C25" i="61"/>
  <c r="B25" i="61"/>
  <c r="E24" i="61"/>
  <c r="D24" i="61"/>
  <c r="C24" i="61"/>
  <c r="B24" i="61"/>
  <c r="E23" i="61"/>
  <c r="D23" i="61"/>
  <c r="C23" i="61"/>
  <c r="B23" i="61"/>
  <c r="E22" i="61"/>
  <c r="D22" i="61"/>
  <c r="C22" i="61"/>
  <c r="B22" i="61"/>
  <c r="E21" i="61"/>
  <c r="D21" i="61"/>
  <c r="C21" i="61"/>
  <c r="B21" i="61"/>
  <c r="E20" i="61"/>
  <c r="D20" i="61"/>
  <c r="C20" i="61"/>
  <c r="B20" i="61"/>
  <c r="E19" i="61"/>
  <c r="D19" i="61"/>
  <c r="C19" i="61"/>
  <c r="B19" i="61"/>
  <c r="E18" i="61"/>
  <c r="D18" i="61"/>
  <c r="C18" i="61"/>
  <c r="B18" i="61"/>
  <c r="E17" i="61"/>
  <c r="D17" i="61"/>
  <c r="C17" i="61"/>
  <c r="B17" i="61"/>
  <c r="E16" i="61"/>
  <c r="D16" i="61"/>
  <c r="C16" i="61"/>
  <c r="B16" i="61"/>
  <c r="E15" i="61"/>
  <c r="D15" i="61"/>
  <c r="C15" i="61"/>
  <c r="B15" i="61"/>
  <c r="E14" i="61"/>
  <c r="D14" i="61"/>
  <c r="C14" i="61"/>
  <c r="B14" i="61"/>
  <c r="E13" i="61"/>
  <c r="D13" i="61"/>
  <c r="C13" i="61"/>
  <c r="B13" i="61"/>
  <c r="E12" i="61"/>
  <c r="D12" i="61"/>
  <c r="C12" i="61"/>
  <c r="B12" i="61"/>
  <c r="E11" i="61"/>
  <c r="D11" i="61"/>
  <c r="C11" i="61"/>
  <c r="B11" i="61"/>
  <c r="E10" i="61"/>
  <c r="D10" i="61"/>
  <c r="C10" i="61"/>
  <c r="B10" i="61"/>
  <c r="E9" i="61"/>
  <c r="D9" i="61"/>
  <c r="C9" i="61"/>
  <c r="B9" i="61"/>
  <c r="E8" i="61"/>
  <c r="D8" i="61"/>
  <c r="C8" i="61"/>
  <c r="B8" i="61"/>
  <c r="E7" i="61"/>
  <c r="D7" i="61"/>
  <c r="C7" i="61"/>
  <c r="B7" i="61"/>
  <c r="E6" i="61"/>
  <c r="D6" i="61"/>
  <c r="C6" i="61"/>
  <c r="B6" i="61"/>
  <c r="E5" i="61"/>
  <c r="D5" i="61"/>
  <c r="C5" i="61"/>
  <c r="B5" i="61"/>
  <c r="G1" i="61"/>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4" i="57"/>
  <c r="D33" i="57"/>
  <c r="D32" i="57"/>
  <c r="D31" i="57"/>
  <c r="D30" i="57"/>
  <c r="D29" i="57"/>
  <c r="D28" i="57"/>
  <c r="D27" i="57"/>
  <c r="D26" i="57"/>
  <c r="D25" i="57"/>
  <c r="D24" i="57"/>
  <c r="D23" i="57"/>
  <c r="D22" i="57"/>
  <c r="D21" i="57"/>
  <c r="D20" i="57"/>
  <c r="D18" i="57"/>
  <c r="D17" i="57"/>
  <c r="D16" i="57"/>
  <c r="D15" i="57"/>
  <c r="D14" i="57"/>
  <c r="D13" i="57"/>
  <c r="D12" i="57"/>
  <c r="D10" i="57"/>
  <c r="D9" i="57"/>
  <c r="D8" i="57"/>
  <c r="D6" i="57"/>
  <c r="L1" i="57"/>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AA53" i="56"/>
  <c r="AA52" i="56"/>
  <c r="AA51" i="56"/>
  <c r="AA50" i="56"/>
  <c r="AA49" i="56"/>
  <c r="AA48" i="56"/>
  <c r="AA47" i="56"/>
  <c r="AA44" i="56"/>
  <c r="AA43" i="56"/>
  <c r="AA42" i="56"/>
  <c r="AA41" i="56"/>
  <c r="AA40" i="56"/>
  <c r="AA39" i="56"/>
  <c r="AA38" i="56"/>
  <c r="AA37" i="56"/>
  <c r="AA36" i="56"/>
  <c r="AA35" i="56"/>
  <c r="AA34" i="56"/>
  <c r="AA33" i="56"/>
  <c r="AA32" i="56"/>
  <c r="AA31" i="56"/>
  <c r="AA30" i="56"/>
  <c r="AA29" i="56"/>
  <c r="AA28" i="56"/>
  <c r="AA27" i="56"/>
  <c r="AA26" i="56"/>
  <c r="AA25" i="56"/>
  <c r="AA22" i="56"/>
  <c r="AA21" i="56"/>
  <c r="AA20" i="56"/>
  <c r="AA19" i="56"/>
  <c r="AA18" i="56"/>
  <c r="AA17" i="56"/>
  <c r="AA16" i="56"/>
  <c r="AA15" i="56"/>
  <c r="AA14" i="56"/>
  <c r="AA13" i="56"/>
  <c r="AA12" i="56"/>
  <c r="AA11" i="56"/>
  <c r="AA8" i="56"/>
  <c r="AA7" i="56"/>
  <c r="AA6" i="56"/>
  <c r="AA5" i="56"/>
  <c r="AA4" i="56"/>
  <c r="AA3" i="56"/>
  <c r="I121" i="55"/>
  <c r="G121" i="55"/>
  <c r="F121" i="55"/>
  <c r="H121" i="55" s="1"/>
  <c r="I120" i="55"/>
  <c r="F120" i="55"/>
  <c r="H120" i="55" s="1"/>
  <c r="I119" i="55"/>
  <c r="G119" i="55"/>
  <c r="F119" i="55"/>
  <c r="H119" i="55" s="1"/>
  <c r="I118" i="55"/>
  <c r="F118" i="55"/>
  <c r="H118" i="55" s="1"/>
  <c r="I117" i="55"/>
  <c r="G117" i="55"/>
  <c r="F117" i="55"/>
  <c r="H117" i="55" s="1"/>
  <c r="I116" i="55"/>
  <c r="F116" i="55"/>
  <c r="H116" i="55" s="1"/>
  <c r="I115" i="55"/>
  <c r="G115" i="55"/>
  <c r="F115" i="55"/>
  <c r="H115" i="55" s="1"/>
  <c r="I114" i="55"/>
  <c r="F114" i="55"/>
  <c r="H114" i="55" s="1"/>
  <c r="I113" i="55"/>
  <c r="G113" i="55"/>
  <c r="F113" i="55"/>
  <c r="H113" i="55" s="1"/>
  <c r="I112" i="55"/>
  <c r="F112" i="55"/>
  <c r="H112" i="55" s="1"/>
  <c r="I111" i="55"/>
  <c r="G111" i="55"/>
  <c r="F111" i="55"/>
  <c r="H111" i="55" s="1"/>
  <c r="I110" i="55"/>
  <c r="F110" i="55"/>
  <c r="H110" i="55" s="1"/>
  <c r="I109" i="55"/>
  <c r="G109" i="55"/>
  <c r="F109" i="55"/>
  <c r="H109" i="55" s="1"/>
  <c r="I108" i="55"/>
  <c r="F108" i="55"/>
  <c r="H108" i="55" s="1"/>
  <c r="I107" i="55"/>
  <c r="G107" i="55"/>
  <c r="F107" i="55"/>
  <c r="H107" i="55" s="1"/>
  <c r="I106" i="55"/>
  <c r="F106" i="55"/>
  <c r="H106" i="55" s="1"/>
  <c r="I105" i="55"/>
  <c r="G105" i="55"/>
  <c r="F105" i="55"/>
  <c r="H105" i="55" s="1"/>
  <c r="I104" i="55"/>
  <c r="F104" i="55"/>
  <c r="H104" i="55" s="1"/>
  <c r="I103" i="55"/>
  <c r="G103" i="55"/>
  <c r="F103" i="55"/>
  <c r="H103" i="55" s="1"/>
  <c r="I102" i="55"/>
  <c r="F102" i="55"/>
  <c r="H102" i="55" s="1"/>
  <c r="I101" i="55"/>
  <c r="G101" i="55"/>
  <c r="F101" i="55"/>
  <c r="H101" i="55" s="1"/>
  <c r="I100" i="55"/>
  <c r="F100" i="55"/>
  <c r="H100" i="55" s="1"/>
  <c r="I99" i="55"/>
  <c r="G99" i="55"/>
  <c r="F99" i="55"/>
  <c r="H99" i="55" s="1"/>
  <c r="I98" i="55"/>
  <c r="F98" i="55"/>
  <c r="H98" i="55" s="1"/>
  <c r="I97" i="55"/>
  <c r="G97" i="55"/>
  <c r="F97" i="55"/>
  <c r="H97" i="55" s="1"/>
  <c r="I96" i="55"/>
  <c r="F96" i="55"/>
  <c r="H96" i="55" s="1"/>
  <c r="I95" i="55"/>
  <c r="G95" i="55"/>
  <c r="F95" i="55"/>
  <c r="H95" i="55" s="1"/>
  <c r="I94" i="55"/>
  <c r="F94" i="55"/>
  <c r="H94" i="55" s="1"/>
  <c r="I93" i="55"/>
  <c r="G93" i="55"/>
  <c r="F93" i="55"/>
  <c r="H93" i="55" s="1"/>
  <c r="I92" i="55"/>
  <c r="F92" i="55"/>
  <c r="H92" i="55" s="1"/>
  <c r="I91" i="55"/>
  <c r="G91" i="55"/>
  <c r="F91" i="55"/>
  <c r="H91" i="55" s="1"/>
  <c r="I90" i="55"/>
  <c r="F90" i="55"/>
  <c r="H90" i="55" s="1"/>
  <c r="I89" i="55"/>
  <c r="G89" i="55"/>
  <c r="F89" i="55"/>
  <c r="H89" i="55" s="1"/>
  <c r="I88" i="55"/>
  <c r="F88" i="55"/>
  <c r="H88" i="55" s="1"/>
  <c r="I87" i="55"/>
  <c r="G87" i="55"/>
  <c r="F87" i="55"/>
  <c r="H87" i="55" s="1"/>
  <c r="I86" i="55"/>
  <c r="F86" i="55"/>
  <c r="H86" i="55" s="1"/>
  <c r="I85" i="55"/>
  <c r="G85" i="55"/>
  <c r="F85" i="55"/>
  <c r="H85" i="55" s="1"/>
  <c r="I84" i="55"/>
  <c r="F84" i="55"/>
  <c r="H84" i="55" s="1"/>
  <c r="I83" i="55"/>
  <c r="G83" i="55"/>
  <c r="F83" i="55"/>
  <c r="H83" i="55" s="1"/>
  <c r="I82" i="55"/>
  <c r="F82" i="55"/>
  <c r="H82" i="55" s="1"/>
  <c r="I81" i="55"/>
  <c r="G81" i="55"/>
  <c r="F81" i="55"/>
  <c r="H81" i="55" s="1"/>
  <c r="I80" i="55"/>
  <c r="F80" i="55"/>
  <c r="H80" i="55" s="1"/>
  <c r="I79" i="55"/>
  <c r="G79" i="55"/>
  <c r="F79" i="55"/>
  <c r="H79" i="55" s="1"/>
  <c r="I78" i="55"/>
  <c r="F78" i="55"/>
  <c r="H78" i="55" s="1"/>
  <c r="I77" i="55"/>
  <c r="G77" i="55"/>
  <c r="F77" i="55"/>
  <c r="H77" i="55" s="1"/>
  <c r="I76" i="55"/>
  <c r="F76" i="55"/>
  <c r="H76" i="55" s="1"/>
  <c r="I75" i="55"/>
  <c r="G75" i="55"/>
  <c r="F75" i="55"/>
  <c r="H75" i="55" s="1"/>
  <c r="I74" i="55"/>
  <c r="F74" i="55"/>
  <c r="H74" i="55" s="1"/>
  <c r="I73" i="55"/>
  <c r="G73" i="55"/>
  <c r="F73" i="55"/>
  <c r="H73" i="55" s="1"/>
  <c r="I72" i="55"/>
  <c r="F72" i="55"/>
  <c r="H72" i="55" s="1"/>
  <c r="I71" i="55"/>
  <c r="G71" i="55"/>
  <c r="F71" i="55"/>
  <c r="H71" i="55" s="1"/>
  <c r="I70" i="55"/>
  <c r="F70" i="55"/>
  <c r="H70" i="55" s="1"/>
  <c r="I69" i="55"/>
  <c r="H69" i="55"/>
  <c r="G69" i="55"/>
  <c r="F69" i="55"/>
  <c r="I68" i="55"/>
  <c r="F68" i="55"/>
  <c r="H68" i="55" s="1"/>
  <c r="I67" i="55"/>
  <c r="H67" i="55"/>
  <c r="G67" i="55"/>
  <c r="F67" i="55"/>
  <c r="I66" i="55"/>
  <c r="F66" i="55"/>
  <c r="H66" i="55" s="1"/>
  <c r="I65" i="55"/>
  <c r="H65" i="55"/>
  <c r="G65" i="55"/>
  <c r="F65" i="55"/>
  <c r="I64" i="55"/>
  <c r="F64" i="55"/>
  <c r="H64" i="55" s="1"/>
  <c r="I63" i="55"/>
  <c r="H63" i="55"/>
  <c r="G63" i="55"/>
  <c r="F63" i="55"/>
  <c r="I62" i="55"/>
  <c r="F62" i="55"/>
  <c r="G62" i="55" s="1"/>
  <c r="I61" i="55"/>
  <c r="H61" i="55"/>
  <c r="G61" i="55"/>
  <c r="F61" i="55"/>
  <c r="I60" i="55"/>
  <c r="F60" i="55"/>
  <c r="H60" i="55" s="1"/>
  <c r="I59" i="55"/>
  <c r="H59" i="55"/>
  <c r="G59" i="55"/>
  <c r="F59" i="55"/>
  <c r="I58" i="55"/>
  <c r="F58" i="55"/>
  <c r="H58" i="55" s="1"/>
  <c r="I57" i="55"/>
  <c r="H57" i="55"/>
  <c r="G57" i="55"/>
  <c r="F57" i="55"/>
  <c r="I56" i="55"/>
  <c r="F56" i="55"/>
  <c r="H56" i="55" s="1"/>
  <c r="I55" i="55"/>
  <c r="H55" i="55"/>
  <c r="G55" i="55"/>
  <c r="F55" i="55"/>
  <c r="I54" i="55"/>
  <c r="F54" i="55"/>
  <c r="H54" i="55" s="1"/>
  <c r="I53" i="55"/>
  <c r="H53" i="55"/>
  <c r="G53" i="55"/>
  <c r="F53" i="55"/>
  <c r="I52" i="55"/>
  <c r="F52" i="55"/>
  <c r="H52" i="55" s="1"/>
  <c r="I51" i="55"/>
  <c r="H51" i="55"/>
  <c r="G51" i="55"/>
  <c r="F51" i="55"/>
  <c r="I50" i="55"/>
  <c r="F50" i="55"/>
  <c r="H50" i="55" s="1"/>
  <c r="I49" i="55"/>
  <c r="H49" i="55"/>
  <c r="G49" i="55"/>
  <c r="F49" i="55"/>
  <c r="I48" i="55"/>
  <c r="F48" i="55"/>
  <c r="H48" i="55" s="1"/>
  <c r="I47" i="55"/>
  <c r="H47" i="55"/>
  <c r="G47" i="55"/>
  <c r="F47" i="55"/>
  <c r="I46" i="55"/>
  <c r="H46" i="55"/>
  <c r="F46" i="55"/>
  <c r="G46" i="55" s="1"/>
  <c r="I45" i="55"/>
  <c r="H45" i="55"/>
  <c r="G45" i="55"/>
  <c r="F45" i="55"/>
  <c r="I44" i="55"/>
  <c r="H44" i="55"/>
  <c r="F44" i="55"/>
  <c r="G44" i="55" s="1"/>
  <c r="I43" i="55"/>
  <c r="H43" i="55"/>
  <c r="G43" i="55"/>
  <c r="F43" i="55"/>
  <c r="I42" i="55"/>
  <c r="H42" i="55"/>
  <c r="F42" i="55"/>
  <c r="G42" i="55" s="1"/>
  <c r="I41" i="55"/>
  <c r="H41" i="55"/>
  <c r="G41" i="55"/>
  <c r="F41" i="55"/>
  <c r="I40" i="55"/>
  <c r="H40" i="55"/>
  <c r="F40" i="55"/>
  <c r="G40" i="55" s="1"/>
  <c r="I39" i="55"/>
  <c r="H39" i="55"/>
  <c r="G39" i="55"/>
  <c r="F39" i="55"/>
  <c r="I38" i="55"/>
  <c r="H38" i="55"/>
  <c r="F38" i="55"/>
  <c r="G38" i="55" s="1"/>
  <c r="I37" i="55"/>
  <c r="H37" i="55"/>
  <c r="G37" i="55"/>
  <c r="F37" i="55"/>
  <c r="I36" i="55"/>
  <c r="H36" i="55"/>
  <c r="F36" i="55"/>
  <c r="G36" i="55" s="1"/>
  <c r="I35" i="55"/>
  <c r="H35" i="55"/>
  <c r="G35" i="55"/>
  <c r="F35" i="55"/>
  <c r="I34" i="55"/>
  <c r="H34" i="55"/>
  <c r="F34" i="55"/>
  <c r="G34" i="55" s="1"/>
  <c r="I33" i="55"/>
  <c r="H33" i="55"/>
  <c r="G33" i="55"/>
  <c r="F33" i="55"/>
  <c r="I32" i="55"/>
  <c r="H32" i="55"/>
  <c r="G32" i="55"/>
  <c r="F32" i="55"/>
  <c r="I31" i="55"/>
  <c r="H31" i="55"/>
  <c r="G31" i="55"/>
  <c r="F31" i="55"/>
  <c r="I30" i="55"/>
  <c r="H30" i="55"/>
  <c r="G30" i="55"/>
  <c r="F30" i="55"/>
  <c r="I29" i="55"/>
  <c r="H29" i="55"/>
  <c r="G29" i="55"/>
  <c r="F29" i="55"/>
  <c r="I28" i="55"/>
  <c r="H28" i="55"/>
  <c r="G28" i="55"/>
  <c r="F28" i="55"/>
  <c r="I27" i="55"/>
  <c r="H27" i="55"/>
  <c r="G27" i="55"/>
  <c r="F27" i="55"/>
  <c r="I26" i="55"/>
  <c r="H26" i="55"/>
  <c r="G26" i="55"/>
  <c r="F26" i="55"/>
  <c r="I25" i="55"/>
  <c r="H25" i="55"/>
  <c r="G25" i="55"/>
  <c r="F25" i="55"/>
  <c r="I24" i="55"/>
  <c r="H24" i="55"/>
  <c r="G24" i="55"/>
  <c r="F24" i="55"/>
  <c r="I23" i="55"/>
  <c r="H23" i="55"/>
  <c r="G23" i="55"/>
  <c r="F23" i="55"/>
  <c r="I22" i="55"/>
  <c r="H22" i="55"/>
  <c r="G22" i="55"/>
  <c r="F22" i="55"/>
  <c r="I21" i="55"/>
  <c r="H21" i="55"/>
  <c r="G21" i="55"/>
  <c r="F21" i="55"/>
  <c r="I20" i="55"/>
  <c r="H20" i="55"/>
  <c r="G20" i="55"/>
  <c r="F20" i="55"/>
  <c r="I19" i="55"/>
  <c r="H19" i="55"/>
  <c r="G19" i="55"/>
  <c r="F19" i="55"/>
  <c r="I18" i="55"/>
  <c r="H18" i="55"/>
  <c r="G18" i="55"/>
  <c r="F18" i="55"/>
  <c r="I17" i="55"/>
  <c r="H17" i="55"/>
  <c r="G17" i="55"/>
  <c r="F17" i="55"/>
  <c r="I16" i="55"/>
  <c r="H16" i="55"/>
  <c r="G16" i="55"/>
  <c r="F16" i="55"/>
  <c r="I15" i="55"/>
  <c r="H15" i="55"/>
  <c r="G15" i="55"/>
  <c r="F15" i="55"/>
  <c r="I14" i="55"/>
  <c r="H14" i="55"/>
  <c r="G14" i="55"/>
  <c r="F14" i="55"/>
  <c r="I13" i="55"/>
  <c r="H13" i="55"/>
  <c r="G13" i="55"/>
  <c r="F13" i="55"/>
  <c r="I12" i="55"/>
  <c r="H12" i="55"/>
  <c r="G12" i="55"/>
  <c r="F12" i="55"/>
  <c r="I11" i="55"/>
  <c r="H11" i="55"/>
  <c r="G11" i="55"/>
  <c r="F11" i="55"/>
  <c r="I10" i="55"/>
  <c r="H10" i="55"/>
  <c r="G10" i="55"/>
  <c r="F10" i="55"/>
  <c r="I9" i="55"/>
  <c r="H9" i="55"/>
  <c r="G9" i="55"/>
  <c r="F9" i="55"/>
  <c r="I8" i="55"/>
  <c r="H8" i="55"/>
  <c r="G8" i="55"/>
  <c r="F8" i="55"/>
  <c r="I7" i="55"/>
  <c r="H7" i="55"/>
  <c r="G7" i="55"/>
  <c r="F7" i="55"/>
  <c r="I6" i="55"/>
  <c r="H6" i="55"/>
  <c r="G6" i="55"/>
  <c r="F6" i="55"/>
  <c r="I5" i="55"/>
  <c r="H5" i="55"/>
  <c r="G5" i="55"/>
  <c r="F5" i="55"/>
  <c r="O1" i="54"/>
  <c r="C34" i="48"/>
  <c r="C66" i="47"/>
  <c r="C62" i="47"/>
  <c r="C58" i="47"/>
  <c r="C54" i="47"/>
  <c r="C50" i="47"/>
  <c r="C46" i="47"/>
  <c r="F50" i="47" s="1"/>
  <c r="C42" i="47"/>
  <c r="C38" i="47"/>
  <c r="F42" i="47" s="1"/>
  <c r="C34" i="47"/>
  <c r="C30" i="47"/>
  <c r="F26" i="47"/>
  <c r="C26" i="47"/>
  <c r="C22" i="47"/>
  <c r="C18" i="47"/>
  <c r="C14" i="47"/>
  <c r="C10" i="47"/>
  <c r="C6" i="47"/>
  <c r="F10" i="47" s="1"/>
  <c r="C130" i="46"/>
  <c r="C126" i="46"/>
  <c r="C122" i="46"/>
  <c r="F122" i="46" s="1"/>
  <c r="C118" i="46"/>
  <c r="F114" i="46"/>
  <c r="C114" i="46"/>
  <c r="C110" i="46"/>
  <c r="AB107" i="46"/>
  <c r="AB106" i="46"/>
  <c r="C106" i="46"/>
  <c r="C102" i="46"/>
  <c r="F106" i="46" s="1"/>
  <c r="C98" i="46"/>
  <c r="C94" i="46"/>
  <c r="F98" i="46" s="1"/>
  <c r="F90" i="46"/>
  <c r="C90" i="46"/>
  <c r="C86" i="46"/>
  <c r="C82" i="46"/>
  <c r="F82" i="46" s="1"/>
  <c r="C78" i="46"/>
  <c r="C74" i="46"/>
  <c r="C70" i="46"/>
  <c r="F74" i="46" s="1"/>
  <c r="AB67" i="46"/>
  <c r="AB66" i="46"/>
  <c r="C66" i="46"/>
  <c r="F66" i="46" s="1"/>
  <c r="C62" i="46"/>
  <c r="C58" i="46"/>
  <c r="C54" i="46"/>
  <c r="F58" i="46" s="1"/>
  <c r="C50" i="46"/>
  <c r="F50" i="46" s="1"/>
  <c r="C46" i="46"/>
  <c r="C42" i="46"/>
  <c r="C38" i="46"/>
  <c r="F42" i="46" s="1"/>
  <c r="C34" i="46"/>
  <c r="C30" i="46"/>
  <c r="F34" i="46" s="1"/>
  <c r="C26" i="46"/>
  <c r="C22" i="46"/>
  <c r="F26" i="46" s="1"/>
  <c r="C18" i="46"/>
  <c r="C14" i="46"/>
  <c r="F18" i="46" s="1"/>
  <c r="C10" i="46"/>
  <c r="C6" i="46"/>
  <c r="F10" i="46" s="1"/>
  <c r="C42" i="45"/>
  <c r="C41" i="45"/>
  <c r="C40" i="45"/>
  <c r="C39" i="45"/>
  <c r="C38" i="45"/>
  <c r="C37" i="45"/>
  <c r="C36" i="45"/>
  <c r="C35" i="45"/>
  <c r="C34" i="45"/>
  <c r="C33" i="45"/>
  <c r="C32" i="45"/>
  <c r="C31" i="45"/>
  <c r="E30" i="45"/>
  <c r="C30" i="45"/>
  <c r="C29" i="45"/>
  <c r="C28" i="45"/>
  <c r="C27" i="45"/>
  <c r="E26" i="45"/>
  <c r="C26" i="45"/>
  <c r="C25" i="45"/>
  <c r="C24" i="45"/>
  <c r="E23" i="45"/>
  <c r="C23" i="45"/>
  <c r="C22" i="45"/>
  <c r="E21" i="45"/>
  <c r="C21" i="45"/>
  <c r="C20" i="45"/>
  <c r="C19" i="45"/>
  <c r="E18" i="45"/>
  <c r="C18" i="45"/>
  <c r="E17" i="45"/>
  <c r="C17" i="45"/>
  <c r="C16" i="45"/>
  <c r="C15" i="45"/>
  <c r="E14" i="45"/>
  <c r="C14" i="45"/>
  <c r="C13" i="45"/>
  <c r="C12" i="45"/>
  <c r="E11" i="45"/>
  <c r="C11" i="45"/>
  <c r="E8" i="45"/>
  <c r="E42" i="45" s="1"/>
  <c r="H2" i="44"/>
  <c r="A54" i="42"/>
  <c r="A53" i="42"/>
  <c r="A52" i="42"/>
  <c r="A51" i="42"/>
  <c r="A50" i="42"/>
  <c r="A49" i="42"/>
  <c r="A45" i="42"/>
  <c r="A44" i="42"/>
  <c r="A43" i="42"/>
  <c r="A42" i="42"/>
  <c r="A41" i="42"/>
  <c r="A40" i="42"/>
  <c r="A36" i="42"/>
  <c r="A35" i="42"/>
  <c r="A34" i="42"/>
  <c r="A33" i="42"/>
  <c r="A32" i="42"/>
  <c r="A31" i="42"/>
  <c r="A27" i="42"/>
  <c r="A26" i="42"/>
  <c r="A25" i="42"/>
  <c r="A24" i="42"/>
  <c r="A23" i="42"/>
  <c r="A22" i="42"/>
  <c r="C17" i="42"/>
  <c r="C130" i="43" s="1"/>
  <c r="C16" i="42"/>
  <c r="C129" i="43" s="1"/>
  <c r="C15" i="42"/>
  <c r="C128" i="43" s="1"/>
  <c r="C14" i="42"/>
  <c r="C127" i="43" s="1"/>
  <c r="BS11" i="42"/>
  <c r="BR11" i="42"/>
  <c r="BQ11" i="42"/>
  <c r="BP11" i="42"/>
  <c r="BO11" i="42"/>
  <c r="BN11" i="42"/>
  <c r="BT11" i="42" s="1"/>
  <c r="BK11" i="42"/>
  <c r="BJ11" i="42"/>
  <c r="BI11" i="42"/>
  <c r="BH11" i="42"/>
  <c r="BG11" i="42"/>
  <c r="BF11" i="42"/>
  <c r="BL11" i="42" s="1"/>
  <c r="BC11" i="42"/>
  <c r="BB11" i="42"/>
  <c r="BA11" i="42"/>
  <c r="AZ11" i="42"/>
  <c r="BD11" i="42" s="1"/>
  <c r="AY11" i="42"/>
  <c r="AX11" i="42"/>
  <c r="AQ11" i="42"/>
  <c r="AE11" i="42"/>
  <c r="AE36" i="42" s="1"/>
  <c r="AD36" i="42" s="1"/>
  <c r="AD11" i="42"/>
  <c r="BR10" i="42"/>
  <c r="BQ10" i="42"/>
  <c r="BP10" i="42"/>
  <c r="BO10" i="42"/>
  <c r="BN10" i="42"/>
  <c r="BK10" i="42"/>
  <c r="AP10" i="42" s="1"/>
  <c r="BJ10" i="42"/>
  <c r="BI10" i="42"/>
  <c r="BH10" i="42"/>
  <c r="BG10" i="42"/>
  <c r="BF10" i="42"/>
  <c r="BB10" i="42"/>
  <c r="BA10" i="42"/>
  <c r="AZ10" i="42"/>
  <c r="AY10" i="42"/>
  <c r="BD10" i="42" s="1"/>
  <c r="AX10" i="42"/>
  <c r="AE10" i="42" s="1"/>
  <c r="AD10" i="42"/>
  <c r="AA10" i="42"/>
  <c r="Z10" i="42"/>
  <c r="BC10" i="42" s="1"/>
  <c r="BR9" i="42"/>
  <c r="BQ9" i="42"/>
  <c r="BP9" i="42"/>
  <c r="BO9" i="42"/>
  <c r="BN9" i="42"/>
  <c r="BK9" i="42"/>
  <c r="BL9" i="42" s="1"/>
  <c r="BI9" i="42"/>
  <c r="BH9" i="42"/>
  <c r="BG9" i="42"/>
  <c r="BF9" i="42"/>
  <c r="BC9" i="42"/>
  <c r="BB9" i="42"/>
  <c r="AE9" i="42" s="1"/>
  <c r="BA9" i="42"/>
  <c r="AZ9" i="42"/>
  <c r="BD9" i="42" s="1"/>
  <c r="AY9" i="42"/>
  <c r="AX9" i="42"/>
  <c r="AA9" i="42"/>
  <c r="Z9" i="42"/>
  <c r="BS9" i="42" s="1"/>
  <c r="W9" i="42"/>
  <c r="AD9" i="42" s="1"/>
  <c r="V9" i="42"/>
  <c r="BJ9" i="42" s="1"/>
  <c r="BP8" i="42"/>
  <c r="BO8" i="42"/>
  <c r="BN8" i="42"/>
  <c r="BH8" i="42"/>
  <c r="BG8" i="42"/>
  <c r="BF8" i="42"/>
  <c r="BB8" i="42"/>
  <c r="AZ8" i="42"/>
  <c r="AY8" i="42"/>
  <c r="AX8" i="42"/>
  <c r="AA8" i="42"/>
  <c r="Z8" i="42"/>
  <c r="BK8" i="42" s="1"/>
  <c r="W8" i="42"/>
  <c r="V8" i="42"/>
  <c r="S8" i="42"/>
  <c r="R8" i="42"/>
  <c r="BR7" i="42"/>
  <c r="BQ7" i="42"/>
  <c r="BT7" i="42" s="1"/>
  <c r="BP7" i="42"/>
  <c r="BO7" i="42"/>
  <c r="BN7" i="42"/>
  <c r="BK7" i="42"/>
  <c r="BI7" i="42"/>
  <c r="BG7" i="42"/>
  <c r="BF7" i="42"/>
  <c r="BC7" i="42"/>
  <c r="BB7" i="42"/>
  <c r="AY7" i="42"/>
  <c r="AX7" i="42"/>
  <c r="AA7" i="42"/>
  <c r="Z7" i="42"/>
  <c r="BS7" i="42" s="1"/>
  <c r="W7" i="42"/>
  <c r="V7" i="42"/>
  <c r="BJ7" i="42" s="1"/>
  <c r="S7" i="42"/>
  <c r="R7" i="42"/>
  <c r="BA7" i="42" s="1"/>
  <c r="O7" i="42"/>
  <c r="AZ7" i="42" s="1"/>
  <c r="N7" i="42"/>
  <c r="BS6" i="42"/>
  <c r="BN6" i="42"/>
  <c r="BJ6" i="42"/>
  <c r="BG6" i="42"/>
  <c r="BF6" i="42"/>
  <c r="BA6" i="42"/>
  <c r="AX6" i="42"/>
  <c r="AA6" i="42"/>
  <c r="BK6" i="42" s="1"/>
  <c r="Z6" i="42"/>
  <c r="BC6" i="42" s="1"/>
  <c r="W6" i="42"/>
  <c r="BB6" i="42" s="1"/>
  <c r="V6" i="42"/>
  <c r="BR6" i="42" s="1"/>
  <c r="S6" i="42"/>
  <c r="R6" i="42"/>
  <c r="BQ6" i="42" s="1"/>
  <c r="O6" i="42"/>
  <c r="N6" i="42"/>
  <c r="K6" i="42"/>
  <c r="J6" i="42"/>
  <c r="AY6" i="42" s="1"/>
  <c r="A54" i="41"/>
  <c r="A53" i="41"/>
  <c r="A52" i="41"/>
  <c r="A51" i="41"/>
  <c r="A50" i="41"/>
  <c r="A49" i="41"/>
  <c r="A45" i="41"/>
  <c r="A44" i="41"/>
  <c r="A43" i="41"/>
  <c r="A42" i="41"/>
  <c r="A41" i="41"/>
  <c r="A40" i="41"/>
  <c r="A36" i="41"/>
  <c r="A35" i="41"/>
  <c r="A34" i="41"/>
  <c r="A33" i="41"/>
  <c r="A32" i="41"/>
  <c r="A31" i="41"/>
  <c r="A27" i="41"/>
  <c r="A26" i="41"/>
  <c r="A25" i="41"/>
  <c r="A24" i="41"/>
  <c r="A23" i="41"/>
  <c r="A22" i="41"/>
  <c r="C17" i="41"/>
  <c r="C126" i="43" s="1"/>
  <c r="C16" i="41"/>
  <c r="C125" i="43" s="1"/>
  <c r="C15" i="41"/>
  <c r="C124" i="43" s="1"/>
  <c r="C14" i="41"/>
  <c r="C123" i="43" s="1"/>
  <c r="BS11" i="41"/>
  <c r="BR11" i="41"/>
  <c r="BQ11" i="41"/>
  <c r="BP11" i="41"/>
  <c r="BO11" i="41"/>
  <c r="BN11" i="41"/>
  <c r="BK11" i="41"/>
  <c r="BJ11" i="41"/>
  <c r="BI11" i="41"/>
  <c r="BH11" i="41"/>
  <c r="BG11" i="41"/>
  <c r="BF11" i="41"/>
  <c r="BC11" i="41"/>
  <c r="BB11" i="41"/>
  <c r="BA11" i="41"/>
  <c r="AZ11" i="41"/>
  <c r="AY11" i="41"/>
  <c r="AX11" i="41"/>
  <c r="AD11" i="41"/>
  <c r="BR10" i="41"/>
  <c r="BQ10" i="41"/>
  <c r="BP10" i="41"/>
  <c r="BO10" i="41"/>
  <c r="BN10" i="41"/>
  <c r="BJ10" i="41"/>
  <c r="BI10" i="41"/>
  <c r="BH10" i="41"/>
  <c r="BG10" i="41"/>
  <c r="BF10" i="41"/>
  <c r="BB10" i="41"/>
  <c r="BA10" i="41"/>
  <c r="AZ10" i="41"/>
  <c r="AY10" i="41"/>
  <c r="AX10" i="41"/>
  <c r="AA10" i="41"/>
  <c r="BC10" i="41" s="1"/>
  <c r="Z10" i="41"/>
  <c r="BS10" i="41" s="1"/>
  <c r="BS9" i="41"/>
  <c r="BR9" i="41"/>
  <c r="BQ9" i="41"/>
  <c r="BP9" i="41"/>
  <c r="BO9" i="41"/>
  <c r="BN9" i="41"/>
  <c r="BI9" i="41"/>
  <c r="BH9" i="41"/>
  <c r="BG9" i="41"/>
  <c r="BF9" i="41"/>
  <c r="BC9" i="41"/>
  <c r="BA9" i="41"/>
  <c r="AZ9" i="41"/>
  <c r="AY9" i="41"/>
  <c r="AX9" i="41"/>
  <c r="AE9" i="41"/>
  <c r="AE43" i="41" s="1"/>
  <c r="AD43" i="41" s="1"/>
  <c r="AD9" i="41"/>
  <c r="AA9" i="41"/>
  <c r="Z9" i="41"/>
  <c r="BK9" i="41" s="1"/>
  <c r="W9" i="41"/>
  <c r="V9" i="41"/>
  <c r="BB9" i="41" s="1"/>
  <c r="BR8" i="41"/>
  <c r="BQ8" i="41"/>
  <c r="BP8" i="41"/>
  <c r="BO8" i="41"/>
  <c r="BN8" i="41"/>
  <c r="BL8" i="41"/>
  <c r="BK8" i="41"/>
  <c r="BH8" i="41"/>
  <c r="BG8" i="41"/>
  <c r="BF8" i="41"/>
  <c r="AP8" i="41" s="1"/>
  <c r="BC8" i="41"/>
  <c r="BB8" i="41"/>
  <c r="AZ8" i="41"/>
  <c r="AY8" i="41"/>
  <c r="AX8" i="41"/>
  <c r="AA8" i="41"/>
  <c r="Z8" i="41"/>
  <c r="BS8" i="41" s="1"/>
  <c r="BT8" i="41" s="1"/>
  <c r="W8" i="41"/>
  <c r="V8" i="41"/>
  <c r="BJ8" i="41" s="1"/>
  <c r="S8" i="41"/>
  <c r="BI8" i="41" s="1"/>
  <c r="R8" i="41"/>
  <c r="BA8" i="41" s="1"/>
  <c r="BS7" i="41"/>
  <c r="BR7" i="41"/>
  <c r="BQ7" i="41"/>
  <c r="BO7" i="41"/>
  <c r="BN7" i="41"/>
  <c r="BI7" i="41"/>
  <c r="BH7" i="41"/>
  <c r="BG7" i="41"/>
  <c r="BF7" i="41"/>
  <c r="BC7" i="41"/>
  <c r="BA7" i="41"/>
  <c r="AZ7" i="41"/>
  <c r="AY7" i="41"/>
  <c r="BD7" i="41" s="1"/>
  <c r="AX7" i="41"/>
  <c r="AD7" i="41"/>
  <c r="AA7" i="41"/>
  <c r="Z7" i="41"/>
  <c r="BK7" i="41" s="1"/>
  <c r="W7" i="41"/>
  <c r="V7" i="41"/>
  <c r="BB7" i="41" s="1"/>
  <c r="S7" i="41"/>
  <c r="R7" i="41"/>
  <c r="O7" i="41"/>
  <c r="N7" i="41"/>
  <c r="BP7" i="41" s="1"/>
  <c r="BS6" i="41"/>
  <c r="BR6" i="41"/>
  <c r="BQ6" i="41"/>
  <c r="BP6" i="41"/>
  <c r="BN6" i="41"/>
  <c r="BK6" i="41"/>
  <c r="BH6" i="41"/>
  <c r="BF6" i="41"/>
  <c r="AX6" i="41"/>
  <c r="AA6" i="41"/>
  <c r="BC6" i="41" s="1"/>
  <c r="Z6" i="41"/>
  <c r="W6" i="41"/>
  <c r="BB6" i="41" s="1"/>
  <c r="V6" i="41"/>
  <c r="S6" i="41"/>
  <c r="R6" i="41"/>
  <c r="O6" i="41"/>
  <c r="AZ6" i="41" s="1"/>
  <c r="N6" i="41"/>
  <c r="K6" i="41"/>
  <c r="BG6" i="41" s="1"/>
  <c r="J6" i="41"/>
  <c r="BO6" i="41" s="1"/>
  <c r="BT6" i="41" s="1"/>
  <c r="A54" i="40"/>
  <c r="A53" i="40"/>
  <c r="A52" i="40"/>
  <c r="A51" i="40"/>
  <c r="A50" i="40"/>
  <c r="A49" i="40"/>
  <c r="A45" i="40"/>
  <c r="A44" i="40"/>
  <c r="A43" i="40"/>
  <c r="A42" i="40"/>
  <c r="A41" i="40"/>
  <c r="A40" i="40"/>
  <c r="A36" i="40"/>
  <c r="A35" i="40"/>
  <c r="A34" i="40"/>
  <c r="A33" i="40"/>
  <c r="A32" i="40"/>
  <c r="A31" i="40"/>
  <c r="A27" i="40"/>
  <c r="A26" i="40"/>
  <c r="A25" i="40"/>
  <c r="A24" i="40"/>
  <c r="A23" i="40"/>
  <c r="A22" i="40"/>
  <c r="C17" i="40"/>
  <c r="C122" i="43" s="1"/>
  <c r="C16" i="40"/>
  <c r="C121" i="43" s="1"/>
  <c r="C15" i="40"/>
  <c r="C120" i="43" s="1"/>
  <c r="C14" i="40"/>
  <c r="C119" i="43" s="1"/>
  <c r="BS11" i="40"/>
  <c r="BR11" i="40"/>
  <c r="BQ11" i="40"/>
  <c r="BP11" i="40"/>
  <c r="BT11" i="40" s="1"/>
  <c r="BO11" i="40"/>
  <c r="BN11" i="40"/>
  <c r="BK11" i="40"/>
  <c r="BJ11" i="40"/>
  <c r="BI11" i="40"/>
  <c r="BH11" i="40"/>
  <c r="BG11" i="40"/>
  <c r="BL11" i="40" s="1"/>
  <c r="BF11" i="40"/>
  <c r="BC11" i="40"/>
  <c r="BB11" i="40"/>
  <c r="BA11" i="40"/>
  <c r="AZ11" i="40"/>
  <c r="AY11" i="40"/>
  <c r="AX11" i="40"/>
  <c r="BD11" i="40" s="1"/>
  <c r="AD11" i="40"/>
  <c r="BR10" i="40"/>
  <c r="BQ10" i="40"/>
  <c r="BP10" i="40"/>
  <c r="BO10" i="40"/>
  <c r="BN10" i="40"/>
  <c r="BJ10" i="40"/>
  <c r="BI10" i="40"/>
  <c r="BH10" i="40"/>
  <c r="BG10" i="40"/>
  <c r="BF10" i="40"/>
  <c r="BB10" i="40"/>
  <c r="BA10" i="40"/>
  <c r="AZ10" i="40"/>
  <c r="AY10" i="40"/>
  <c r="AX10" i="40"/>
  <c r="AA10" i="40"/>
  <c r="Z10" i="40"/>
  <c r="BC10" i="40" s="1"/>
  <c r="BS9" i="40"/>
  <c r="BQ9" i="40"/>
  <c r="BP9" i="40"/>
  <c r="BO9" i="40"/>
  <c r="BN9" i="40"/>
  <c r="BI9" i="40"/>
  <c r="BH9" i="40"/>
  <c r="BG9" i="40"/>
  <c r="BF9" i="40"/>
  <c r="BA9" i="40"/>
  <c r="AZ9" i="40"/>
  <c r="AY9" i="40"/>
  <c r="AX9" i="40"/>
  <c r="AA9" i="40"/>
  <c r="BC9" i="40" s="1"/>
  <c r="Z9" i="40"/>
  <c r="W9" i="40"/>
  <c r="V9" i="40"/>
  <c r="BB9" i="40" s="1"/>
  <c r="BS8" i="40"/>
  <c r="BP8" i="40"/>
  <c r="BO8" i="40"/>
  <c r="BN8" i="40"/>
  <c r="BK8" i="40"/>
  <c r="BH8" i="40"/>
  <c r="BG8" i="40"/>
  <c r="BF8" i="40"/>
  <c r="BA8" i="40"/>
  <c r="AZ8" i="40"/>
  <c r="AY8" i="40"/>
  <c r="AX8" i="40"/>
  <c r="AA8" i="40"/>
  <c r="Z8" i="40"/>
  <c r="BC8" i="40" s="1"/>
  <c r="W8" i="40"/>
  <c r="V8" i="40"/>
  <c r="BR8" i="40" s="1"/>
  <c r="S8" i="40"/>
  <c r="R8" i="40"/>
  <c r="BI8" i="40" s="1"/>
  <c r="BS7" i="40"/>
  <c r="BQ7" i="40"/>
  <c r="BP7" i="40"/>
  <c r="BO7" i="40"/>
  <c r="BN7" i="40"/>
  <c r="BH7" i="40"/>
  <c r="BG7" i="40"/>
  <c r="BF7" i="40"/>
  <c r="AY7" i="40"/>
  <c r="AX7" i="40"/>
  <c r="AA7" i="40"/>
  <c r="BC7" i="40" s="1"/>
  <c r="Z7" i="40"/>
  <c r="W7" i="40"/>
  <c r="BB7" i="40" s="1"/>
  <c r="V7" i="40"/>
  <c r="BJ7" i="40" s="1"/>
  <c r="S7" i="40"/>
  <c r="BA7" i="40" s="1"/>
  <c r="R7" i="40"/>
  <c r="BI7" i="40" s="1"/>
  <c r="O7" i="40"/>
  <c r="N7" i="40"/>
  <c r="AZ7" i="40" s="1"/>
  <c r="BP6" i="40"/>
  <c r="BN6" i="40"/>
  <c r="BF6" i="40"/>
  <c r="AX6" i="40"/>
  <c r="AA6" i="40"/>
  <c r="Z6" i="40"/>
  <c r="BC6" i="40" s="1"/>
  <c r="W6" i="40"/>
  <c r="V6" i="40"/>
  <c r="BB6" i="40" s="1"/>
  <c r="S6" i="40"/>
  <c r="R6" i="40"/>
  <c r="BA6" i="40" s="1"/>
  <c r="O6" i="40"/>
  <c r="N6" i="40"/>
  <c r="AZ6" i="40" s="1"/>
  <c r="K6" i="40"/>
  <c r="J6" i="40"/>
  <c r="AY6" i="40" s="1"/>
  <c r="A54" i="39"/>
  <c r="A53" i="39"/>
  <c r="A52" i="39"/>
  <c r="A51" i="39"/>
  <c r="A50" i="39"/>
  <c r="A49" i="39"/>
  <c r="A45" i="39"/>
  <c r="A44" i="39"/>
  <c r="A43" i="39"/>
  <c r="A42" i="39"/>
  <c r="A41" i="39"/>
  <c r="A40" i="39"/>
  <c r="A36" i="39"/>
  <c r="A35" i="39"/>
  <c r="A34" i="39"/>
  <c r="A33" i="39"/>
  <c r="A32" i="39"/>
  <c r="A31" i="39"/>
  <c r="A27" i="39"/>
  <c r="A26" i="39"/>
  <c r="A25" i="39"/>
  <c r="A24" i="39"/>
  <c r="A23" i="39"/>
  <c r="A22" i="39"/>
  <c r="C17" i="39"/>
  <c r="C118" i="43" s="1"/>
  <c r="C16" i="39"/>
  <c r="C117" i="43" s="1"/>
  <c r="C15" i="39"/>
  <c r="C116" i="43" s="1"/>
  <c r="C14" i="39"/>
  <c r="C115" i="43" s="1"/>
  <c r="BS11" i="39"/>
  <c r="BR11" i="39"/>
  <c r="BQ11" i="39"/>
  <c r="BP11" i="39"/>
  <c r="BO11" i="39"/>
  <c r="BN11" i="39"/>
  <c r="BT11" i="39" s="1"/>
  <c r="BK11" i="39"/>
  <c r="BJ11" i="39"/>
  <c r="BI11" i="39"/>
  <c r="BH11" i="39"/>
  <c r="BG11" i="39"/>
  <c r="BF11" i="39"/>
  <c r="BL11" i="39" s="1"/>
  <c r="BD11" i="39"/>
  <c r="BC11" i="39"/>
  <c r="BB11" i="39"/>
  <c r="BA11" i="39"/>
  <c r="AZ11" i="39"/>
  <c r="AY11" i="39"/>
  <c r="AX11" i="39"/>
  <c r="AE11" i="39"/>
  <c r="AE27" i="39" s="1"/>
  <c r="AD27" i="39" s="1"/>
  <c r="AD11" i="39"/>
  <c r="BR10" i="39"/>
  <c r="BQ10" i="39"/>
  <c r="BP10" i="39"/>
  <c r="BT10" i="39" s="1"/>
  <c r="BO10" i="39"/>
  <c r="BN10" i="39"/>
  <c r="BJ10" i="39"/>
  <c r="BI10" i="39"/>
  <c r="BH10" i="39"/>
  <c r="BG10" i="39"/>
  <c r="BF10" i="39"/>
  <c r="BB10" i="39"/>
  <c r="BA10" i="39"/>
  <c r="AZ10" i="39"/>
  <c r="AY10" i="39"/>
  <c r="AX10" i="39"/>
  <c r="AA10" i="39"/>
  <c r="BK10" i="39" s="1"/>
  <c r="BL10" i="39" s="1"/>
  <c r="Z10" i="39"/>
  <c r="BS10" i="39" s="1"/>
  <c r="AQ10" i="39" s="1"/>
  <c r="BQ9" i="39"/>
  <c r="BP9" i="39"/>
  <c r="BO9" i="39"/>
  <c r="BN9" i="39"/>
  <c r="BK9" i="39"/>
  <c r="BI9" i="39"/>
  <c r="BH9" i="39"/>
  <c r="BL9" i="39" s="1"/>
  <c r="BG9" i="39"/>
  <c r="BF9" i="39"/>
  <c r="BA9" i="39"/>
  <c r="AZ9" i="39"/>
  <c r="AY9" i="39"/>
  <c r="AX9" i="39"/>
  <c r="AA9" i="39"/>
  <c r="Z9" i="39"/>
  <c r="BC9" i="39" s="1"/>
  <c r="W9" i="39"/>
  <c r="BB9" i="39" s="1"/>
  <c r="V9" i="39"/>
  <c r="BJ9" i="39" s="1"/>
  <c r="BP8" i="39"/>
  <c r="BO8" i="39"/>
  <c r="BN8" i="39"/>
  <c r="BH8" i="39"/>
  <c r="BG8" i="39"/>
  <c r="BF8" i="39"/>
  <c r="AZ8" i="39"/>
  <c r="AY8" i="39"/>
  <c r="AX8" i="39"/>
  <c r="BD8" i="39" s="1"/>
  <c r="AA8" i="39"/>
  <c r="Z8" i="39"/>
  <c r="BC8" i="39" s="1"/>
  <c r="W8" i="39"/>
  <c r="BB8" i="39" s="1"/>
  <c r="V8" i="39"/>
  <c r="BJ8" i="39" s="1"/>
  <c r="S8" i="39"/>
  <c r="R8" i="39"/>
  <c r="BA8" i="39" s="1"/>
  <c r="BR7" i="39"/>
  <c r="BO7" i="39"/>
  <c r="BN7" i="39"/>
  <c r="BK7" i="39"/>
  <c r="BG7" i="39"/>
  <c r="BF7" i="39"/>
  <c r="AY7" i="39"/>
  <c r="AX7" i="39"/>
  <c r="AA7" i="39"/>
  <c r="Z7" i="39"/>
  <c r="BC7" i="39" s="1"/>
  <c r="W7" i="39"/>
  <c r="BB7" i="39" s="1"/>
  <c r="V7" i="39"/>
  <c r="BJ7" i="39" s="1"/>
  <c r="S7" i="39"/>
  <c r="R7" i="39"/>
  <c r="BA7" i="39" s="1"/>
  <c r="O7" i="39"/>
  <c r="AZ7" i="39" s="1"/>
  <c r="N7" i="39"/>
  <c r="BP7" i="39" s="1"/>
  <c r="BS6" i="39"/>
  <c r="BN6" i="39"/>
  <c r="BF6" i="39"/>
  <c r="AX6" i="39"/>
  <c r="AA6" i="39"/>
  <c r="BK6" i="39" s="1"/>
  <c r="Z6" i="39"/>
  <c r="W6" i="39"/>
  <c r="V6" i="39"/>
  <c r="BB6" i="39" s="1"/>
  <c r="S6" i="39"/>
  <c r="BA6" i="39" s="1"/>
  <c r="R6" i="39"/>
  <c r="BI6" i="39" s="1"/>
  <c r="O6" i="39"/>
  <c r="N6" i="39"/>
  <c r="AZ6" i="39" s="1"/>
  <c r="K6" i="39"/>
  <c r="BG6" i="39" s="1"/>
  <c r="J6" i="39"/>
  <c r="AY6" i="39" s="1"/>
  <c r="A54" i="38"/>
  <c r="A53" i="38"/>
  <c r="A52" i="38"/>
  <c r="A51" i="38"/>
  <c r="A50" i="38"/>
  <c r="A49" i="38"/>
  <c r="A45" i="38"/>
  <c r="A44" i="38"/>
  <c r="A43" i="38"/>
  <c r="A42" i="38"/>
  <c r="A41" i="38"/>
  <c r="A40" i="38"/>
  <c r="A36" i="38"/>
  <c r="A35" i="38"/>
  <c r="A34" i="38"/>
  <c r="A33" i="38"/>
  <c r="A32" i="38"/>
  <c r="A31" i="38"/>
  <c r="A27" i="38"/>
  <c r="A26" i="38"/>
  <c r="A25" i="38"/>
  <c r="A24" i="38"/>
  <c r="A23" i="38"/>
  <c r="A22" i="38"/>
  <c r="C17" i="38"/>
  <c r="C114" i="43" s="1"/>
  <c r="C16" i="38"/>
  <c r="C113" i="43" s="1"/>
  <c r="C15" i="38"/>
  <c r="C112" i="43" s="1"/>
  <c r="C14" i="38"/>
  <c r="C111" i="43" s="1"/>
  <c r="BS11" i="38"/>
  <c r="BR11" i="38"/>
  <c r="BQ11" i="38"/>
  <c r="BP11" i="38"/>
  <c r="BO11" i="38"/>
  <c r="BN11" i="38"/>
  <c r="BK11" i="38"/>
  <c r="BJ11" i="38"/>
  <c r="BI11" i="38"/>
  <c r="BH11" i="38"/>
  <c r="BG11" i="38"/>
  <c r="BF11" i="38"/>
  <c r="BC11" i="38"/>
  <c r="BB11" i="38"/>
  <c r="BA11" i="38"/>
  <c r="AZ11" i="38"/>
  <c r="BD11" i="38" s="1"/>
  <c r="AY11" i="38"/>
  <c r="AX11" i="38"/>
  <c r="AE11" i="38"/>
  <c r="AD11" i="38"/>
  <c r="BR10" i="38"/>
  <c r="BQ10" i="38"/>
  <c r="BP10" i="38"/>
  <c r="BO10" i="38"/>
  <c r="BN10" i="38"/>
  <c r="BJ10" i="38"/>
  <c r="BI10" i="38"/>
  <c r="BH10" i="38"/>
  <c r="BG10" i="38"/>
  <c r="BF10" i="38"/>
  <c r="AP10" i="38" s="1"/>
  <c r="BC10" i="38"/>
  <c r="BB10" i="38"/>
  <c r="BA10" i="38"/>
  <c r="AZ10" i="38"/>
  <c r="AY10" i="38"/>
  <c r="AX10" i="38"/>
  <c r="AD10" i="38"/>
  <c r="AA10" i="38"/>
  <c r="BK10" i="38" s="1"/>
  <c r="Z10" i="38"/>
  <c r="BS10" i="38" s="1"/>
  <c r="BR9" i="38"/>
  <c r="BQ9" i="38"/>
  <c r="BP9" i="38"/>
  <c r="BO9" i="38"/>
  <c r="BN9" i="38"/>
  <c r="BI9" i="38"/>
  <c r="BH9" i="38"/>
  <c r="BG9" i="38"/>
  <c r="AP9" i="38" s="1"/>
  <c r="BF9" i="38"/>
  <c r="BC9" i="38"/>
  <c r="BA9" i="38"/>
  <c r="AZ9" i="38"/>
  <c r="AY9" i="38"/>
  <c r="AX9" i="38"/>
  <c r="AE9" i="38"/>
  <c r="AD9" i="38"/>
  <c r="AA9" i="38"/>
  <c r="BK9" i="38" s="1"/>
  <c r="Z9" i="38"/>
  <c r="BS9" i="38" s="1"/>
  <c r="W9" i="38"/>
  <c r="BB9" i="38" s="1"/>
  <c r="V9" i="38"/>
  <c r="BJ9" i="38" s="1"/>
  <c r="BQ8" i="38"/>
  <c r="BP8" i="38"/>
  <c r="BO8" i="38"/>
  <c r="BN8" i="38"/>
  <c r="BK8" i="38"/>
  <c r="BH8" i="38"/>
  <c r="BG8" i="38"/>
  <c r="BF8" i="38"/>
  <c r="BC8" i="38"/>
  <c r="AZ8" i="38"/>
  <c r="AY8" i="38"/>
  <c r="AX8" i="38"/>
  <c r="AA8" i="38"/>
  <c r="Z8" i="38"/>
  <c r="BS8" i="38" s="1"/>
  <c r="W8" i="38"/>
  <c r="V8" i="38"/>
  <c r="BJ8" i="38" s="1"/>
  <c r="S8" i="38"/>
  <c r="R8" i="38"/>
  <c r="BA8" i="38" s="1"/>
  <c r="BR7" i="38"/>
  <c r="BQ7" i="38"/>
  <c r="BP7" i="38"/>
  <c r="BO7" i="38"/>
  <c r="BN7" i="38"/>
  <c r="BI7" i="38"/>
  <c r="BH7" i="38"/>
  <c r="BG7" i="38"/>
  <c r="BF7" i="38"/>
  <c r="AZ7" i="38"/>
  <c r="AY7" i="38"/>
  <c r="AX7" i="38"/>
  <c r="AA7" i="38"/>
  <c r="BC7" i="38" s="1"/>
  <c r="Z7" i="38"/>
  <c r="BS7" i="38" s="1"/>
  <c r="W7" i="38"/>
  <c r="BB7" i="38" s="1"/>
  <c r="V7" i="38"/>
  <c r="BJ7" i="38" s="1"/>
  <c r="S7" i="38"/>
  <c r="AD7" i="38" s="1"/>
  <c r="R7" i="38"/>
  <c r="BA7" i="38" s="1"/>
  <c r="AE7" i="38" s="1"/>
  <c r="O7" i="38"/>
  <c r="N7" i="38"/>
  <c r="BQ6" i="38"/>
  <c r="BP6" i="38"/>
  <c r="BN6" i="38"/>
  <c r="BH6" i="38"/>
  <c r="BF6" i="38"/>
  <c r="AY6" i="38"/>
  <c r="AX6" i="38"/>
  <c r="BD6" i="38" s="1"/>
  <c r="AD6" i="38"/>
  <c r="AA6" i="38"/>
  <c r="Z6" i="38"/>
  <c r="BC6" i="38" s="1"/>
  <c r="W6" i="38"/>
  <c r="V6" i="38"/>
  <c r="BB6" i="38" s="1"/>
  <c r="S6" i="38"/>
  <c r="R6" i="38"/>
  <c r="BA6" i="38" s="1"/>
  <c r="O6" i="38"/>
  <c r="N6" i="38"/>
  <c r="AZ6" i="38" s="1"/>
  <c r="K6" i="38"/>
  <c r="J6" i="38"/>
  <c r="BO6" i="38" s="1"/>
  <c r="A54" i="37"/>
  <c r="A53" i="37"/>
  <c r="A52" i="37"/>
  <c r="A51" i="37"/>
  <c r="A50" i="37"/>
  <c r="A49" i="37"/>
  <c r="A45" i="37"/>
  <c r="A44" i="37"/>
  <c r="A43" i="37"/>
  <c r="A42" i="37"/>
  <c r="A41" i="37"/>
  <c r="A40" i="37"/>
  <c r="A36" i="37"/>
  <c r="A35" i="37"/>
  <c r="A34" i="37"/>
  <c r="A33" i="37"/>
  <c r="A32" i="37"/>
  <c r="A31" i="37"/>
  <c r="A27" i="37"/>
  <c r="A26" i="37"/>
  <c r="A25" i="37"/>
  <c r="A24" i="37"/>
  <c r="A23" i="37"/>
  <c r="A22" i="37"/>
  <c r="C17" i="37"/>
  <c r="C110" i="43" s="1"/>
  <c r="C16" i="37"/>
  <c r="C109" i="43" s="1"/>
  <c r="C15" i="37"/>
  <c r="C108" i="43" s="1"/>
  <c r="C14" i="37"/>
  <c r="C107" i="43" s="1"/>
  <c r="BS11" i="37"/>
  <c r="BR11" i="37"/>
  <c r="BQ11" i="37"/>
  <c r="BP11" i="37"/>
  <c r="BO11" i="37"/>
  <c r="BN11" i="37"/>
  <c r="BK11" i="37"/>
  <c r="BJ11" i="37"/>
  <c r="BI11" i="37"/>
  <c r="BH11" i="37"/>
  <c r="BG11" i="37"/>
  <c r="BF11" i="37"/>
  <c r="BD11" i="37"/>
  <c r="BC11" i="37"/>
  <c r="BB11" i="37"/>
  <c r="BA11" i="37"/>
  <c r="AE11" i="37" s="1"/>
  <c r="AZ11" i="37"/>
  <c r="AY11" i="37"/>
  <c r="AX11" i="37"/>
  <c r="AD11" i="37"/>
  <c r="BR10" i="37"/>
  <c r="BQ10" i="37"/>
  <c r="BP10" i="37"/>
  <c r="BO10" i="37"/>
  <c r="BN10" i="37"/>
  <c r="BJ10" i="37"/>
  <c r="BI10" i="37"/>
  <c r="BH10" i="37"/>
  <c r="BG10" i="37"/>
  <c r="BF10" i="37"/>
  <c r="AP10" i="37" s="1"/>
  <c r="BD10" i="37"/>
  <c r="BC10" i="37"/>
  <c r="AE10" i="37" s="1"/>
  <c r="BB10" i="37"/>
  <c r="BA10" i="37"/>
  <c r="AZ10" i="37"/>
  <c r="AY10" i="37"/>
  <c r="AX10" i="37"/>
  <c r="AD10" i="37"/>
  <c r="AA10" i="37"/>
  <c r="BK10" i="37" s="1"/>
  <c r="BL10" i="37" s="1"/>
  <c r="Z10" i="37"/>
  <c r="BS10" i="37" s="1"/>
  <c r="BQ9" i="37"/>
  <c r="BP9" i="37"/>
  <c r="BO9" i="37"/>
  <c r="BN9" i="37"/>
  <c r="BI9" i="37"/>
  <c r="BH9" i="37"/>
  <c r="BG9" i="37"/>
  <c r="BF9" i="37"/>
  <c r="BA9" i="37"/>
  <c r="AZ9" i="37"/>
  <c r="AY9" i="37"/>
  <c r="AX9" i="37"/>
  <c r="AA9" i="37"/>
  <c r="Z9" i="37"/>
  <c r="W9" i="37"/>
  <c r="V9" i="37"/>
  <c r="BB9" i="37" s="1"/>
  <c r="BR8" i="37"/>
  <c r="BQ8" i="37"/>
  <c r="BP8" i="37"/>
  <c r="BO8" i="37"/>
  <c r="BN8" i="37"/>
  <c r="BK8" i="37"/>
  <c r="BI8" i="37"/>
  <c r="BH8" i="37"/>
  <c r="BG8" i="37"/>
  <c r="AP8" i="37" s="1"/>
  <c r="BF8" i="37"/>
  <c r="BC8" i="37"/>
  <c r="AZ8" i="37"/>
  <c r="AY8" i="37"/>
  <c r="AX8" i="37"/>
  <c r="AD8" i="37"/>
  <c r="AA8" i="37"/>
  <c r="Z8" i="37"/>
  <c r="BS8" i="37" s="1"/>
  <c r="W8" i="37"/>
  <c r="BB8" i="37" s="1"/>
  <c r="V8" i="37"/>
  <c r="BJ8" i="37" s="1"/>
  <c r="S8" i="37"/>
  <c r="R8" i="37"/>
  <c r="BA8" i="37" s="1"/>
  <c r="AE8" i="37" s="1"/>
  <c r="BO7" i="37"/>
  <c r="BN7" i="37"/>
  <c r="BG7" i="37"/>
  <c r="BF7" i="37"/>
  <c r="AY7" i="37"/>
  <c r="AX7" i="37"/>
  <c r="AA7" i="37"/>
  <c r="Z7" i="37"/>
  <c r="W7" i="37"/>
  <c r="V7" i="37"/>
  <c r="BB7" i="37" s="1"/>
  <c r="S7" i="37"/>
  <c r="R7" i="37"/>
  <c r="O7" i="37"/>
  <c r="N7" i="37"/>
  <c r="AZ7" i="37" s="1"/>
  <c r="BR6" i="37"/>
  <c r="BQ6" i="37"/>
  <c r="BP6" i="37"/>
  <c r="BN6" i="37"/>
  <c r="BI6" i="37"/>
  <c r="BH6" i="37"/>
  <c r="BF6" i="37"/>
  <c r="BC6" i="37"/>
  <c r="AZ6" i="37"/>
  <c r="AY6" i="37"/>
  <c r="AX6" i="37"/>
  <c r="AD6" i="37"/>
  <c r="AA6" i="37"/>
  <c r="BK6" i="37" s="1"/>
  <c r="Z6" i="37"/>
  <c r="BS6" i="37" s="1"/>
  <c r="W6" i="37"/>
  <c r="BB6" i="37" s="1"/>
  <c r="V6" i="37"/>
  <c r="BJ6" i="37" s="1"/>
  <c r="S6" i="37"/>
  <c r="R6" i="37"/>
  <c r="BA6" i="37" s="1"/>
  <c r="AE6" i="37" s="1"/>
  <c r="O6" i="37"/>
  <c r="N6" i="37"/>
  <c r="K6" i="37"/>
  <c r="BG6" i="37" s="1"/>
  <c r="J6" i="37"/>
  <c r="BO6" i="37" s="1"/>
  <c r="A54" i="36"/>
  <c r="A53" i="36"/>
  <c r="A52" i="36"/>
  <c r="A51" i="36"/>
  <c r="A50" i="36"/>
  <c r="A49" i="36"/>
  <c r="A45" i="36"/>
  <c r="A44" i="36"/>
  <c r="A43" i="36"/>
  <c r="A42" i="36"/>
  <c r="A41" i="36"/>
  <c r="A40" i="36"/>
  <c r="A36" i="36"/>
  <c r="A35" i="36"/>
  <c r="A34" i="36"/>
  <c r="A33" i="36"/>
  <c r="A32" i="36"/>
  <c r="A31" i="36"/>
  <c r="A27" i="36"/>
  <c r="A26" i="36"/>
  <c r="A25" i="36"/>
  <c r="A24" i="36"/>
  <c r="A23" i="36"/>
  <c r="A22" i="36"/>
  <c r="C17" i="36"/>
  <c r="C106" i="43" s="1"/>
  <c r="C16" i="36"/>
  <c r="C105" i="43" s="1"/>
  <c r="C15" i="36"/>
  <c r="C104" i="43" s="1"/>
  <c r="C14" i="36"/>
  <c r="C103" i="43" s="1"/>
  <c r="BS11" i="36"/>
  <c r="BR11" i="36"/>
  <c r="BQ11" i="36"/>
  <c r="BP11" i="36"/>
  <c r="BO11" i="36"/>
  <c r="BN11" i="36"/>
  <c r="BT11" i="36" s="1"/>
  <c r="BK11" i="36"/>
  <c r="BJ11" i="36"/>
  <c r="BI11" i="36"/>
  <c r="BH11" i="36"/>
  <c r="BG11" i="36"/>
  <c r="BF11" i="36"/>
  <c r="AP11" i="36" s="1"/>
  <c r="BD11" i="36"/>
  <c r="BC11" i="36"/>
  <c r="BB11" i="36"/>
  <c r="BA11" i="36"/>
  <c r="AZ11" i="36"/>
  <c r="AY11" i="36"/>
  <c r="AX11" i="36"/>
  <c r="AE11" i="36"/>
  <c r="AE54" i="36" s="1"/>
  <c r="AD54" i="36" s="1"/>
  <c r="AD11" i="36"/>
  <c r="BR10" i="36"/>
  <c r="BQ10" i="36"/>
  <c r="BP10" i="36"/>
  <c r="BO10" i="36"/>
  <c r="BN10" i="36"/>
  <c r="BJ10" i="36"/>
  <c r="BI10" i="36"/>
  <c r="BH10" i="36"/>
  <c r="BG10" i="36"/>
  <c r="BF10" i="36"/>
  <c r="BC10" i="36"/>
  <c r="BD10" i="36" s="1"/>
  <c r="BB10" i="36"/>
  <c r="BA10" i="36"/>
  <c r="AZ10" i="36"/>
  <c r="AY10" i="36"/>
  <c r="AE10" i="36" s="1"/>
  <c r="AX10" i="36"/>
  <c r="AD10" i="36"/>
  <c r="AA10" i="36"/>
  <c r="Z10" i="36"/>
  <c r="BS10" i="36" s="1"/>
  <c r="BR9" i="36"/>
  <c r="BQ9" i="36"/>
  <c r="BP9" i="36"/>
  <c r="BO9" i="36"/>
  <c r="BN9" i="36"/>
  <c r="BI9" i="36"/>
  <c r="BH9" i="36"/>
  <c r="BG9" i="36"/>
  <c r="BF9" i="36"/>
  <c r="BA9" i="36"/>
  <c r="AZ9" i="36"/>
  <c r="AY9" i="36"/>
  <c r="AX9" i="36"/>
  <c r="AA9" i="36"/>
  <c r="Z9" i="36"/>
  <c r="BK9" i="36" s="1"/>
  <c r="W9" i="36"/>
  <c r="BB9" i="36" s="1"/>
  <c r="V9" i="36"/>
  <c r="BJ9" i="36" s="1"/>
  <c r="BR8" i="36"/>
  <c r="BQ8" i="36"/>
  <c r="BP8" i="36"/>
  <c r="BO8" i="36"/>
  <c r="BN8" i="36"/>
  <c r="BI8" i="36"/>
  <c r="BH8" i="36"/>
  <c r="BG8" i="36"/>
  <c r="BF8" i="36"/>
  <c r="BC8" i="36"/>
  <c r="AZ8" i="36"/>
  <c r="AY8" i="36"/>
  <c r="AX8" i="36"/>
  <c r="AD8" i="36"/>
  <c r="AA8" i="36"/>
  <c r="Z8" i="36"/>
  <c r="BK8" i="36" s="1"/>
  <c r="W8" i="36"/>
  <c r="V8" i="36"/>
  <c r="BB8" i="36" s="1"/>
  <c r="S8" i="36"/>
  <c r="R8" i="36"/>
  <c r="BA8" i="36" s="1"/>
  <c r="BR7" i="36"/>
  <c r="BO7" i="36"/>
  <c r="BN7" i="36"/>
  <c r="BG7" i="36"/>
  <c r="BF7" i="36"/>
  <c r="AZ7" i="36"/>
  <c r="AY7" i="36"/>
  <c r="AX7" i="36"/>
  <c r="AA7" i="36"/>
  <c r="Z7" i="36"/>
  <c r="BK7" i="36" s="1"/>
  <c r="W7" i="36"/>
  <c r="BB7" i="36" s="1"/>
  <c r="V7" i="36"/>
  <c r="BJ7" i="36" s="1"/>
  <c r="S7" i="36"/>
  <c r="R7" i="36"/>
  <c r="BA7" i="36" s="1"/>
  <c r="O7" i="36"/>
  <c r="N7" i="36"/>
  <c r="BH7" i="36" s="1"/>
  <c r="BQ6" i="36"/>
  <c r="BN6" i="36"/>
  <c r="BH6" i="36"/>
  <c r="BF6" i="36"/>
  <c r="BC6" i="36"/>
  <c r="AY6" i="36"/>
  <c r="AX6" i="36"/>
  <c r="AD6" i="36"/>
  <c r="AA6" i="36"/>
  <c r="Z6" i="36"/>
  <c r="BS6" i="36" s="1"/>
  <c r="W6" i="36"/>
  <c r="V6" i="36"/>
  <c r="BJ6" i="36" s="1"/>
  <c r="S6" i="36"/>
  <c r="R6" i="36"/>
  <c r="BA6" i="36" s="1"/>
  <c r="O6" i="36"/>
  <c r="N6" i="36"/>
  <c r="AZ6" i="36" s="1"/>
  <c r="K6" i="36"/>
  <c r="J6" i="36"/>
  <c r="BG6" i="36" s="1"/>
  <c r="A54" i="35"/>
  <c r="A53" i="35"/>
  <c r="A52" i="35"/>
  <c r="A51" i="35"/>
  <c r="A50" i="35"/>
  <c r="A49" i="35"/>
  <c r="A45" i="35"/>
  <c r="A44" i="35"/>
  <c r="A43" i="35"/>
  <c r="A42" i="35"/>
  <c r="A41" i="35"/>
  <c r="A40" i="35"/>
  <c r="A36" i="35"/>
  <c r="A35" i="35"/>
  <c r="A34" i="35"/>
  <c r="A33" i="35"/>
  <c r="A32" i="35"/>
  <c r="A31" i="35"/>
  <c r="A27" i="35"/>
  <c r="A26" i="35"/>
  <c r="A25" i="35"/>
  <c r="A24" i="35"/>
  <c r="A23" i="35"/>
  <c r="A22" i="35"/>
  <c r="C17" i="35"/>
  <c r="C102" i="43" s="1"/>
  <c r="C16" i="35"/>
  <c r="C101" i="43" s="1"/>
  <c r="C15" i="35"/>
  <c r="C100" i="43" s="1"/>
  <c r="C14" i="35"/>
  <c r="C99" i="43" s="1"/>
  <c r="BS11" i="35"/>
  <c r="AQ11" i="35" s="1"/>
  <c r="BR11" i="35"/>
  <c r="BQ11" i="35"/>
  <c r="BP11" i="35"/>
  <c r="BO11" i="35"/>
  <c r="BN11" i="35"/>
  <c r="BK11" i="35"/>
  <c r="BJ11" i="35"/>
  <c r="AP11" i="35" s="1"/>
  <c r="BI11" i="35"/>
  <c r="BH11" i="35"/>
  <c r="BG11" i="35"/>
  <c r="BF11" i="35"/>
  <c r="BL11" i="35" s="1"/>
  <c r="BC11" i="35"/>
  <c r="BB11" i="35"/>
  <c r="BA11" i="35"/>
  <c r="AZ11" i="35"/>
  <c r="AY11" i="35"/>
  <c r="AX11" i="35"/>
  <c r="BD11" i="35" s="1"/>
  <c r="AD11" i="35"/>
  <c r="BR10" i="35"/>
  <c r="BQ10" i="35"/>
  <c r="BP10" i="35"/>
  <c r="BO10" i="35"/>
  <c r="BN10" i="35"/>
  <c r="BJ10" i="35"/>
  <c r="BI10" i="35"/>
  <c r="BH10" i="35"/>
  <c r="BG10" i="35"/>
  <c r="BF10" i="35"/>
  <c r="BB10" i="35"/>
  <c r="BA10" i="35"/>
  <c r="AZ10" i="35"/>
  <c r="AE10" i="35" s="1"/>
  <c r="AY10" i="35"/>
  <c r="AX10" i="35"/>
  <c r="AA10" i="35"/>
  <c r="Z10" i="35"/>
  <c r="BC10" i="35" s="1"/>
  <c r="BS9" i="35"/>
  <c r="BQ9" i="35"/>
  <c r="BP9" i="35"/>
  <c r="BO9" i="35"/>
  <c r="BN9" i="35"/>
  <c r="BK9" i="35"/>
  <c r="BI9" i="35"/>
  <c r="BH9" i="35"/>
  <c r="BG9" i="35"/>
  <c r="BF9" i="35"/>
  <c r="BA9" i="35"/>
  <c r="AZ9" i="35"/>
  <c r="AY9" i="35"/>
  <c r="AX9" i="35"/>
  <c r="AA9" i="35"/>
  <c r="BC9" i="35" s="1"/>
  <c r="Z9" i="35"/>
  <c r="W9" i="35"/>
  <c r="V9" i="35"/>
  <c r="BP8" i="35"/>
  <c r="BO8" i="35"/>
  <c r="BN8" i="35"/>
  <c r="BH8" i="35"/>
  <c r="BG8" i="35"/>
  <c r="BF8" i="35"/>
  <c r="AZ8" i="35"/>
  <c r="AY8" i="35"/>
  <c r="AX8" i="35"/>
  <c r="AA8" i="35"/>
  <c r="Z8" i="35"/>
  <c r="BK8" i="35" s="1"/>
  <c r="W8" i="35"/>
  <c r="BB8" i="35" s="1"/>
  <c r="V8" i="35"/>
  <c r="BJ8" i="35" s="1"/>
  <c r="S8" i="35"/>
  <c r="R8" i="35"/>
  <c r="BA8" i="35" s="1"/>
  <c r="BS7" i="35"/>
  <c r="BQ7" i="35"/>
  <c r="BO7" i="35"/>
  <c r="BN7" i="35"/>
  <c r="BH7" i="35"/>
  <c r="BG7" i="35"/>
  <c r="BF7" i="35"/>
  <c r="BA7" i="35"/>
  <c r="AY7" i="35"/>
  <c r="AX7" i="35"/>
  <c r="AA7" i="35"/>
  <c r="BC7" i="35" s="1"/>
  <c r="Z7" i="35"/>
  <c r="W7" i="35"/>
  <c r="V7" i="35"/>
  <c r="BR7" i="35" s="1"/>
  <c r="S7" i="35"/>
  <c r="R7" i="35"/>
  <c r="BI7" i="35" s="1"/>
  <c r="O7" i="35"/>
  <c r="N7" i="35"/>
  <c r="BO6" i="35"/>
  <c r="BN6" i="35"/>
  <c r="BJ6" i="35"/>
  <c r="BF6" i="35"/>
  <c r="BA6" i="35"/>
  <c r="AZ6" i="35"/>
  <c r="AX6" i="35"/>
  <c r="AA6" i="35"/>
  <c r="Z6" i="35"/>
  <c r="BC6" i="35" s="1"/>
  <c r="W6" i="35"/>
  <c r="V6" i="35"/>
  <c r="BR6" i="35" s="1"/>
  <c r="S6" i="35"/>
  <c r="BI6" i="35" s="1"/>
  <c r="R6" i="35"/>
  <c r="BQ6" i="35" s="1"/>
  <c r="O6" i="35"/>
  <c r="N6" i="35"/>
  <c r="BP6" i="35" s="1"/>
  <c r="K6" i="35"/>
  <c r="J6" i="35"/>
  <c r="A54" i="34"/>
  <c r="A53" i="34"/>
  <c r="A52" i="34"/>
  <c r="A51" i="34"/>
  <c r="A50" i="34"/>
  <c r="A49" i="34"/>
  <c r="A45" i="34"/>
  <c r="A44" i="34"/>
  <c r="A43" i="34"/>
  <c r="A42" i="34"/>
  <c r="A41" i="34"/>
  <c r="A40" i="34"/>
  <c r="A36" i="34"/>
  <c r="A35" i="34"/>
  <c r="A34" i="34"/>
  <c r="A33" i="34"/>
  <c r="A32" i="34"/>
  <c r="A31" i="34"/>
  <c r="A27" i="34"/>
  <c r="A26" i="34"/>
  <c r="A25" i="34"/>
  <c r="A24" i="34"/>
  <c r="A23" i="34"/>
  <c r="A22" i="34"/>
  <c r="C17" i="34"/>
  <c r="C98" i="43" s="1"/>
  <c r="C16" i="34"/>
  <c r="C97" i="43" s="1"/>
  <c r="C15" i="34"/>
  <c r="C96" i="43" s="1"/>
  <c r="C14" i="34"/>
  <c r="C95" i="43" s="1"/>
  <c r="BS11" i="34"/>
  <c r="BR11" i="34"/>
  <c r="AQ11" i="34" s="1"/>
  <c r="BQ11" i="34"/>
  <c r="BP11" i="34"/>
  <c r="BO11" i="34"/>
  <c r="BN11" i="34"/>
  <c r="BT11" i="34" s="1"/>
  <c r="BK11" i="34"/>
  <c r="BJ11" i="34"/>
  <c r="BI11" i="34"/>
  <c r="BH11" i="34"/>
  <c r="BG11" i="34"/>
  <c r="BL11" i="34" s="1"/>
  <c r="BF11" i="34"/>
  <c r="BC11" i="34"/>
  <c r="BB11" i="34"/>
  <c r="BA11" i="34"/>
  <c r="AZ11" i="34"/>
  <c r="AY11" i="34"/>
  <c r="BD11" i="34" s="1"/>
  <c r="AX11" i="34"/>
  <c r="AE11" i="34"/>
  <c r="AE27" i="34" s="1"/>
  <c r="AD27" i="34" s="1"/>
  <c r="AD11" i="34"/>
  <c r="BR10" i="34"/>
  <c r="BQ10" i="34"/>
  <c r="BP10" i="34"/>
  <c r="BO10" i="34"/>
  <c r="BN10" i="34"/>
  <c r="BJ10" i="34"/>
  <c r="BI10" i="34"/>
  <c r="BH10" i="34"/>
  <c r="BG10" i="34"/>
  <c r="BF10" i="34"/>
  <c r="BB10" i="34"/>
  <c r="BA10" i="34"/>
  <c r="AZ10" i="34"/>
  <c r="AY10" i="34"/>
  <c r="AX10" i="34"/>
  <c r="AD10" i="34"/>
  <c r="AA10" i="34"/>
  <c r="BK10" i="34" s="1"/>
  <c r="Z10" i="34"/>
  <c r="BC10" i="34" s="1"/>
  <c r="BR9" i="34"/>
  <c r="BQ9" i="34"/>
  <c r="BP9" i="34"/>
  <c r="BO9" i="34"/>
  <c r="BN9" i="34"/>
  <c r="BK9" i="34"/>
  <c r="BI9" i="34"/>
  <c r="BH9" i="34"/>
  <c r="BG9" i="34"/>
  <c r="BF9" i="34"/>
  <c r="BC9" i="34"/>
  <c r="BA9" i="34"/>
  <c r="AZ9" i="34"/>
  <c r="AY9" i="34"/>
  <c r="AX9" i="34"/>
  <c r="BD9" i="34" s="1"/>
  <c r="AA9" i="34"/>
  <c r="Z9" i="34"/>
  <c r="BS9" i="34" s="1"/>
  <c r="AQ9" i="34" s="1"/>
  <c r="W9" i="34"/>
  <c r="BB9" i="34" s="1"/>
  <c r="AE9" i="34" s="1"/>
  <c r="V9" i="34"/>
  <c r="BJ9" i="34" s="1"/>
  <c r="BP8" i="34"/>
  <c r="BO8" i="34"/>
  <c r="BN8" i="34"/>
  <c r="BH8" i="34"/>
  <c r="BG8" i="34"/>
  <c r="BF8" i="34"/>
  <c r="AZ8" i="34"/>
  <c r="AY8" i="34"/>
  <c r="AX8" i="34"/>
  <c r="AA8" i="34"/>
  <c r="Z8" i="34"/>
  <c r="BS8" i="34" s="1"/>
  <c r="W8" i="34"/>
  <c r="BB8" i="34" s="1"/>
  <c r="V8" i="34"/>
  <c r="BJ8" i="34" s="1"/>
  <c r="S8" i="34"/>
  <c r="R8" i="34"/>
  <c r="BA8" i="34" s="1"/>
  <c r="BR7" i="34"/>
  <c r="BQ7" i="34"/>
  <c r="BP7" i="34"/>
  <c r="BO7" i="34"/>
  <c r="BN7" i="34"/>
  <c r="BK7" i="34"/>
  <c r="BI7" i="34"/>
  <c r="BG7" i="34"/>
  <c r="BF7" i="34"/>
  <c r="BC7" i="34"/>
  <c r="AY7" i="34"/>
  <c r="AX7" i="34"/>
  <c r="AA7" i="34"/>
  <c r="Z7" i="34"/>
  <c r="BS7" i="34" s="1"/>
  <c r="W7" i="34"/>
  <c r="BB7" i="34" s="1"/>
  <c r="V7" i="34"/>
  <c r="BJ7" i="34" s="1"/>
  <c r="S7" i="34"/>
  <c r="R7" i="34"/>
  <c r="BA7" i="34" s="1"/>
  <c r="O7" i="34"/>
  <c r="AZ7" i="34" s="1"/>
  <c r="N7" i="34"/>
  <c r="BS6" i="34"/>
  <c r="BQ6" i="34"/>
  <c r="BN6" i="34"/>
  <c r="BF6" i="34"/>
  <c r="BA6" i="34"/>
  <c r="AX6" i="34"/>
  <c r="AA6" i="34"/>
  <c r="BK6" i="34" s="1"/>
  <c r="Z6" i="34"/>
  <c r="BC6" i="34" s="1"/>
  <c r="W6" i="34"/>
  <c r="V6" i="34"/>
  <c r="BB6" i="34" s="1"/>
  <c r="S6" i="34"/>
  <c r="R6" i="34"/>
  <c r="BI6" i="34" s="1"/>
  <c r="O6" i="34"/>
  <c r="N6" i="34"/>
  <c r="AZ6" i="34" s="1"/>
  <c r="K6" i="34"/>
  <c r="AY6" i="34" s="1"/>
  <c r="J6" i="34"/>
  <c r="BO6" i="34" s="1"/>
  <c r="A54" i="33"/>
  <c r="A53" i="33"/>
  <c r="A52" i="33"/>
  <c r="A51" i="33"/>
  <c r="A50" i="33"/>
  <c r="A49" i="33"/>
  <c r="A45" i="33"/>
  <c r="A44" i="33"/>
  <c r="A43" i="33"/>
  <c r="A42" i="33"/>
  <c r="A41" i="33"/>
  <c r="A40" i="33"/>
  <c r="A36" i="33"/>
  <c r="A35" i="33"/>
  <c r="A34" i="33"/>
  <c r="A33" i="33"/>
  <c r="A32" i="33"/>
  <c r="A31" i="33"/>
  <c r="A27" i="33"/>
  <c r="A26" i="33"/>
  <c r="A25" i="33"/>
  <c r="A24" i="33"/>
  <c r="A23" i="33"/>
  <c r="A22" i="33"/>
  <c r="C17" i="33"/>
  <c r="C94" i="43" s="1"/>
  <c r="C16" i="33"/>
  <c r="C93" i="43" s="1"/>
  <c r="C15" i="33"/>
  <c r="C92" i="43" s="1"/>
  <c r="C14" i="33"/>
  <c r="C91" i="43" s="1"/>
  <c r="BS11" i="33"/>
  <c r="BR11" i="33"/>
  <c r="BQ11" i="33"/>
  <c r="BP11" i="33"/>
  <c r="BO11" i="33"/>
  <c r="BN11" i="33"/>
  <c r="BT11" i="33" s="1"/>
  <c r="BK11" i="33"/>
  <c r="BJ11" i="33"/>
  <c r="BI11" i="33"/>
  <c r="BH11" i="33"/>
  <c r="BG11" i="33"/>
  <c r="BF11" i="33"/>
  <c r="BL11" i="33" s="1"/>
  <c r="BC11" i="33"/>
  <c r="BB11" i="33"/>
  <c r="BA11" i="33"/>
  <c r="AZ11" i="33"/>
  <c r="AY11" i="33"/>
  <c r="AE11" i="33" s="1"/>
  <c r="AX11" i="33"/>
  <c r="AD11" i="33"/>
  <c r="BR10" i="33"/>
  <c r="BQ10" i="33"/>
  <c r="BP10" i="33"/>
  <c r="BT10" i="33" s="1"/>
  <c r="BO10" i="33"/>
  <c r="BN10" i="33"/>
  <c r="BJ10" i="33"/>
  <c r="BI10" i="33"/>
  <c r="BH10" i="33"/>
  <c r="BG10" i="33"/>
  <c r="BF10" i="33"/>
  <c r="BB10" i="33"/>
  <c r="BA10" i="33"/>
  <c r="AZ10" i="33"/>
  <c r="AY10" i="33"/>
  <c r="AX10" i="33"/>
  <c r="AA10" i="33"/>
  <c r="BK10" i="33" s="1"/>
  <c r="Z10" i="33"/>
  <c r="BS10" i="33" s="1"/>
  <c r="BR9" i="33"/>
  <c r="BQ9" i="33"/>
  <c r="BP9" i="33"/>
  <c r="BO9" i="33"/>
  <c r="BN9" i="33"/>
  <c r="BI9" i="33"/>
  <c r="BH9" i="33"/>
  <c r="BG9" i="33"/>
  <c r="BF9" i="33"/>
  <c r="BC9" i="33"/>
  <c r="BA9" i="33"/>
  <c r="AZ9" i="33"/>
  <c r="AY9" i="33"/>
  <c r="AE9" i="33" s="1"/>
  <c r="AX9" i="33"/>
  <c r="BD9" i="33" s="1"/>
  <c r="AD9" i="33"/>
  <c r="AA9" i="33"/>
  <c r="Z9" i="33"/>
  <c r="BK9" i="33" s="1"/>
  <c r="W9" i="33"/>
  <c r="V9" i="33"/>
  <c r="BB9" i="33" s="1"/>
  <c r="BP8" i="33"/>
  <c r="BO8" i="33"/>
  <c r="BN8" i="33"/>
  <c r="BK8" i="33"/>
  <c r="BH8" i="33"/>
  <c r="BG8" i="33"/>
  <c r="BF8" i="33"/>
  <c r="AZ8" i="33"/>
  <c r="AY8" i="33"/>
  <c r="AX8" i="33"/>
  <c r="BD8" i="33" s="1"/>
  <c r="AA8" i="33"/>
  <c r="BC8" i="33" s="1"/>
  <c r="Z8" i="33"/>
  <c r="BS8" i="33" s="1"/>
  <c r="W8" i="33"/>
  <c r="BB8" i="33" s="1"/>
  <c r="V8" i="33"/>
  <c r="BJ8" i="33" s="1"/>
  <c r="S8" i="33"/>
  <c r="R8" i="33"/>
  <c r="BA8" i="33" s="1"/>
  <c r="BQ7" i="33"/>
  <c r="BO7" i="33"/>
  <c r="BN7" i="33"/>
  <c r="BK7" i="33"/>
  <c r="BH7" i="33"/>
  <c r="BG7" i="33"/>
  <c r="BF7" i="33"/>
  <c r="BC7" i="33"/>
  <c r="AY7" i="33"/>
  <c r="AX7" i="33"/>
  <c r="AD7" i="33"/>
  <c r="AA7" i="33"/>
  <c r="Z7" i="33"/>
  <c r="BS7" i="33" s="1"/>
  <c r="W7" i="33"/>
  <c r="BB7" i="33" s="1"/>
  <c r="V7" i="33"/>
  <c r="BJ7" i="33" s="1"/>
  <c r="S7" i="33"/>
  <c r="R7" i="33"/>
  <c r="BA7" i="33" s="1"/>
  <c r="O7" i="33"/>
  <c r="N7" i="33"/>
  <c r="AZ7" i="33" s="1"/>
  <c r="BS6" i="33"/>
  <c r="BP6" i="33"/>
  <c r="BN6" i="33"/>
  <c r="BF6" i="33"/>
  <c r="AX6" i="33"/>
  <c r="AA6" i="33"/>
  <c r="BK6" i="33" s="1"/>
  <c r="Z6" i="33"/>
  <c r="BC6" i="33" s="1"/>
  <c r="W6" i="33"/>
  <c r="BB6" i="33" s="1"/>
  <c r="V6" i="33"/>
  <c r="BJ6" i="33" s="1"/>
  <c r="S6" i="33"/>
  <c r="BA6" i="33" s="1"/>
  <c r="R6" i="33"/>
  <c r="BI6" i="33" s="1"/>
  <c r="O6" i="33"/>
  <c r="N6" i="33"/>
  <c r="AZ6" i="33" s="1"/>
  <c r="K6" i="33"/>
  <c r="BG6" i="33" s="1"/>
  <c r="J6" i="33"/>
  <c r="AY6" i="33" s="1"/>
  <c r="A54" i="32"/>
  <c r="A53" i="32"/>
  <c r="A52" i="32"/>
  <c r="A51" i="32"/>
  <c r="A50" i="32"/>
  <c r="A49" i="32"/>
  <c r="A45" i="32"/>
  <c r="A44" i="32"/>
  <c r="A43" i="32"/>
  <c r="A42" i="32"/>
  <c r="A41" i="32"/>
  <c r="A40" i="32"/>
  <c r="A36" i="32"/>
  <c r="A35" i="32"/>
  <c r="A34" i="32"/>
  <c r="A33" i="32"/>
  <c r="A32" i="32"/>
  <c r="A31" i="32"/>
  <c r="A27" i="32"/>
  <c r="A26" i="32"/>
  <c r="A25" i="32"/>
  <c r="A24" i="32"/>
  <c r="A23" i="32"/>
  <c r="A22" i="32"/>
  <c r="C17" i="32"/>
  <c r="C90" i="43" s="1"/>
  <c r="C16" i="32"/>
  <c r="C89" i="43" s="1"/>
  <c r="C15" i="32"/>
  <c r="C88" i="43" s="1"/>
  <c r="C14" i="32"/>
  <c r="C87" i="43" s="1"/>
  <c r="BS11" i="32"/>
  <c r="BR11" i="32"/>
  <c r="BQ11" i="32"/>
  <c r="BT11" i="32" s="1"/>
  <c r="BP11" i="32"/>
  <c r="BO11" i="32"/>
  <c r="BN11" i="32"/>
  <c r="BL11" i="32"/>
  <c r="BK11" i="32"/>
  <c r="BJ11" i="32"/>
  <c r="BI11" i="32"/>
  <c r="BH11" i="32"/>
  <c r="AP11" i="32" s="1"/>
  <c r="BG11" i="32"/>
  <c r="BF11" i="32"/>
  <c r="BC11" i="32"/>
  <c r="BB11" i="32"/>
  <c r="BA11" i="32"/>
  <c r="AZ11" i="32"/>
  <c r="AY11" i="32"/>
  <c r="AX11" i="32"/>
  <c r="AE11" i="32" s="1"/>
  <c r="AD11" i="32"/>
  <c r="BR10" i="32"/>
  <c r="BQ10" i="32"/>
  <c r="BP10" i="32"/>
  <c r="BO10" i="32"/>
  <c r="BN10" i="32"/>
  <c r="BK10" i="32"/>
  <c r="BJ10" i="32"/>
  <c r="BI10" i="32"/>
  <c r="BH10" i="32"/>
  <c r="BG10" i="32"/>
  <c r="AP10" i="32" s="1"/>
  <c r="BF10" i="32"/>
  <c r="BB10" i="32"/>
  <c r="BA10" i="32"/>
  <c r="AZ10" i="32"/>
  <c r="AY10" i="32"/>
  <c r="AX10" i="32"/>
  <c r="AA10" i="32"/>
  <c r="Z10" i="32"/>
  <c r="AD10" i="32" s="1"/>
  <c r="BQ9" i="32"/>
  <c r="BP9" i="32"/>
  <c r="BO9" i="32"/>
  <c r="BN9" i="32"/>
  <c r="BL9" i="32"/>
  <c r="BK9" i="32"/>
  <c r="BI9" i="32"/>
  <c r="BH9" i="32"/>
  <c r="AP9" i="32" s="1"/>
  <c r="BG9" i="32"/>
  <c r="BF9" i="32"/>
  <c r="BC9" i="32"/>
  <c r="BA9" i="32"/>
  <c r="AZ9" i="32"/>
  <c r="AY9" i="32"/>
  <c r="AX9" i="32"/>
  <c r="AA9" i="32"/>
  <c r="Z9" i="32"/>
  <c r="BS9" i="32" s="1"/>
  <c r="W9" i="32"/>
  <c r="AD9" i="32" s="1"/>
  <c r="V9" i="32"/>
  <c r="BJ9" i="32" s="1"/>
  <c r="BP8" i="32"/>
  <c r="BO8" i="32"/>
  <c r="BN8" i="32"/>
  <c r="BH8" i="32"/>
  <c r="BG8" i="32"/>
  <c r="BF8" i="32"/>
  <c r="AZ8" i="32"/>
  <c r="AY8" i="32"/>
  <c r="AX8" i="32"/>
  <c r="AA8" i="32"/>
  <c r="Z8" i="32"/>
  <c r="W8" i="32"/>
  <c r="BB8" i="32" s="1"/>
  <c r="V8" i="32"/>
  <c r="BJ8" i="32" s="1"/>
  <c r="S8" i="32"/>
  <c r="R8" i="32"/>
  <c r="BA8" i="32" s="1"/>
  <c r="BQ7" i="32"/>
  <c r="BP7" i="32"/>
  <c r="BO7" i="32"/>
  <c r="BN7" i="32"/>
  <c r="BK7" i="32"/>
  <c r="BG7" i="32"/>
  <c r="BF7" i="32"/>
  <c r="BC7" i="32"/>
  <c r="AY7" i="32"/>
  <c r="AX7" i="32"/>
  <c r="AE7" i="32" s="1"/>
  <c r="AA7" i="32"/>
  <c r="Z7" i="32"/>
  <c r="BS7" i="32" s="1"/>
  <c r="W7" i="32"/>
  <c r="BB7" i="32" s="1"/>
  <c r="V7" i="32"/>
  <c r="BJ7" i="32" s="1"/>
  <c r="S7" i="32"/>
  <c r="R7" i="32"/>
  <c r="BA7" i="32" s="1"/>
  <c r="O7" i="32"/>
  <c r="BH7" i="32" s="1"/>
  <c r="N7" i="32"/>
  <c r="AZ7" i="32" s="1"/>
  <c r="BS6" i="32"/>
  <c r="BN6" i="32"/>
  <c r="BK6" i="32"/>
  <c r="BF6" i="32"/>
  <c r="BB6" i="32"/>
  <c r="BA6" i="32"/>
  <c r="AX6" i="32"/>
  <c r="AA6" i="32"/>
  <c r="Z6" i="32"/>
  <c r="BC6" i="32" s="1"/>
  <c r="W6" i="32"/>
  <c r="V6" i="32"/>
  <c r="BR6" i="32" s="1"/>
  <c r="S6" i="32"/>
  <c r="R6" i="32"/>
  <c r="BI6" i="32" s="1"/>
  <c r="O6" i="32"/>
  <c r="N6" i="32"/>
  <c r="K6" i="32"/>
  <c r="BG6" i="32" s="1"/>
  <c r="J6" i="32"/>
  <c r="AY6" i="32" s="1"/>
  <c r="A54" i="31"/>
  <c r="A53" i="31"/>
  <c r="A52" i="31"/>
  <c r="A51" i="31"/>
  <c r="A50" i="31"/>
  <c r="A49" i="31"/>
  <c r="A45" i="31"/>
  <c r="A44" i="31"/>
  <c r="A43" i="31"/>
  <c r="A42" i="31"/>
  <c r="A41" i="31"/>
  <c r="A40" i="31"/>
  <c r="A36" i="31"/>
  <c r="A35" i="31"/>
  <c r="A34" i="31"/>
  <c r="A33" i="31"/>
  <c r="A32" i="31"/>
  <c r="A31" i="31"/>
  <c r="A27" i="31"/>
  <c r="A26" i="31"/>
  <c r="A25" i="31"/>
  <c r="A24" i="31"/>
  <c r="A23" i="31"/>
  <c r="A22" i="31"/>
  <c r="C17" i="31"/>
  <c r="C86" i="43" s="1"/>
  <c r="C16" i="31"/>
  <c r="C85" i="43" s="1"/>
  <c r="C15" i="31"/>
  <c r="C84" i="43" s="1"/>
  <c r="C14" i="31"/>
  <c r="C83" i="43" s="1"/>
  <c r="BS11" i="31"/>
  <c r="BR11" i="31"/>
  <c r="BQ11" i="31"/>
  <c r="BP11" i="31"/>
  <c r="BO11" i="31"/>
  <c r="BN11" i="31"/>
  <c r="BK11" i="31"/>
  <c r="BJ11" i="31"/>
  <c r="BI11" i="31"/>
  <c r="BH11" i="31"/>
  <c r="BG11" i="31"/>
  <c r="BF11" i="31"/>
  <c r="BC11" i="31"/>
  <c r="BB11" i="31"/>
  <c r="BA11" i="31"/>
  <c r="AZ11" i="31"/>
  <c r="AE11" i="31" s="1"/>
  <c r="AY11" i="31"/>
  <c r="BD11" i="31" s="1"/>
  <c r="AX11" i="31"/>
  <c r="AD11" i="31"/>
  <c r="BR10" i="31"/>
  <c r="BQ10" i="31"/>
  <c r="BP10" i="31"/>
  <c r="BO10" i="31"/>
  <c r="BN10" i="31"/>
  <c r="BJ10" i="31"/>
  <c r="BI10" i="31"/>
  <c r="BH10" i="31"/>
  <c r="BG10" i="31"/>
  <c r="BF10" i="31"/>
  <c r="BB10" i="31"/>
  <c r="BA10" i="31"/>
  <c r="AZ10" i="31"/>
  <c r="AY10" i="31"/>
  <c r="AX10" i="31"/>
  <c r="AD10" i="31"/>
  <c r="AA10" i="31"/>
  <c r="BC10" i="31" s="1"/>
  <c r="Z10" i="31"/>
  <c r="BK10" i="31" s="1"/>
  <c r="BR9" i="31"/>
  <c r="BQ9" i="31"/>
  <c r="BP9" i="31"/>
  <c r="BO9" i="31"/>
  <c r="BN9" i="31"/>
  <c r="BK9" i="31"/>
  <c r="BI9" i="31"/>
  <c r="BH9" i="31"/>
  <c r="BG9" i="31"/>
  <c r="AP9" i="31" s="1"/>
  <c r="BF9" i="31"/>
  <c r="BC9" i="31"/>
  <c r="BA9" i="31"/>
  <c r="AZ9" i="31"/>
  <c r="AY9" i="31"/>
  <c r="AE9" i="31" s="1"/>
  <c r="AX9" i="31"/>
  <c r="AD9" i="31"/>
  <c r="AA9" i="31"/>
  <c r="Z9" i="31"/>
  <c r="BS9" i="31" s="1"/>
  <c r="W9" i="31"/>
  <c r="BB9" i="31" s="1"/>
  <c r="V9" i="31"/>
  <c r="BJ9" i="31" s="1"/>
  <c r="BQ8" i="31"/>
  <c r="BP8" i="31"/>
  <c r="BO8" i="31"/>
  <c r="BN8" i="31"/>
  <c r="BK8" i="31"/>
  <c r="BH8" i="31"/>
  <c r="BG8" i="31"/>
  <c r="BF8" i="31"/>
  <c r="BC8" i="31"/>
  <c r="AZ8" i="31"/>
  <c r="AY8" i="31"/>
  <c r="AX8" i="31"/>
  <c r="AA8" i="31"/>
  <c r="Z8" i="31"/>
  <c r="BS8" i="31" s="1"/>
  <c r="W8" i="31"/>
  <c r="AD8" i="31" s="1"/>
  <c r="V8" i="31"/>
  <c r="S8" i="31"/>
  <c r="R8" i="31"/>
  <c r="BA8" i="31" s="1"/>
  <c r="BR7" i="31"/>
  <c r="BQ7" i="31"/>
  <c r="BP7" i="31"/>
  <c r="BO7" i="31"/>
  <c r="BN7" i="31"/>
  <c r="BK7" i="31"/>
  <c r="BI7" i="31"/>
  <c r="BH7" i="31"/>
  <c r="BG7" i="31"/>
  <c r="AP7" i="31" s="1"/>
  <c r="BF7" i="31"/>
  <c r="BC7" i="31"/>
  <c r="AZ7" i="31"/>
  <c r="AY7" i="31"/>
  <c r="AX7" i="31"/>
  <c r="AE7" i="31"/>
  <c r="AD7" i="31"/>
  <c r="AA7" i="31"/>
  <c r="Z7" i="31"/>
  <c r="BS7" i="31" s="1"/>
  <c r="W7" i="31"/>
  <c r="BB7" i="31" s="1"/>
  <c r="V7" i="31"/>
  <c r="BJ7" i="31" s="1"/>
  <c r="S7" i="31"/>
  <c r="R7" i="31"/>
  <c r="BA7" i="31" s="1"/>
  <c r="O7" i="31"/>
  <c r="N7" i="31"/>
  <c r="BS6" i="31"/>
  <c r="BQ6" i="31"/>
  <c r="BP6" i="31"/>
  <c r="BN6" i="31"/>
  <c r="BH6" i="31"/>
  <c r="BF6" i="31"/>
  <c r="AX6" i="31"/>
  <c r="AD6" i="31"/>
  <c r="AA6" i="31"/>
  <c r="Z6" i="31"/>
  <c r="W6" i="31"/>
  <c r="V6" i="31"/>
  <c r="BB6" i="31" s="1"/>
  <c r="S6" i="31"/>
  <c r="BA6" i="31" s="1"/>
  <c r="R6" i="31"/>
  <c r="O6" i="31"/>
  <c r="N6" i="31"/>
  <c r="AZ6" i="31" s="1"/>
  <c r="K6" i="31"/>
  <c r="BG6" i="31" s="1"/>
  <c r="J6" i="31"/>
  <c r="BO6" i="31" s="1"/>
  <c r="A54" i="30"/>
  <c r="A53" i="30"/>
  <c r="A52" i="30"/>
  <c r="A51" i="30"/>
  <c r="A50" i="30"/>
  <c r="A49" i="30"/>
  <c r="A45" i="30"/>
  <c r="AE44" i="30"/>
  <c r="AD44" i="30" s="1"/>
  <c r="A44" i="30"/>
  <c r="A43" i="30"/>
  <c r="A42" i="30"/>
  <c r="A41" i="30"/>
  <c r="A40" i="30"/>
  <c r="A36" i="30"/>
  <c r="A35" i="30"/>
  <c r="A34" i="30"/>
  <c r="A33" i="30"/>
  <c r="A32" i="30"/>
  <c r="A31" i="30"/>
  <c r="A27" i="30"/>
  <c r="A26" i="30"/>
  <c r="A25" i="30"/>
  <c r="A24" i="30"/>
  <c r="A23" i="30"/>
  <c r="A22" i="30"/>
  <c r="C17" i="30"/>
  <c r="C82" i="43" s="1"/>
  <c r="C16" i="30"/>
  <c r="C81" i="43" s="1"/>
  <c r="C15" i="30"/>
  <c r="C80" i="43" s="1"/>
  <c r="C14" i="30"/>
  <c r="C79" i="43" s="1"/>
  <c r="BS11" i="30"/>
  <c r="BR11" i="30"/>
  <c r="BQ11" i="30"/>
  <c r="BP11" i="30"/>
  <c r="BO11" i="30"/>
  <c r="BN11" i="30"/>
  <c r="BK11" i="30"/>
  <c r="BJ11" i="30"/>
  <c r="BI11" i="30"/>
  <c r="BH11" i="30"/>
  <c r="BG11" i="30"/>
  <c r="BF11" i="30"/>
  <c r="BD11" i="30"/>
  <c r="BC11" i="30"/>
  <c r="BB11" i="30"/>
  <c r="BA11" i="30"/>
  <c r="AE11" i="30" s="1"/>
  <c r="AE54" i="30" s="1"/>
  <c r="AD54" i="30" s="1"/>
  <c r="AZ11" i="30"/>
  <c r="AY11" i="30"/>
  <c r="AX11" i="30"/>
  <c r="AD11" i="30"/>
  <c r="BR10" i="30"/>
  <c r="BQ10" i="30"/>
  <c r="BP10" i="30"/>
  <c r="BO10" i="30"/>
  <c r="BN10" i="30"/>
  <c r="BL10" i="30"/>
  <c r="BJ10" i="30"/>
  <c r="BI10" i="30"/>
  <c r="BH10" i="30"/>
  <c r="BG10" i="30"/>
  <c r="BF10" i="30"/>
  <c r="BD10" i="30"/>
  <c r="BC10" i="30"/>
  <c r="AE10" i="30" s="1"/>
  <c r="BB10" i="30"/>
  <c r="BA10" i="30"/>
  <c r="AZ10" i="30"/>
  <c r="AY10" i="30"/>
  <c r="AX10" i="30"/>
  <c r="AD10" i="30"/>
  <c r="AA10" i="30"/>
  <c r="Z10" i="30"/>
  <c r="BK10" i="30" s="1"/>
  <c r="BQ9" i="30"/>
  <c r="BP9" i="30"/>
  <c r="BO9" i="30"/>
  <c r="BN9" i="30"/>
  <c r="BI9" i="30"/>
  <c r="BH9" i="30"/>
  <c r="BG9" i="30"/>
  <c r="BF9" i="30"/>
  <c r="BA9" i="30"/>
  <c r="AZ9" i="30"/>
  <c r="AY9" i="30"/>
  <c r="AX9" i="30"/>
  <c r="AA9" i="30"/>
  <c r="Z9" i="30"/>
  <c r="W9" i="30"/>
  <c r="V9" i="30"/>
  <c r="BB9" i="30" s="1"/>
  <c r="BR8" i="30"/>
  <c r="BQ8" i="30"/>
  <c r="BP8" i="30"/>
  <c r="BO8" i="30"/>
  <c r="BN8" i="30"/>
  <c r="BI8" i="30"/>
  <c r="BL8" i="30" s="1"/>
  <c r="BH8" i="30"/>
  <c r="BG8" i="30"/>
  <c r="BF8" i="30"/>
  <c r="BC8" i="30"/>
  <c r="AZ8" i="30"/>
  <c r="AE8" i="30" s="1"/>
  <c r="AY8" i="30"/>
  <c r="AX8" i="30"/>
  <c r="AD8" i="30"/>
  <c r="AA8" i="30"/>
  <c r="Z8" i="30"/>
  <c r="BK8" i="30" s="1"/>
  <c r="W8" i="30"/>
  <c r="BB8" i="30" s="1"/>
  <c r="V8" i="30"/>
  <c r="BJ8" i="30" s="1"/>
  <c r="S8" i="30"/>
  <c r="R8" i="30"/>
  <c r="BA8" i="30" s="1"/>
  <c r="BD8" i="30" s="1"/>
  <c r="BS7" i="30"/>
  <c r="BO7" i="30"/>
  <c r="BN7" i="30"/>
  <c r="BI7" i="30"/>
  <c r="BG7" i="30"/>
  <c r="BF7" i="30"/>
  <c r="BA7" i="30"/>
  <c r="AY7" i="30"/>
  <c r="AX7" i="30"/>
  <c r="AA7" i="30"/>
  <c r="Z7" i="30"/>
  <c r="W7" i="30"/>
  <c r="V7" i="30"/>
  <c r="BB7" i="30" s="1"/>
  <c r="S7" i="30"/>
  <c r="R7" i="30"/>
  <c r="BQ7" i="30" s="1"/>
  <c r="O7" i="30"/>
  <c r="N7" i="30"/>
  <c r="BR6" i="30"/>
  <c r="BQ6" i="30"/>
  <c r="BN6" i="30"/>
  <c r="BI6" i="30"/>
  <c r="BH6" i="30"/>
  <c r="BF6" i="30"/>
  <c r="BC6" i="30"/>
  <c r="AZ6" i="30"/>
  <c r="AE6" i="30" s="1"/>
  <c r="AY6" i="30"/>
  <c r="BD6" i="30" s="1"/>
  <c r="AX6" i="30"/>
  <c r="AD6" i="30"/>
  <c r="AA6" i="30"/>
  <c r="Z6" i="30"/>
  <c r="BK6" i="30" s="1"/>
  <c r="W6" i="30"/>
  <c r="V6" i="30"/>
  <c r="BB6" i="30" s="1"/>
  <c r="S6" i="30"/>
  <c r="BA6" i="30" s="1"/>
  <c r="R6" i="30"/>
  <c r="O6" i="30"/>
  <c r="N6" i="30"/>
  <c r="BP6" i="30" s="1"/>
  <c r="K6" i="30"/>
  <c r="J6" i="30"/>
  <c r="BG6" i="30" s="1"/>
  <c r="A54" i="29"/>
  <c r="A53" i="29"/>
  <c r="A52" i="29"/>
  <c r="A51" i="29"/>
  <c r="A50" i="29"/>
  <c r="A49" i="29"/>
  <c r="A45" i="29"/>
  <c r="A44" i="29"/>
  <c r="A43" i="29"/>
  <c r="A42" i="29"/>
  <c r="A41" i="29"/>
  <c r="A40" i="29"/>
  <c r="A36" i="29"/>
  <c r="A35" i="29"/>
  <c r="A34" i="29"/>
  <c r="A33" i="29"/>
  <c r="A32" i="29"/>
  <c r="A31" i="29"/>
  <c r="A27" i="29"/>
  <c r="A26" i="29"/>
  <c r="A25" i="29"/>
  <c r="A24" i="29"/>
  <c r="A23" i="29"/>
  <c r="A22" i="29"/>
  <c r="C17" i="29"/>
  <c r="C78" i="43" s="1"/>
  <c r="C16" i="29"/>
  <c r="C77" i="43" s="1"/>
  <c r="C15" i="29"/>
  <c r="C76" i="43" s="1"/>
  <c r="C14" i="29"/>
  <c r="C75" i="43" s="1"/>
  <c r="BS11" i="29"/>
  <c r="BR11" i="29"/>
  <c r="BT11" i="29" s="1"/>
  <c r="BQ11" i="29"/>
  <c r="BP11" i="29"/>
  <c r="BO11" i="29"/>
  <c r="BN11" i="29"/>
  <c r="BL11" i="29"/>
  <c r="BK11" i="29"/>
  <c r="BJ11" i="29"/>
  <c r="BI11" i="29"/>
  <c r="AP11" i="29" s="1"/>
  <c r="BH11" i="29"/>
  <c r="BG11" i="29"/>
  <c r="BF11" i="29"/>
  <c r="BC11" i="29"/>
  <c r="AE11" i="29" s="1"/>
  <c r="BB11" i="29"/>
  <c r="BA11" i="29"/>
  <c r="AZ11" i="29"/>
  <c r="AY11" i="29"/>
  <c r="AX11" i="29"/>
  <c r="BD11" i="29" s="1"/>
  <c r="AD11" i="29"/>
  <c r="BT10" i="29"/>
  <c r="BS10" i="29"/>
  <c r="BR10" i="29"/>
  <c r="BQ10" i="29"/>
  <c r="BP10" i="29"/>
  <c r="BO10" i="29"/>
  <c r="BN10" i="29"/>
  <c r="BK10" i="29"/>
  <c r="BJ10" i="29"/>
  <c r="BI10" i="29"/>
  <c r="BH10" i="29"/>
  <c r="AP10" i="29" s="1"/>
  <c r="BG10" i="29"/>
  <c r="BF10" i="29"/>
  <c r="BL10" i="29" s="1"/>
  <c r="BB10" i="29"/>
  <c r="BA10" i="29"/>
  <c r="AZ10" i="29"/>
  <c r="AY10" i="29"/>
  <c r="AX10" i="29"/>
  <c r="AQ10" i="29"/>
  <c r="AD10" i="29"/>
  <c r="AA10" i="29"/>
  <c r="Z10" i="29"/>
  <c r="BC10" i="29" s="1"/>
  <c r="BS9" i="29"/>
  <c r="BR9" i="29"/>
  <c r="BT9" i="29" s="1"/>
  <c r="BQ9" i="29"/>
  <c r="BP9" i="29"/>
  <c r="BO9" i="29"/>
  <c r="BN9" i="29"/>
  <c r="BK9" i="29"/>
  <c r="BI9" i="29"/>
  <c r="AP9" i="29" s="1"/>
  <c r="BH9" i="29"/>
  <c r="BG9" i="29"/>
  <c r="BF9" i="29"/>
  <c r="BC9" i="29"/>
  <c r="BA9" i="29"/>
  <c r="AZ9" i="29"/>
  <c r="AY9" i="29"/>
  <c r="AX9" i="29"/>
  <c r="AA9" i="29"/>
  <c r="Z9" i="29"/>
  <c r="W9" i="29"/>
  <c r="V9" i="29"/>
  <c r="BJ9" i="29" s="1"/>
  <c r="BL9" i="29" s="1"/>
  <c r="BP8" i="29"/>
  <c r="BO8" i="29"/>
  <c r="BN8" i="29"/>
  <c r="BH8" i="29"/>
  <c r="BG8" i="29"/>
  <c r="BF8" i="29"/>
  <c r="AZ8" i="29"/>
  <c r="AY8" i="29"/>
  <c r="AX8" i="29"/>
  <c r="AA8" i="29"/>
  <c r="BC8" i="29" s="1"/>
  <c r="Z8" i="29"/>
  <c r="BK8" i="29" s="1"/>
  <c r="W8" i="29"/>
  <c r="BB8" i="29" s="1"/>
  <c r="V8" i="29"/>
  <c r="BJ8" i="29" s="1"/>
  <c r="S8" i="29"/>
  <c r="R8" i="29"/>
  <c r="BA8" i="29" s="1"/>
  <c r="BS7" i="29"/>
  <c r="BR7" i="29"/>
  <c r="BO7" i="29"/>
  <c r="BN7" i="29"/>
  <c r="BK7" i="29"/>
  <c r="BI7" i="29"/>
  <c r="BG7" i="29"/>
  <c r="BF7" i="29"/>
  <c r="BC7" i="29"/>
  <c r="BA7" i="29"/>
  <c r="AZ7" i="29"/>
  <c r="AY7" i="29"/>
  <c r="AX7" i="29"/>
  <c r="BD7" i="29" s="1"/>
  <c r="AA7" i="29"/>
  <c r="Z7" i="29"/>
  <c r="W7" i="29"/>
  <c r="BB7" i="29" s="1"/>
  <c r="AE7" i="29" s="1"/>
  <c r="V7" i="29"/>
  <c r="BJ7" i="29" s="1"/>
  <c r="S7" i="29"/>
  <c r="R7" i="29"/>
  <c r="BQ7" i="29" s="1"/>
  <c r="O7" i="29"/>
  <c r="N7" i="29"/>
  <c r="BH7" i="29" s="1"/>
  <c r="BS6" i="29"/>
  <c r="BQ6" i="29"/>
  <c r="BN6" i="29"/>
  <c r="BK6" i="29"/>
  <c r="BF6" i="29"/>
  <c r="BA6" i="29"/>
  <c r="AY6" i="29"/>
  <c r="AX6" i="29"/>
  <c r="AA6" i="29"/>
  <c r="Z6" i="29"/>
  <c r="BC6" i="29" s="1"/>
  <c r="W6" i="29"/>
  <c r="BB6" i="29" s="1"/>
  <c r="V6" i="29"/>
  <c r="BR6" i="29" s="1"/>
  <c r="S6" i="29"/>
  <c r="BI6" i="29" s="1"/>
  <c r="R6" i="29"/>
  <c r="O6" i="29"/>
  <c r="BH6" i="29" s="1"/>
  <c r="N6" i="29"/>
  <c r="AZ6" i="29" s="1"/>
  <c r="K6" i="29"/>
  <c r="J6" i="29"/>
  <c r="BG6" i="29" s="1"/>
  <c r="A54" i="28"/>
  <c r="A53" i="28"/>
  <c r="A52" i="28"/>
  <c r="A51" i="28"/>
  <c r="A50" i="28"/>
  <c r="A49" i="28"/>
  <c r="A45" i="28"/>
  <c r="A44" i="28"/>
  <c r="A43" i="28"/>
  <c r="A42" i="28"/>
  <c r="A41" i="28"/>
  <c r="A40" i="28"/>
  <c r="A36" i="28"/>
  <c r="A35" i="28"/>
  <c r="A34" i="28"/>
  <c r="A33" i="28"/>
  <c r="A32" i="28"/>
  <c r="A31" i="28"/>
  <c r="A27" i="28"/>
  <c r="A26" i="28"/>
  <c r="A25" i="28"/>
  <c r="A24" i="28"/>
  <c r="A23" i="28"/>
  <c r="A22" i="28"/>
  <c r="C17" i="28"/>
  <c r="C74" i="43" s="1"/>
  <c r="C16" i="28"/>
  <c r="C73" i="43" s="1"/>
  <c r="C15" i="28"/>
  <c r="C72" i="43" s="1"/>
  <c r="C14" i="28"/>
  <c r="C71" i="43" s="1"/>
  <c r="BS11" i="28"/>
  <c r="BR11" i="28"/>
  <c r="BQ11" i="28"/>
  <c r="BP11" i="28"/>
  <c r="BO11" i="28"/>
  <c r="AQ11" i="28" s="1"/>
  <c r="BN11" i="28"/>
  <c r="BT11" i="28" s="1"/>
  <c r="BK11" i="28"/>
  <c r="BJ11" i="28"/>
  <c r="BI11" i="28"/>
  <c r="BH11" i="28"/>
  <c r="BG11" i="28"/>
  <c r="BF11" i="28"/>
  <c r="BL11" i="28" s="1"/>
  <c r="BC11" i="28"/>
  <c r="BB11" i="28"/>
  <c r="BA11" i="28"/>
  <c r="AZ11" i="28"/>
  <c r="AY11" i="28"/>
  <c r="AX11" i="28"/>
  <c r="BD11" i="28" s="1"/>
  <c r="AE11" i="28"/>
  <c r="AE27" i="28" s="1"/>
  <c r="AD27" i="28" s="1"/>
  <c r="AD11" i="28"/>
  <c r="BR10" i="28"/>
  <c r="BQ10" i="28"/>
  <c r="BP10" i="28"/>
  <c r="BO10" i="28"/>
  <c r="BN10" i="28"/>
  <c r="BJ10" i="28"/>
  <c r="BI10" i="28"/>
  <c r="BH10" i="28"/>
  <c r="BG10" i="28"/>
  <c r="BF10" i="28"/>
  <c r="BB10" i="28"/>
  <c r="BA10" i="28"/>
  <c r="AZ10" i="28"/>
  <c r="AY10" i="28"/>
  <c r="BD10" i="28" s="1"/>
  <c r="AX10" i="28"/>
  <c r="AD10" i="28"/>
  <c r="AA10" i="28"/>
  <c r="Z10" i="28"/>
  <c r="BC10" i="28" s="1"/>
  <c r="BR9" i="28"/>
  <c r="BQ9" i="28"/>
  <c r="BP9" i="28"/>
  <c r="BO9" i="28"/>
  <c r="BN9" i="28"/>
  <c r="BI9" i="28"/>
  <c r="BH9" i="28"/>
  <c r="BG9" i="28"/>
  <c r="BF9" i="28"/>
  <c r="BA9" i="28"/>
  <c r="AZ9" i="28"/>
  <c r="AY9" i="28"/>
  <c r="AX9" i="28"/>
  <c r="AA9" i="28"/>
  <c r="Z9" i="28"/>
  <c r="BC9" i="28" s="1"/>
  <c r="W9" i="28"/>
  <c r="BB9" i="28" s="1"/>
  <c r="AE9" i="28" s="1"/>
  <c r="V9" i="28"/>
  <c r="BJ9" i="28" s="1"/>
  <c r="BR8" i="28"/>
  <c r="BP8" i="28"/>
  <c r="BO8" i="28"/>
  <c r="BN8" i="28"/>
  <c r="BI8" i="28"/>
  <c r="BH8" i="28"/>
  <c r="BG8" i="28"/>
  <c r="BF8" i="28"/>
  <c r="BC8" i="28"/>
  <c r="AZ8" i="28"/>
  <c r="AY8" i="28"/>
  <c r="AX8" i="28"/>
  <c r="AA8" i="28"/>
  <c r="Z8" i="28"/>
  <c r="BS8" i="28" s="1"/>
  <c r="W8" i="28"/>
  <c r="BB8" i="28" s="1"/>
  <c r="V8" i="28"/>
  <c r="BJ8" i="28" s="1"/>
  <c r="S8" i="28"/>
  <c r="R8" i="28"/>
  <c r="BA8" i="28" s="1"/>
  <c r="BR7" i="28"/>
  <c r="BO7" i="28"/>
  <c r="BN7" i="28"/>
  <c r="BI7" i="28"/>
  <c r="BG7" i="28"/>
  <c r="BF7" i="28"/>
  <c r="AZ7" i="28"/>
  <c r="AY7" i="28"/>
  <c r="AX7" i="28"/>
  <c r="BD7" i="28" s="1"/>
  <c r="AA7" i="28"/>
  <c r="Z7" i="28"/>
  <c r="BC7" i="28" s="1"/>
  <c r="W7" i="28"/>
  <c r="BB7" i="28" s="1"/>
  <c r="V7" i="28"/>
  <c r="BJ7" i="28" s="1"/>
  <c r="S7" i="28"/>
  <c r="R7" i="28"/>
  <c r="BA7" i="28" s="1"/>
  <c r="O7" i="28"/>
  <c r="BH7" i="28" s="1"/>
  <c r="N7" i="28"/>
  <c r="BP7" i="28" s="1"/>
  <c r="BS6" i="28"/>
  <c r="BQ6" i="28"/>
  <c r="BN6" i="28"/>
  <c r="BH6" i="28"/>
  <c r="BF6" i="28"/>
  <c r="AY6" i="28"/>
  <c r="AX6" i="28"/>
  <c r="AD6" i="28"/>
  <c r="AA6" i="28"/>
  <c r="BK6" i="28" s="1"/>
  <c r="Z6" i="28"/>
  <c r="BC6" i="28" s="1"/>
  <c r="W6" i="28"/>
  <c r="V6" i="28"/>
  <c r="BB6" i="28" s="1"/>
  <c r="S6" i="28"/>
  <c r="BA6" i="28" s="1"/>
  <c r="R6" i="28"/>
  <c r="BI6" i="28" s="1"/>
  <c r="O6" i="28"/>
  <c r="N6" i="28"/>
  <c r="AZ6" i="28" s="1"/>
  <c r="K6" i="28"/>
  <c r="BG6" i="28" s="1"/>
  <c r="J6" i="28"/>
  <c r="BO6" i="28" s="1"/>
  <c r="A54" i="27"/>
  <c r="A53" i="27"/>
  <c r="A52" i="27"/>
  <c r="A51" i="27"/>
  <c r="A50" i="27"/>
  <c r="A49" i="27"/>
  <c r="A45" i="27"/>
  <c r="A44" i="27"/>
  <c r="A43" i="27"/>
  <c r="A42" i="27"/>
  <c r="A41" i="27"/>
  <c r="A40" i="27"/>
  <c r="A36" i="27"/>
  <c r="A35" i="27"/>
  <c r="A34" i="27"/>
  <c r="A33" i="27"/>
  <c r="A32" i="27"/>
  <c r="A31" i="27"/>
  <c r="A27" i="27"/>
  <c r="A26" i="27"/>
  <c r="A25" i="27"/>
  <c r="A24" i="27"/>
  <c r="A23" i="27"/>
  <c r="A22" i="27"/>
  <c r="C17" i="27"/>
  <c r="C70" i="43" s="1"/>
  <c r="C16" i="27"/>
  <c r="C69" i="43" s="1"/>
  <c r="C15" i="27"/>
  <c r="C68" i="43" s="1"/>
  <c r="C14" i="27"/>
  <c r="C67" i="43" s="1"/>
  <c r="BS11" i="27"/>
  <c r="BR11" i="27"/>
  <c r="BQ11" i="27"/>
  <c r="BP11" i="27"/>
  <c r="BO11" i="27"/>
  <c r="BN11" i="27"/>
  <c r="BK11" i="27"/>
  <c r="BJ11" i="27"/>
  <c r="BI11" i="27"/>
  <c r="BH11" i="27"/>
  <c r="BG11" i="27"/>
  <c r="BF11" i="27"/>
  <c r="BC11" i="27"/>
  <c r="BB11" i="27"/>
  <c r="BA11" i="27"/>
  <c r="AZ11" i="27"/>
  <c r="AY11" i="27"/>
  <c r="AX11" i="27"/>
  <c r="AD11" i="27"/>
  <c r="BS10" i="27"/>
  <c r="BR10" i="27"/>
  <c r="BQ10" i="27"/>
  <c r="BP10" i="27"/>
  <c r="BO10" i="27"/>
  <c r="BN10" i="27"/>
  <c r="BJ10" i="27"/>
  <c r="BI10" i="27"/>
  <c r="BH10" i="27"/>
  <c r="BG10" i="27"/>
  <c r="BF10" i="27"/>
  <c r="BB10" i="27"/>
  <c r="BA10" i="27"/>
  <c r="AZ10" i="27"/>
  <c r="AY10" i="27"/>
  <c r="AX10" i="27"/>
  <c r="AA10" i="27"/>
  <c r="Z10" i="27"/>
  <c r="BR9" i="27"/>
  <c r="BQ9" i="27"/>
  <c r="BP9" i="27"/>
  <c r="BO9" i="27"/>
  <c r="BN9" i="27"/>
  <c r="BK9" i="27"/>
  <c r="BI9" i="27"/>
  <c r="BH9" i="27"/>
  <c r="BL9" i="27" s="1"/>
  <c r="BG9" i="27"/>
  <c r="BF9" i="27"/>
  <c r="BC9" i="27"/>
  <c r="BA9" i="27"/>
  <c r="AZ9" i="27"/>
  <c r="AY9" i="27"/>
  <c r="AX9" i="27"/>
  <c r="AD9" i="27"/>
  <c r="AA9" i="27"/>
  <c r="Z9" i="27"/>
  <c r="BS9" i="27" s="1"/>
  <c r="W9" i="27"/>
  <c r="BB9" i="27" s="1"/>
  <c r="V9" i="27"/>
  <c r="BJ9" i="27" s="1"/>
  <c r="BP8" i="27"/>
  <c r="BO8" i="27"/>
  <c r="BN8" i="27"/>
  <c r="BK8" i="27"/>
  <c r="BH8" i="27"/>
  <c r="BG8" i="27"/>
  <c r="BF8" i="27"/>
  <c r="AZ8" i="27"/>
  <c r="AY8" i="27"/>
  <c r="AX8" i="27"/>
  <c r="AA8" i="27"/>
  <c r="Z8" i="27"/>
  <c r="BS8" i="27" s="1"/>
  <c r="W8" i="27"/>
  <c r="BB8" i="27" s="1"/>
  <c r="V8" i="27"/>
  <c r="S8" i="27"/>
  <c r="R8" i="27"/>
  <c r="BA8" i="27" s="1"/>
  <c r="BR7" i="27"/>
  <c r="BQ7" i="27"/>
  <c r="BO7" i="27"/>
  <c r="BN7" i="27"/>
  <c r="BK7" i="27"/>
  <c r="BI7" i="27"/>
  <c r="BH7" i="27"/>
  <c r="BL7" i="27" s="1"/>
  <c r="BG7" i="27"/>
  <c r="BF7" i="27"/>
  <c r="BC7" i="27"/>
  <c r="AY7" i="27"/>
  <c r="AX7" i="27"/>
  <c r="AD7" i="27"/>
  <c r="AA7" i="27"/>
  <c r="Z7" i="27"/>
  <c r="BS7" i="27" s="1"/>
  <c r="W7" i="27"/>
  <c r="BB7" i="27" s="1"/>
  <c r="V7" i="27"/>
  <c r="BJ7" i="27" s="1"/>
  <c r="S7" i="27"/>
  <c r="R7" i="27"/>
  <c r="BA7" i="27" s="1"/>
  <c r="O7" i="27"/>
  <c r="AZ7" i="27" s="1"/>
  <c r="N7" i="27"/>
  <c r="BP7" i="27" s="1"/>
  <c r="BS6" i="27"/>
  <c r="BQ6" i="27"/>
  <c r="BP6" i="27"/>
  <c r="BN6" i="27"/>
  <c r="BF6" i="27"/>
  <c r="AX6" i="27"/>
  <c r="AA6" i="27"/>
  <c r="Z6" i="27"/>
  <c r="W6" i="27"/>
  <c r="V6" i="27"/>
  <c r="BB6" i="27" s="1"/>
  <c r="S6" i="27"/>
  <c r="BA6" i="27" s="1"/>
  <c r="R6" i="27"/>
  <c r="BI6" i="27" s="1"/>
  <c r="O6" i="27"/>
  <c r="N6" i="27"/>
  <c r="AZ6" i="27" s="1"/>
  <c r="K6" i="27"/>
  <c r="BG6" i="27" s="1"/>
  <c r="J6" i="27"/>
  <c r="BO6" i="27" s="1"/>
  <c r="A54" i="26"/>
  <c r="A53" i="26"/>
  <c r="A52" i="26"/>
  <c r="A51" i="26"/>
  <c r="A50" i="26"/>
  <c r="A49" i="26"/>
  <c r="A45" i="26"/>
  <c r="A44" i="26"/>
  <c r="A43" i="26"/>
  <c r="A42" i="26"/>
  <c r="A41" i="26"/>
  <c r="A40" i="26"/>
  <c r="A36" i="26"/>
  <c r="A35" i="26"/>
  <c r="A34" i="26"/>
  <c r="A33" i="26"/>
  <c r="A32" i="26"/>
  <c r="A31" i="26"/>
  <c r="A27" i="26"/>
  <c r="A26" i="26"/>
  <c r="A25" i="26"/>
  <c r="A24" i="26"/>
  <c r="A23" i="26"/>
  <c r="A22" i="26"/>
  <c r="C17" i="26"/>
  <c r="C66" i="43" s="1"/>
  <c r="C16" i="26"/>
  <c r="C65" i="43" s="1"/>
  <c r="C15" i="26"/>
  <c r="C64" i="43" s="1"/>
  <c r="C14" i="26"/>
  <c r="C63" i="43" s="1"/>
  <c r="BS11" i="26"/>
  <c r="BR11" i="26"/>
  <c r="BQ11" i="26"/>
  <c r="BP11" i="26"/>
  <c r="BO11" i="26"/>
  <c r="BN11" i="26"/>
  <c r="BT11" i="26" s="1"/>
  <c r="BK11" i="26"/>
  <c r="BJ11" i="26"/>
  <c r="BI11" i="26"/>
  <c r="BH11" i="26"/>
  <c r="AP11" i="26" s="1"/>
  <c r="BG11" i="26"/>
  <c r="BF11" i="26"/>
  <c r="BL11" i="26" s="1"/>
  <c r="BC11" i="26"/>
  <c r="BB11" i="26"/>
  <c r="BD11" i="26" s="1"/>
  <c r="BA11" i="26"/>
  <c r="AZ11" i="26"/>
  <c r="AY11" i="26"/>
  <c r="AX11" i="26"/>
  <c r="AD11" i="26"/>
  <c r="BS10" i="26"/>
  <c r="BR10" i="26"/>
  <c r="BQ10" i="26"/>
  <c r="BP10" i="26"/>
  <c r="BO10" i="26"/>
  <c r="BN10" i="26"/>
  <c r="BL10" i="26"/>
  <c r="BJ10" i="26"/>
  <c r="BI10" i="26"/>
  <c r="BH10" i="26"/>
  <c r="BG10" i="26"/>
  <c r="BF10" i="26"/>
  <c r="BC10" i="26"/>
  <c r="BB10" i="26"/>
  <c r="BA10" i="26"/>
  <c r="AZ10" i="26"/>
  <c r="AY10" i="26"/>
  <c r="AX10" i="26"/>
  <c r="AP10" i="26"/>
  <c r="AA10" i="26"/>
  <c r="AD10" i="26" s="1"/>
  <c r="Z10" i="26"/>
  <c r="BK10" i="26" s="1"/>
  <c r="BS9" i="26"/>
  <c r="BQ9" i="26"/>
  <c r="BP9" i="26"/>
  <c r="BO9" i="26"/>
  <c r="BN9" i="26"/>
  <c r="BK9" i="26"/>
  <c r="BI9" i="26"/>
  <c r="BH9" i="26"/>
  <c r="BG9" i="26"/>
  <c r="BF9" i="26"/>
  <c r="BB9" i="26"/>
  <c r="BD9" i="26" s="1"/>
  <c r="BA9" i="26"/>
  <c r="AZ9" i="26"/>
  <c r="AY9" i="26"/>
  <c r="AX9" i="26"/>
  <c r="AA9" i="26"/>
  <c r="Z9" i="26"/>
  <c r="BC9" i="26" s="1"/>
  <c r="W9" i="26"/>
  <c r="AD9" i="26" s="1"/>
  <c r="V9" i="26"/>
  <c r="BJ9" i="26" s="1"/>
  <c r="BQ8" i="26"/>
  <c r="BP8" i="26"/>
  <c r="BO8" i="26"/>
  <c r="BN8" i="26"/>
  <c r="BH8" i="26"/>
  <c r="BG8" i="26"/>
  <c r="BF8" i="26"/>
  <c r="AZ8" i="26"/>
  <c r="AY8" i="26"/>
  <c r="AX8" i="26"/>
  <c r="AA8" i="26"/>
  <c r="Z8" i="26"/>
  <c r="W8" i="26"/>
  <c r="BB8" i="26" s="1"/>
  <c r="V8" i="26"/>
  <c r="BJ8" i="26" s="1"/>
  <c r="S8" i="26"/>
  <c r="R8" i="26"/>
  <c r="BS7" i="26"/>
  <c r="BQ7" i="26"/>
  <c r="BO7" i="26"/>
  <c r="BN7" i="26"/>
  <c r="BK7" i="26"/>
  <c r="BG7" i="26"/>
  <c r="BF7" i="26"/>
  <c r="BB7" i="26"/>
  <c r="BA7" i="26"/>
  <c r="AY7" i="26"/>
  <c r="AE7" i="26" s="1"/>
  <c r="AE32" i="26" s="1"/>
  <c r="AD32" i="26" s="1"/>
  <c r="AX7" i="26"/>
  <c r="AA7" i="26"/>
  <c r="Z7" i="26"/>
  <c r="BC7" i="26" s="1"/>
  <c r="W7" i="26"/>
  <c r="V7" i="26"/>
  <c r="BJ7" i="26" s="1"/>
  <c r="S7" i="26"/>
  <c r="R7" i="26"/>
  <c r="BI7" i="26" s="1"/>
  <c r="O7" i="26"/>
  <c r="N7" i="26"/>
  <c r="AZ7" i="26" s="1"/>
  <c r="BD7" i="26" s="1"/>
  <c r="BS6" i="26"/>
  <c r="BN6" i="26"/>
  <c r="BF6" i="26"/>
  <c r="AX6" i="26"/>
  <c r="AA6" i="26"/>
  <c r="BC6" i="26" s="1"/>
  <c r="Z6" i="26"/>
  <c r="W6" i="26"/>
  <c r="V6" i="26"/>
  <c r="BJ6" i="26" s="1"/>
  <c r="S6" i="26"/>
  <c r="BI6" i="26" s="1"/>
  <c r="R6" i="26"/>
  <c r="BQ6" i="26" s="1"/>
  <c r="O6" i="26"/>
  <c r="N6" i="26"/>
  <c r="K6" i="26"/>
  <c r="BG6" i="26" s="1"/>
  <c r="J6" i="26"/>
  <c r="AY6" i="26" s="1"/>
  <c r="A54" i="25"/>
  <c r="A53" i="25"/>
  <c r="A52" i="25"/>
  <c r="A51" i="25"/>
  <c r="A50" i="25"/>
  <c r="A49" i="25"/>
  <c r="A45" i="25"/>
  <c r="A44" i="25"/>
  <c r="A43" i="25"/>
  <c r="A42" i="25"/>
  <c r="A41" i="25"/>
  <c r="A40" i="25"/>
  <c r="A36" i="25"/>
  <c r="A35" i="25"/>
  <c r="A34" i="25"/>
  <c r="A33" i="25"/>
  <c r="A32" i="25"/>
  <c r="A31" i="25"/>
  <c r="A27" i="25"/>
  <c r="A26" i="25"/>
  <c r="A25" i="25"/>
  <c r="A24" i="25"/>
  <c r="A23" i="25"/>
  <c r="A22" i="25"/>
  <c r="C17" i="25"/>
  <c r="C62" i="43" s="1"/>
  <c r="C16" i="25"/>
  <c r="C61" i="43" s="1"/>
  <c r="C15" i="25"/>
  <c r="C60" i="43" s="1"/>
  <c r="C14" i="25"/>
  <c r="C59" i="43" s="1"/>
  <c r="BS11" i="25"/>
  <c r="BR11" i="25"/>
  <c r="BQ11" i="25"/>
  <c r="BP11" i="25"/>
  <c r="BO11" i="25"/>
  <c r="BN11" i="25"/>
  <c r="BK11" i="25"/>
  <c r="BJ11" i="25"/>
  <c r="BI11" i="25"/>
  <c r="BH11" i="25"/>
  <c r="BG11" i="25"/>
  <c r="BF11" i="25"/>
  <c r="BL11" i="25" s="1"/>
  <c r="BD11" i="25"/>
  <c r="BC11" i="25"/>
  <c r="BB11" i="25"/>
  <c r="BA11" i="25"/>
  <c r="AZ11" i="25"/>
  <c r="AY11" i="25"/>
  <c r="AX11" i="25"/>
  <c r="AE11" i="25" s="1"/>
  <c r="AP11" i="25"/>
  <c r="AD11" i="25"/>
  <c r="BR10" i="25"/>
  <c r="BQ10" i="25"/>
  <c r="BP10" i="25"/>
  <c r="BO10" i="25"/>
  <c r="AQ10" i="25" s="1"/>
  <c r="BN10" i="25"/>
  <c r="BJ10" i="25"/>
  <c r="BI10" i="25"/>
  <c r="BH10" i="25"/>
  <c r="BG10" i="25"/>
  <c r="BF10" i="25"/>
  <c r="BC10" i="25"/>
  <c r="BB10" i="25"/>
  <c r="BA10" i="25"/>
  <c r="AZ10" i="25"/>
  <c r="AY10" i="25"/>
  <c r="AE10" i="25" s="1"/>
  <c r="AX10" i="25"/>
  <c r="AD10" i="25"/>
  <c r="AA10" i="25"/>
  <c r="Z10" i="25"/>
  <c r="BS10" i="25" s="1"/>
  <c r="BR9" i="25"/>
  <c r="BQ9" i="25"/>
  <c r="BP9" i="25"/>
  <c r="BO9" i="25"/>
  <c r="BN9" i="25"/>
  <c r="BI9" i="25"/>
  <c r="BH9" i="25"/>
  <c r="BG9" i="25"/>
  <c r="BF9" i="25"/>
  <c r="BA9" i="25"/>
  <c r="AZ9" i="25"/>
  <c r="AY9" i="25"/>
  <c r="AX9" i="25"/>
  <c r="AA9" i="25"/>
  <c r="Z9" i="25"/>
  <c r="BC9" i="25" s="1"/>
  <c r="W9" i="25"/>
  <c r="V9" i="25"/>
  <c r="AD9" i="25" s="1"/>
  <c r="BS8" i="25"/>
  <c r="BQ8" i="25"/>
  <c r="BP8" i="25"/>
  <c r="BO8" i="25"/>
  <c r="BN8" i="25"/>
  <c r="BH8" i="25"/>
  <c r="BG8" i="25"/>
  <c r="BF8" i="25"/>
  <c r="BC8" i="25"/>
  <c r="BA8" i="25"/>
  <c r="AZ8" i="25"/>
  <c r="AY8" i="25"/>
  <c r="AE8" i="25" s="1"/>
  <c r="AX8" i="25"/>
  <c r="AD8" i="25"/>
  <c r="AA8" i="25"/>
  <c r="Z8" i="25"/>
  <c r="BK8" i="25" s="1"/>
  <c r="W8" i="25"/>
  <c r="V8" i="25"/>
  <c r="BB8" i="25" s="1"/>
  <c r="S8" i="25"/>
  <c r="BI8" i="25" s="1"/>
  <c r="R8" i="25"/>
  <c r="BR7" i="25"/>
  <c r="BP7" i="25"/>
  <c r="BO7" i="25"/>
  <c r="BN7" i="25"/>
  <c r="BI7" i="25"/>
  <c r="BG7" i="25"/>
  <c r="BF7" i="25"/>
  <c r="AZ7" i="25"/>
  <c r="AY7" i="25"/>
  <c r="AX7" i="25"/>
  <c r="AA7" i="25"/>
  <c r="Z7" i="25"/>
  <c r="BC7" i="25" s="1"/>
  <c r="W7" i="25"/>
  <c r="V7" i="25"/>
  <c r="BB7" i="25" s="1"/>
  <c r="S7" i="25"/>
  <c r="R7" i="25"/>
  <c r="BQ7" i="25" s="1"/>
  <c r="O7" i="25"/>
  <c r="N7" i="25"/>
  <c r="BH7" i="25" s="1"/>
  <c r="BQ6" i="25"/>
  <c r="BN6" i="25"/>
  <c r="BH6" i="25"/>
  <c r="BF6" i="25"/>
  <c r="BC6" i="25"/>
  <c r="AY6" i="25"/>
  <c r="AX6" i="25"/>
  <c r="AD6" i="25"/>
  <c r="AA6" i="25"/>
  <c r="Z6" i="25"/>
  <c r="BK6" i="25" s="1"/>
  <c r="W6" i="25"/>
  <c r="BB6" i="25" s="1"/>
  <c r="V6" i="25"/>
  <c r="BJ6" i="25" s="1"/>
  <c r="S6" i="25"/>
  <c r="R6" i="25"/>
  <c r="BA6" i="25" s="1"/>
  <c r="O6" i="25"/>
  <c r="N6" i="25"/>
  <c r="BP6" i="25" s="1"/>
  <c r="K6" i="25"/>
  <c r="J6" i="25"/>
  <c r="BG6" i="25" s="1"/>
  <c r="A54" i="24"/>
  <c r="A53" i="24"/>
  <c r="A52" i="24"/>
  <c r="A51" i="24"/>
  <c r="A50" i="24"/>
  <c r="A49" i="24"/>
  <c r="A45" i="24"/>
  <c r="A44" i="24"/>
  <c r="A43" i="24"/>
  <c r="A42" i="24"/>
  <c r="A41" i="24"/>
  <c r="A40" i="24"/>
  <c r="A36" i="24"/>
  <c r="A35" i="24"/>
  <c r="A34" i="24"/>
  <c r="A33" i="24"/>
  <c r="A32" i="24"/>
  <c r="A31" i="24"/>
  <c r="A27" i="24"/>
  <c r="A26" i="24"/>
  <c r="A25" i="24"/>
  <c r="A24" i="24"/>
  <c r="A23" i="24"/>
  <c r="A22" i="24"/>
  <c r="C17" i="24"/>
  <c r="C58" i="43" s="1"/>
  <c r="C16" i="24"/>
  <c r="C57" i="43" s="1"/>
  <c r="C15" i="24"/>
  <c r="C56" i="43" s="1"/>
  <c r="C14" i="24"/>
  <c r="C55" i="43" s="1"/>
  <c r="BS11" i="24"/>
  <c r="BR11" i="24"/>
  <c r="BQ11" i="24"/>
  <c r="BP11" i="24"/>
  <c r="BO11" i="24"/>
  <c r="AQ11" i="24" s="1"/>
  <c r="BN11" i="24"/>
  <c r="BT11" i="24" s="1"/>
  <c r="BK11" i="24"/>
  <c r="BJ11" i="24"/>
  <c r="BI11" i="24"/>
  <c r="BH11" i="24"/>
  <c r="BG11" i="24"/>
  <c r="BF11" i="24"/>
  <c r="BL11" i="24" s="1"/>
  <c r="BC11" i="24"/>
  <c r="BB11" i="24"/>
  <c r="BA11" i="24"/>
  <c r="AE11" i="24" s="1"/>
  <c r="AZ11" i="24"/>
  <c r="BD11" i="24" s="1"/>
  <c r="AY11" i="24"/>
  <c r="AX11" i="24"/>
  <c r="AP11" i="24"/>
  <c r="AD11" i="24"/>
  <c r="BR10" i="24"/>
  <c r="BQ10" i="24"/>
  <c r="BP10" i="24"/>
  <c r="BO10" i="24"/>
  <c r="BN10" i="24"/>
  <c r="BJ10" i="24"/>
  <c r="BI10" i="24"/>
  <c r="BH10" i="24"/>
  <c r="BG10" i="24"/>
  <c r="BF10" i="24"/>
  <c r="BB10" i="24"/>
  <c r="BA10" i="24"/>
  <c r="AZ10" i="24"/>
  <c r="AY10" i="24"/>
  <c r="AX10" i="24"/>
  <c r="AA10" i="24"/>
  <c r="AD10" i="24" s="1"/>
  <c r="Z10" i="24"/>
  <c r="BC10" i="24" s="1"/>
  <c r="AE10" i="24" s="1"/>
  <c r="BQ9" i="24"/>
  <c r="BP9" i="24"/>
  <c r="BO9" i="24"/>
  <c r="BN9" i="24"/>
  <c r="BI9" i="24"/>
  <c r="BH9" i="24"/>
  <c r="BG9" i="24"/>
  <c r="BF9" i="24"/>
  <c r="BA9" i="24"/>
  <c r="AZ9" i="24"/>
  <c r="AY9" i="24"/>
  <c r="AX9" i="24"/>
  <c r="AA9" i="24"/>
  <c r="Z9" i="24"/>
  <c r="BC9" i="24" s="1"/>
  <c r="W9" i="24"/>
  <c r="V9" i="24"/>
  <c r="BB9" i="24" s="1"/>
  <c r="BR8" i="24"/>
  <c r="BP8" i="24"/>
  <c r="BO8" i="24"/>
  <c r="BN8" i="24"/>
  <c r="BI8" i="24"/>
  <c r="BH8" i="24"/>
  <c r="BG8" i="24"/>
  <c r="BF8" i="24"/>
  <c r="AZ8" i="24"/>
  <c r="AY8" i="24"/>
  <c r="AX8" i="24"/>
  <c r="AD8" i="24"/>
  <c r="AA8" i="24"/>
  <c r="Z8" i="24"/>
  <c r="BC8" i="24" s="1"/>
  <c r="W8" i="24"/>
  <c r="BB8" i="24" s="1"/>
  <c r="V8" i="24"/>
  <c r="BJ8" i="24" s="1"/>
  <c r="S8" i="24"/>
  <c r="R8" i="24"/>
  <c r="BQ8" i="24" s="1"/>
  <c r="BO7" i="24"/>
  <c r="BN7" i="24"/>
  <c r="BG7" i="24"/>
  <c r="BF7" i="24"/>
  <c r="AY7" i="24"/>
  <c r="AX7" i="24"/>
  <c r="AA7" i="24"/>
  <c r="Z7" i="24"/>
  <c r="BC7" i="24" s="1"/>
  <c r="W7" i="24"/>
  <c r="V7" i="24"/>
  <c r="BB7" i="24" s="1"/>
  <c r="S7" i="24"/>
  <c r="R7" i="24"/>
  <c r="BA7" i="24" s="1"/>
  <c r="O7" i="24"/>
  <c r="N7" i="24"/>
  <c r="AZ7" i="24" s="1"/>
  <c r="BD7" i="24" s="1"/>
  <c r="BR6" i="24"/>
  <c r="BN6" i="24"/>
  <c r="BI6" i="24"/>
  <c r="BF6" i="24"/>
  <c r="BC6" i="24"/>
  <c r="AZ6" i="24"/>
  <c r="AX6" i="24"/>
  <c r="AA6" i="24"/>
  <c r="Z6" i="24"/>
  <c r="BK6" i="24" s="1"/>
  <c r="W6" i="24"/>
  <c r="V6" i="24"/>
  <c r="BB6" i="24" s="1"/>
  <c r="S6" i="24"/>
  <c r="R6" i="24"/>
  <c r="BA6" i="24" s="1"/>
  <c r="O6" i="24"/>
  <c r="N6" i="24"/>
  <c r="BH6" i="24" s="1"/>
  <c r="K6" i="24"/>
  <c r="J6" i="24"/>
  <c r="AY6" i="24" s="1"/>
  <c r="A54" i="23"/>
  <c r="A53" i="23"/>
  <c r="A52" i="23"/>
  <c r="A51" i="23"/>
  <c r="A50" i="23"/>
  <c r="A49" i="23"/>
  <c r="A45" i="23"/>
  <c r="A44" i="23"/>
  <c r="A43" i="23"/>
  <c r="A42" i="23"/>
  <c r="A41" i="23"/>
  <c r="A40" i="23"/>
  <c r="A36" i="23"/>
  <c r="A35" i="23"/>
  <c r="A34" i="23"/>
  <c r="A33" i="23"/>
  <c r="A32" i="23"/>
  <c r="A31" i="23"/>
  <c r="A27" i="23"/>
  <c r="A26" i="23"/>
  <c r="A25" i="23"/>
  <c r="A24" i="23"/>
  <c r="A23" i="23"/>
  <c r="A22" i="23"/>
  <c r="C17" i="23"/>
  <c r="C54" i="43" s="1"/>
  <c r="C16" i="23"/>
  <c r="C53" i="43" s="1"/>
  <c r="C15" i="23"/>
  <c r="C52" i="43" s="1"/>
  <c r="C14" i="23"/>
  <c r="C51" i="43" s="1"/>
  <c r="BT11" i="23"/>
  <c r="BS11" i="23"/>
  <c r="BR11" i="23"/>
  <c r="BQ11" i="23"/>
  <c r="BP11" i="23"/>
  <c r="BO11" i="23"/>
  <c r="BN11" i="23"/>
  <c r="BK11" i="23"/>
  <c r="BJ11" i="23"/>
  <c r="BI11" i="23"/>
  <c r="BH11" i="23"/>
  <c r="BG11" i="23"/>
  <c r="BF11" i="23"/>
  <c r="BC11" i="23"/>
  <c r="BB11" i="23"/>
  <c r="BA11" i="23"/>
  <c r="AZ11" i="23"/>
  <c r="AY11" i="23"/>
  <c r="AX11" i="23"/>
  <c r="AQ11" i="23"/>
  <c r="AD11" i="23"/>
  <c r="BS10" i="23"/>
  <c r="BR10" i="23"/>
  <c r="BQ10" i="23"/>
  <c r="BP10" i="23"/>
  <c r="BO10" i="23"/>
  <c r="BN10" i="23"/>
  <c r="BJ10" i="23"/>
  <c r="BI10" i="23"/>
  <c r="BH10" i="23"/>
  <c r="BG10" i="23"/>
  <c r="BF10" i="23"/>
  <c r="BB10" i="23"/>
  <c r="BA10" i="23"/>
  <c r="AZ10" i="23"/>
  <c r="AY10" i="23"/>
  <c r="AX10" i="23"/>
  <c r="AA10" i="23"/>
  <c r="Z10" i="23"/>
  <c r="BS9" i="23"/>
  <c r="BQ9" i="23"/>
  <c r="BP9" i="23"/>
  <c r="BO9" i="23"/>
  <c r="BN9" i="23"/>
  <c r="BI9" i="23"/>
  <c r="BH9" i="23"/>
  <c r="BG9" i="23"/>
  <c r="BF9" i="23"/>
  <c r="BA9" i="23"/>
  <c r="AZ9" i="23"/>
  <c r="AY9" i="23"/>
  <c r="AX9" i="23"/>
  <c r="AA9" i="23"/>
  <c r="BK9" i="23" s="1"/>
  <c r="Z9" i="23"/>
  <c r="W9" i="23"/>
  <c r="V9" i="23"/>
  <c r="BR8" i="23"/>
  <c r="BP8" i="23"/>
  <c r="BO8" i="23"/>
  <c r="BN8" i="23"/>
  <c r="BH8" i="23"/>
  <c r="BG8" i="23"/>
  <c r="BF8" i="23"/>
  <c r="BA8" i="23"/>
  <c r="AZ8" i="23"/>
  <c r="AY8" i="23"/>
  <c r="AX8" i="23"/>
  <c r="AA8" i="23"/>
  <c r="Z8" i="23"/>
  <c r="W8" i="23"/>
  <c r="V8" i="23"/>
  <c r="BB8" i="23" s="1"/>
  <c r="S8" i="23"/>
  <c r="R8" i="23"/>
  <c r="BQ7" i="23"/>
  <c r="BO7" i="23"/>
  <c r="BN7" i="23"/>
  <c r="BG7" i="23"/>
  <c r="BF7" i="23"/>
  <c r="AY7" i="23"/>
  <c r="AX7" i="23"/>
  <c r="AA7" i="23"/>
  <c r="Z7" i="23"/>
  <c r="BC7" i="23" s="1"/>
  <c r="W7" i="23"/>
  <c r="BB7" i="23" s="1"/>
  <c r="V7" i="23"/>
  <c r="BR7" i="23" s="1"/>
  <c r="S7" i="23"/>
  <c r="R7" i="23"/>
  <c r="BI7" i="23" s="1"/>
  <c r="O7" i="23"/>
  <c r="BH7" i="23" s="1"/>
  <c r="N7" i="23"/>
  <c r="BS6" i="23"/>
  <c r="BQ6" i="23"/>
  <c r="BN6" i="23"/>
  <c r="BH6" i="23"/>
  <c r="BF6" i="23"/>
  <c r="BA6" i="23"/>
  <c r="AY6" i="23"/>
  <c r="AX6" i="23"/>
  <c r="AD6" i="23"/>
  <c r="AA6" i="23"/>
  <c r="Z6" i="23"/>
  <c r="BC6" i="23" s="1"/>
  <c r="W6" i="23"/>
  <c r="V6" i="23"/>
  <c r="BB6" i="23" s="1"/>
  <c r="S6" i="23"/>
  <c r="R6" i="23"/>
  <c r="BI6" i="23" s="1"/>
  <c r="O6" i="23"/>
  <c r="N6" i="23"/>
  <c r="BP6" i="23" s="1"/>
  <c r="K6" i="23"/>
  <c r="J6" i="23"/>
  <c r="BG6" i="23" s="1"/>
  <c r="A54" i="22"/>
  <c r="A53" i="22"/>
  <c r="A52" i="22"/>
  <c r="A51" i="22"/>
  <c r="A50" i="22"/>
  <c r="A49" i="22"/>
  <c r="A45" i="22"/>
  <c r="A44" i="22"/>
  <c r="A43" i="22"/>
  <c r="A42" i="22"/>
  <c r="A41" i="22"/>
  <c r="A40" i="22"/>
  <c r="A36" i="22"/>
  <c r="A35" i="22"/>
  <c r="A34" i="22"/>
  <c r="A33" i="22"/>
  <c r="A32" i="22"/>
  <c r="A31" i="22"/>
  <c r="A27" i="22"/>
  <c r="A26" i="22"/>
  <c r="A25" i="22"/>
  <c r="A24" i="22"/>
  <c r="A23" i="22"/>
  <c r="A22" i="22"/>
  <c r="C17" i="22"/>
  <c r="C50" i="43" s="1"/>
  <c r="C16" i="22"/>
  <c r="C49" i="43" s="1"/>
  <c r="C15" i="22"/>
  <c r="C48" i="43" s="1"/>
  <c r="C14" i="22"/>
  <c r="C47" i="43" s="1"/>
  <c r="BS11" i="22"/>
  <c r="BR11" i="22"/>
  <c r="BQ11" i="22"/>
  <c r="BP11" i="22"/>
  <c r="BO11" i="22"/>
  <c r="AQ11" i="22" s="1"/>
  <c r="BN11" i="22"/>
  <c r="BT11" i="22" s="1"/>
  <c r="BK11" i="22"/>
  <c r="BJ11" i="22"/>
  <c r="BI11" i="22"/>
  <c r="BH11" i="22"/>
  <c r="BG11" i="22"/>
  <c r="BF11" i="22"/>
  <c r="BC11" i="22"/>
  <c r="BB11" i="22"/>
  <c r="BA11" i="22"/>
  <c r="AZ11" i="22"/>
  <c r="AY11" i="22"/>
  <c r="AE11" i="22" s="1"/>
  <c r="AX11" i="22"/>
  <c r="BD11" i="22" s="1"/>
  <c r="AD11" i="22"/>
  <c r="BR10" i="22"/>
  <c r="BQ10" i="22"/>
  <c r="BP10" i="22"/>
  <c r="BO10" i="22"/>
  <c r="BN10" i="22"/>
  <c r="BJ10" i="22"/>
  <c r="BI10" i="22"/>
  <c r="BH10" i="22"/>
  <c r="BG10" i="22"/>
  <c r="BF10" i="22"/>
  <c r="BL10" i="22" s="1"/>
  <c r="BB10" i="22"/>
  <c r="BA10" i="22"/>
  <c r="AZ10" i="22"/>
  <c r="AY10" i="22"/>
  <c r="AX10" i="22"/>
  <c r="AA10" i="22"/>
  <c r="BK10" i="22" s="1"/>
  <c r="Z10" i="22"/>
  <c r="BC10" i="22" s="1"/>
  <c r="BD10" i="22" s="1"/>
  <c r="BQ9" i="22"/>
  <c r="BP9" i="22"/>
  <c r="BO9" i="22"/>
  <c r="BN9" i="22"/>
  <c r="BI9" i="22"/>
  <c r="BH9" i="22"/>
  <c r="BG9" i="22"/>
  <c r="BF9" i="22"/>
  <c r="BA9" i="22"/>
  <c r="AZ9" i="22"/>
  <c r="AY9" i="22"/>
  <c r="AX9" i="22"/>
  <c r="AA9" i="22"/>
  <c r="Z9" i="22"/>
  <c r="W9" i="22"/>
  <c r="V9" i="22"/>
  <c r="BB9" i="22" s="1"/>
  <c r="BR8" i="22"/>
  <c r="BP8" i="22"/>
  <c r="BO8" i="22"/>
  <c r="BN8" i="22"/>
  <c r="BK8" i="22"/>
  <c r="BI8" i="22"/>
  <c r="BH8" i="22"/>
  <c r="BG8" i="22"/>
  <c r="BF8" i="22"/>
  <c r="BL8" i="22" s="1"/>
  <c r="AZ8" i="22"/>
  <c r="AY8" i="22"/>
  <c r="AX8" i="22"/>
  <c r="AA8" i="22"/>
  <c r="Z8" i="22"/>
  <c r="BC8" i="22" s="1"/>
  <c r="W8" i="22"/>
  <c r="BB8" i="22" s="1"/>
  <c r="V8" i="22"/>
  <c r="BJ8" i="22" s="1"/>
  <c r="S8" i="22"/>
  <c r="R8" i="22"/>
  <c r="BQ8" i="22" s="1"/>
  <c r="BP7" i="22"/>
  <c r="BO7" i="22"/>
  <c r="BN7" i="22"/>
  <c r="BH7" i="22"/>
  <c r="BG7" i="22"/>
  <c r="BF7" i="22"/>
  <c r="AY7" i="22"/>
  <c r="AX7" i="22"/>
  <c r="AA7" i="22"/>
  <c r="Z7" i="22"/>
  <c r="W7" i="22"/>
  <c r="BB7" i="22" s="1"/>
  <c r="V7" i="22"/>
  <c r="BJ7" i="22" s="1"/>
  <c r="S7" i="22"/>
  <c r="R7" i="22"/>
  <c r="O7" i="22"/>
  <c r="N7" i="22"/>
  <c r="AZ7" i="22" s="1"/>
  <c r="BP6" i="22"/>
  <c r="BN6" i="22"/>
  <c r="BF6" i="22"/>
  <c r="AX6" i="22"/>
  <c r="AA6" i="22"/>
  <c r="Z6" i="22"/>
  <c r="BC6" i="22" s="1"/>
  <c r="W6" i="22"/>
  <c r="V6" i="22"/>
  <c r="BB6" i="22" s="1"/>
  <c r="S6" i="22"/>
  <c r="R6" i="22"/>
  <c r="BA6" i="22" s="1"/>
  <c r="BD6" i="22" s="1"/>
  <c r="O6" i="22"/>
  <c r="N6" i="22"/>
  <c r="AZ6" i="22" s="1"/>
  <c r="K6" i="22"/>
  <c r="BG6" i="22" s="1"/>
  <c r="J6" i="22"/>
  <c r="AY6" i="22" s="1"/>
  <c r="A54" i="21"/>
  <c r="A53" i="21"/>
  <c r="A52" i="21"/>
  <c r="A51" i="21"/>
  <c r="A50" i="21"/>
  <c r="A49" i="21"/>
  <c r="A45" i="21"/>
  <c r="A44" i="21"/>
  <c r="A43" i="21"/>
  <c r="A42" i="21"/>
  <c r="A41" i="21"/>
  <c r="A40" i="21"/>
  <c r="A36" i="21"/>
  <c r="A35" i="21"/>
  <c r="A34" i="21"/>
  <c r="A33" i="21"/>
  <c r="A32" i="21"/>
  <c r="A31" i="21"/>
  <c r="A27" i="21"/>
  <c r="A26" i="21"/>
  <c r="A25" i="21"/>
  <c r="A24" i="21"/>
  <c r="A23" i="21"/>
  <c r="A22" i="21"/>
  <c r="C17" i="21"/>
  <c r="C46" i="43" s="1"/>
  <c r="C16" i="21"/>
  <c r="C45" i="43" s="1"/>
  <c r="C15" i="21"/>
  <c r="C44" i="43" s="1"/>
  <c r="C14" i="21"/>
  <c r="C43" i="43" s="1"/>
  <c r="BS11" i="21"/>
  <c r="BR11" i="21"/>
  <c r="BQ11" i="21"/>
  <c r="BP11" i="21"/>
  <c r="BO11" i="21"/>
  <c r="BN11" i="21"/>
  <c r="BT11" i="21" s="1"/>
  <c r="BK11" i="21"/>
  <c r="BJ11" i="21"/>
  <c r="BI11" i="21"/>
  <c r="BH11" i="21"/>
  <c r="BG11" i="21"/>
  <c r="BF11" i="21"/>
  <c r="BD11" i="21"/>
  <c r="BC11" i="21"/>
  <c r="BB11" i="21"/>
  <c r="AE11" i="21" s="1"/>
  <c r="AE45" i="21" s="1"/>
  <c r="AD45" i="21" s="1"/>
  <c r="BA11" i="21"/>
  <c r="AZ11" i="21"/>
  <c r="AY11" i="21"/>
  <c r="AX11" i="21"/>
  <c r="AQ11" i="21"/>
  <c r="AD11" i="21"/>
  <c r="BS10" i="21"/>
  <c r="BR10" i="21"/>
  <c r="BQ10" i="21"/>
  <c r="BP10" i="21"/>
  <c r="BO10" i="21"/>
  <c r="BN10" i="21"/>
  <c r="BJ10" i="21"/>
  <c r="AP10" i="21" s="1"/>
  <c r="BI10" i="21"/>
  <c r="BH10" i="21"/>
  <c r="BG10" i="21"/>
  <c r="BF10" i="21"/>
  <c r="BC10" i="21"/>
  <c r="BB10" i="21"/>
  <c r="BA10" i="21"/>
  <c r="AZ10" i="21"/>
  <c r="AY10" i="21"/>
  <c r="AX10" i="21"/>
  <c r="AE10" i="21" s="1"/>
  <c r="AA10" i="21"/>
  <c r="AD10" i="21" s="1"/>
  <c r="Z10" i="21"/>
  <c r="BK10" i="21" s="1"/>
  <c r="BQ9" i="21"/>
  <c r="BP9" i="21"/>
  <c r="BO9" i="21"/>
  <c r="BN9" i="21"/>
  <c r="BK9" i="21"/>
  <c r="BI9" i="21"/>
  <c r="BH9" i="21"/>
  <c r="BG9" i="21"/>
  <c r="BF9" i="21"/>
  <c r="BD9" i="21"/>
  <c r="BC9" i="21"/>
  <c r="BB9" i="21"/>
  <c r="AE9" i="21" s="1"/>
  <c r="AE25" i="21" s="1"/>
  <c r="AD25" i="21" s="1"/>
  <c r="BA9" i="21"/>
  <c r="AZ9" i="21"/>
  <c r="AY9" i="21"/>
  <c r="AX9" i="21"/>
  <c r="AA9" i="21"/>
  <c r="Z9" i="21"/>
  <c r="BS9" i="21" s="1"/>
  <c r="W9" i="21"/>
  <c r="AD9" i="21" s="1"/>
  <c r="V9" i="21"/>
  <c r="BP8" i="21"/>
  <c r="BO8" i="21"/>
  <c r="BN8" i="21"/>
  <c r="BH8" i="21"/>
  <c r="BG8" i="21"/>
  <c r="BF8" i="21"/>
  <c r="AZ8" i="21"/>
  <c r="AY8" i="21"/>
  <c r="AX8" i="21"/>
  <c r="AA8" i="21"/>
  <c r="Z8" i="21"/>
  <c r="W8" i="21"/>
  <c r="BB8" i="21" s="1"/>
  <c r="V8" i="21"/>
  <c r="BJ8" i="21" s="1"/>
  <c r="S8" i="21"/>
  <c r="R8" i="21"/>
  <c r="BQ7" i="21"/>
  <c r="BO7" i="21"/>
  <c r="BN7" i="21"/>
  <c r="BK7" i="21"/>
  <c r="BG7" i="21"/>
  <c r="BF7" i="21"/>
  <c r="BC7" i="21"/>
  <c r="BB7" i="21"/>
  <c r="AY7" i="21"/>
  <c r="AX7" i="21"/>
  <c r="AA7" i="21"/>
  <c r="Z7" i="21"/>
  <c r="BS7" i="21" s="1"/>
  <c r="W7" i="21"/>
  <c r="V7" i="21"/>
  <c r="BJ7" i="21" s="1"/>
  <c r="S7" i="21"/>
  <c r="R7" i="21"/>
  <c r="BA7" i="21" s="1"/>
  <c r="O7" i="21"/>
  <c r="N7" i="21"/>
  <c r="BS6" i="21"/>
  <c r="BN6" i="21"/>
  <c r="BJ6" i="21"/>
  <c r="BF6" i="21"/>
  <c r="BC6" i="21"/>
  <c r="BA6" i="21"/>
  <c r="AX6" i="21"/>
  <c r="AA6" i="21"/>
  <c r="BK6" i="21" s="1"/>
  <c r="Z6" i="21"/>
  <c r="W6" i="21"/>
  <c r="V6" i="21"/>
  <c r="S6" i="21"/>
  <c r="R6" i="21"/>
  <c r="BI6" i="21" s="1"/>
  <c r="O6" i="21"/>
  <c r="N6" i="21"/>
  <c r="K6" i="21"/>
  <c r="J6" i="21"/>
  <c r="AY6" i="21" s="1"/>
  <c r="A54" i="20"/>
  <c r="A53" i="20"/>
  <c r="A52" i="20"/>
  <c r="A51" i="20"/>
  <c r="A50" i="20"/>
  <c r="A49" i="20"/>
  <c r="A45" i="20"/>
  <c r="A44" i="20"/>
  <c r="A43" i="20"/>
  <c r="A42" i="20"/>
  <c r="A41" i="20"/>
  <c r="A40" i="20"/>
  <c r="A36" i="20"/>
  <c r="A35" i="20"/>
  <c r="A34" i="20"/>
  <c r="A33" i="20"/>
  <c r="A32" i="20"/>
  <c r="A31" i="20"/>
  <c r="A27" i="20"/>
  <c r="A26" i="20"/>
  <c r="A25" i="20"/>
  <c r="A24" i="20"/>
  <c r="A23" i="20"/>
  <c r="A22" i="20"/>
  <c r="C17" i="20"/>
  <c r="C42" i="43" s="1"/>
  <c r="C16" i="20"/>
  <c r="C41" i="43" s="1"/>
  <c r="C15" i="20"/>
  <c r="C40" i="43" s="1"/>
  <c r="C14" i="20"/>
  <c r="C39" i="43" s="1"/>
  <c r="BT11" i="20"/>
  <c r="BS11" i="20"/>
  <c r="BR11" i="20"/>
  <c r="BQ11" i="20"/>
  <c r="BP11" i="20"/>
  <c r="BO11" i="20"/>
  <c r="BN11" i="20"/>
  <c r="BK11" i="20"/>
  <c r="BJ11" i="20"/>
  <c r="BI11" i="20"/>
  <c r="BH11" i="20"/>
  <c r="BG11" i="20"/>
  <c r="AP11" i="20" s="1"/>
  <c r="BF11" i="20"/>
  <c r="BC11" i="20"/>
  <c r="BB11" i="20"/>
  <c r="AE11" i="20" s="1"/>
  <c r="BA11" i="20"/>
  <c r="AZ11" i="20"/>
  <c r="AY11" i="20"/>
  <c r="AX11" i="20"/>
  <c r="BD11" i="20" s="1"/>
  <c r="AQ11" i="20"/>
  <c r="AD11" i="20"/>
  <c r="BS10" i="20"/>
  <c r="BR10" i="20"/>
  <c r="BQ10" i="20"/>
  <c r="BP10" i="20"/>
  <c r="BO10" i="20"/>
  <c r="BN10" i="20"/>
  <c r="BJ10" i="20"/>
  <c r="BI10" i="20"/>
  <c r="BH10" i="20"/>
  <c r="BG10" i="20"/>
  <c r="BF10" i="20"/>
  <c r="BB10" i="20"/>
  <c r="BA10" i="20"/>
  <c r="AZ10" i="20"/>
  <c r="AY10" i="20"/>
  <c r="AE10" i="20" s="1"/>
  <c r="AX10" i="20"/>
  <c r="AD10" i="20"/>
  <c r="AA10" i="20"/>
  <c r="Z10" i="20"/>
  <c r="BC10" i="20" s="1"/>
  <c r="BR9" i="20"/>
  <c r="BQ9" i="20"/>
  <c r="BP9" i="20"/>
  <c r="BO9" i="20"/>
  <c r="BN9" i="20"/>
  <c r="BK9" i="20"/>
  <c r="BI9" i="20"/>
  <c r="BH9" i="20"/>
  <c r="BG9" i="20"/>
  <c r="BF9" i="20"/>
  <c r="BA9" i="20"/>
  <c r="AZ9" i="20"/>
  <c r="AY9" i="20"/>
  <c r="AX9" i="20"/>
  <c r="AA9" i="20"/>
  <c r="Z9" i="20"/>
  <c r="BS9" i="20" s="1"/>
  <c r="BT9" i="20" s="1"/>
  <c r="W9" i="20"/>
  <c r="BB9" i="20" s="1"/>
  <c r="V9" i="20"/>
  <c r="BP8" i="20"/>
  <c r="BO8" i="20"/>
  <c r="BN8" i="20"/>
  <c r="BH8" i="20"/>
  <c r="BG8" i="20"/>
  <c r="BF8" i="20"/>
  <c r="AZ8" i="20"/>
  <c r="AY8" i="20"/>
  <c r="AX8" i="20"/>
  <c r="AA8" i="20"/>
  <c r="Z8" i="20"/>
  <c r="W8" i="20"/>
  <c r="V8" i="20"/>
  <c r="BB8" i="20" s="1"/>
  <c r="S8" i="20"/>
  <c r="R8" i="20"/>
  <c r="BR7" i="20"/>
  <c r="BP7" i="20"/>
  <c r="BO7" i="20"/>
  <c r="BN7" i="20"/>
  <c r="BK7" i="20"/>
  <c r="BI7" i="20"/>
  <c r="BG7" i="20"/>
  <c r="BF7" i="20"/>
  <c r="BB7" i="20"/>
  <c r="AY7" i="20"/>
  <c r="AX7" i="20"/>
  <c r="AA7" i="20"/>
  <c r="Z7" i="20"/>
  <c r="BS7" i="20" s="1"/>
  <c r="W7" i="20"/>
  <c r="V7" i="20"/>
  <c r="BJ7" i="20" s="1"/>
  <c r="S7" i="20"/>
  <c r="R7" i="20"/>
  <c r="BA7" i="20" s="1"/>
  <c r="O7" i="20"/>
  <c r="N7" i="20"/>
  <c r="BH7" i="20" s="1"/>
  <c r="BS6" i="20"/>
  <c r="BQ6" i="20"/>
  <c r="BN6" i="20"/>
  <c r="BJ6" i="20"/>
  <c r="BF6" i="20"/>
  <c r="BA6" i="20"/>
  <c r="AY6" i="20"/>
  <c r="AX6" i="20"/>
  <c r="AA6" i="20"/>
  <c r="Z6" i="20"/>
  <c r="BC6" i="20" s="1"/>
  <c r="W6" i="20"/>
  <c r="V6" i="20"/>
  <c r="S6" i="20"/>
  <c r="R6" i="20"/>
  <c r="BI6" i="20" s="1"/>
  <c r="O6" i="20"/>
  <c r="N6" i="20"/>
  <c r="K6" i="20"/>
  <c r="J6" i="20"/>
  <c r="BG6" i="20" s="1"/>
  <c r="A54" i="19"/>
  <c r="A53" i="19"/>
  <c r="A52" i="19"/>
  <c r="A51" i="19"/>
  <c r="A50" i="19"/>
  <c r="A49" i="19"/>
  <c r="A45" i="19"/>
  <c r="A44" i="19"/>
  <c r="A43" i="19"/>
  <c r="A42" i="19"/>
  <c r="A41" i="19"/>
  <c r="A40" i="19"/>
  <c r="A36" i="19"/>
  <c r="A35" i="19"/>
  <c r="A34" i="19"/>
  <c r="A33" i="19"/>
  <c r="A32" i="19"/>
  <c r="A31" i="19"/>
  <c r="A27" i="19"/>
  <c r="A26" i="19"/>
  <c r="A25" i="19"/>
  <c r="A24" i="19"/>
  <c r="A23" i="19"/>
  <c r="A22" i="19"/>
  <c r="C17" i="19"/>
  <c r="C38" i="43" s="1"/>
  <c r="C16" i="19"/>
  <c r="C37" i="43" s="1"/>
  <c r="C15" i="19"/>
  <c r="C36" i="43" s="1"/>
  <c r="C14" i="19"/>
  <c r="C35" i="43" s="1"/>
  <c r="BS11" i="19"/>
  <c r="BR11" i="19"/>
  <c r="BQ11" i="19"/>
  <c r="BP11" i="19"/>
  <c r="BO11" i="19"/>
  <c r="BN11" i="19"/>
  <c r="BK11" i="19"/>
  <c r="BJ11" i="19"/>
  <c r="BI11" i="19"/>
  <c r="BH11" i="19"/>
  <c r="BG11" i="19"/>
  <c r="BF11" i="19"/>
  <c r="BC11" i="19"/>
  <c r="BB11" i="19"/>
  <c r="BA11" i="19"/>
  <c r="AZ11" i="19"/>
  <c r="AY11" i="19"/>
  <c r="AE11" i="19" s="1"/>
  <c r="AX11" i="19"/>
  <c r="BD11" i="19" s="1"/>
  <c r="AD11" i="19"/>
  <c r="BR10" i="19"/>
  <c r="BQ10" i="19"/>
  <c r="BP10" i="19"/>
  <c r="BO10" i="19"/>
  <c r="BN10" i="19"/>
  <c r="BJ10" i="19"/>
  <c r="BI10" i="19"/>
  <c r="BH10" i="19"/>
  <c r="BG10" i="19"/>
  <c r="BF10" i="19"/>
  <c r="BB10" i="19"/>
  <c r="BA10" i="19"/>
  <c r="AZ10" i="19"/>
  <c r="AY10" i="19"/>
  <c r="AX10" i="19"/>
  <c r="AA10" i="19"/>
  <c r="BK10" i="19" s="1"/>
  <c r="Z10" i="19"/>
  <c r="BQ9" i="19"/>
  <c r="BP9" i="19"/>
  <c r="BO9" i="19"/>
  <c r="BN9" i="19"/>
  <c r="BI9" i="19"/>
  <c r="BH9" i="19"/>
  <c r="BG9" i="19"/>
  <c r="BF9" i="19"/>
  <c r="BA9" i="19"/>
  <c r="AZ9" i="19"/>
  <c r="AY9" i="19"/>
  <c r="AX9" i="19"/>
  <c r="AA9" i="19"/>
  <c r="Z9" i="19"/>
  <c r="W9" i="19"/>
  <c r="V9" i="19"/>
  <c r="BB9" i="19" s="1"/>
  <c r="BR8" i="19"/>
  <c r="BP8" i="19"/>
  <c r="BO8" i="19"/>
  <c r="BN8" i="19"/>
  <c r="BK8" i="19"/>
  <c r="BI8" i="19"/>
  <c r="BH8" i="19"/>
  <c r="BG8" i="19"/>
  <c r="BF8" i="19"/>
  <c r="AZ8" i="19"/>
  <c r="AY8" i="19"/>
  <c r="AX8" i="19"/>
  <c r="AA8" i="19"/>
  <c r="Z8" i="19"/>
  <c r="BS8" i="19" s="1"/>
  <c r="W8" i="19"/>
  <c r="BB8" i="19" s="1"/>
  <c r="V8" i="19"/>
  <c r="BJ8" i="19" s="1"/>
  <c r="S8" i="19"/>
  <c r="R8" i="19"/>
  <c r="BA8" i="19" s="1"/>
  <c r="BQ7" i="19"/>
  <c r="BO7" i="19"/>
  <c r="BN7" i="19"/>
  <c r="BH7" i="19"/>
  <c r="BG7" i="19"/>
  <c r="BF7" i="19"/>
  <c r="AY7" i="19"/>
  <c r="AX7" i="19"/>
  <c r="AD7" i="19"/>
  <c r="AA7" i="19"/>
  <c r="Z7" i="19"/>
  <c r="W7" i="19"/>
  <c r="V7" i="19"/>
  <c r="BB7" i="19" s="1"/>
  <c r="S7" i="19"/>
  <c r="R7" i="19"/>
  <c r="O7" i="19"/>
  <c r="N7" i="19"/>
  <c r="BP7" i="19" s="1"/>
  <c r="BR6" i="19"/>
  <c r="BP6" i="19"/>
  <c r="BN6" i="19"/>
  <c r="BF6" i="19"/>
  <c r="AX6" i="19"/>
  <c r="AA6" i="19"/>
  <c r="BK6" i="19" s="1"/>
  <c r="Z6" i="19"/>
  <c r="W6" i="19"/>
  <c r="BB6" i="19" s="1"/>
  <c r="V6" i="19"/>
  <c r="BJ6" i="19" s="1"/>
  <c r="S6" i="19"/>
  <c r="BI6" i="19" s="1"/>
  <c r="R6" i="19"/>
  <c r="O6" i="19"/>
  <c r="AZ6" i="19" s="1"/>
  <c r="N6" i="19"/>
  <c r="BH6" i="19" s="1"/>
  <c r="K6" i="19"/>
  <c r="BG6" i="19" s="1"/>
  <c r="AP6" i="19" s="1"/>
  <c r="J6" i="19"/>
  <c r="BO6" i="19" s="1"/>
  <c r="A54" i="18"/>
  <c r="A53" i="18"/>
  <c r="A52" i="18"/>
  <c r="A51" i="18"/>
  <c r="A50" i="18"/>
  <c r="A49" i="18"/>
  <c r="A45" i="18"/>
  <c r="A44" i="18"/>
  <c r="A43" i="18"/>
  <c r="A42" i="18"/>
  <c r="A41" i="18"/>
  <c r="A40" i="18"/>
  <c r="A36" i="18"/>
  <c r="A35" i="18"/>
  <c r="A34" i="18"/>
  <c r="A33" i="18"/>
  <c r="A32" i="18"/>
  <c r="A31" i="18"/>
  <c r="A27" i="18"/>
  <c r="A26" i="18"/>
  <c r="A25" i="18"/>
  <c r="A24" i="18"/>
  <c r="A23" i="18"/>
  <c r="A22" i="18"/>
  <c r="C17" i="18"/>
  <c r="C34" i="43" s="1"/>
  <c r="C16" i="18"/>
  <c r="C33" i="43" s="1"/>
  <c r="C15" i="18"/>
  <c r="C32" i="43" s="1"/>
  <c r="C14" i="18"/>
  <c r="C31" i="43" s="1"/>
  <c r="BS11" i="18"/>
  <c r="BR11" i="18"/>
  <c r="BQ11" i="18"/>
  <c r="BP11" i="18"/>
  <c r="AQ11" i="18" s="1"/>
  <c r="BO11" i="18"/>
  <c r="BN11" i="18"/>
  <c r="BT11" i="18" s="1"/>
  <c r="BK11" i="18"/>
  <c r="BJ11" i="18"/>
  <c r="BI11" i="18"/>
  <c r="BH11" i="18"/>
  <c r="BG11" i="18"/>
  <c r="AP11" i="18" s="1"/>
  <c r="BF11" i="18"/>
  <c r="BL11" i="18" s="1"/>
  <c r="BC11" i="18"/>
  <c r="BB11" i="18"/>
  <c r="BA11" i="18"/>
  <c r="AZ11" i="18"/>
  <c r="AY11" i="18"/>
  <c r="AX11" i="18"/>
  <c r="BD11" i="18" s="1"/>
  <c r="AD11" i="18"/>
  <c r="BR10" i="18"/>
  <c r="BQ10" i="18"/>
  <c r="BP10" i="18"/>
  <c r="BO10" i="18"/>
  <c r="BN10" i="18"/>
  <c r="BJ10" i="18"/>
  <c r="BI10" i="18"/>
  <c r="BH10" i="18"/>
  <c r="BG10" i="18"/>
  <c r="BF10" i="18"/>
  <c r="BB10" i="18"/>
  <c r="BA10" i="18"/>
  <c r="AZ10" i="18"/>
  <c r="AY10" i="18"/>
  <c r="AX10" i="18"/>
  <c r="AA10" i="18"/>
  <c r="Z10" i="18"/>
  <c r="BC10" i="18" s="1"/>
  <c r="AE10" i="18" s="1"/>
  <c r="BS9" i="18"/>
  <c r="BQ9" i="18"/>
  <c r="BP9" i="18"/>
  <c r="BO9" i="18"/>
  <c r="BN9" i="18"/>
  <c r="BI9" i="18"/>
  <c r="BH9" i="18"/>
  <c r="BG9" i="18"/>
  <c r="BF9" i="18"/>
  <c r="BA9" i="18"/>
  <c r="AZ9" i="18"/>
  <c r="AY9" i="18"/>
  <c r="AX9" i="18"/>
  <c r="AA9" i="18"/>
  <c r="BK9" i="18" s="1"/>
  <c r="Z9" i="18"/>
  <c r="BC9" i="18" s="1"/>
  <c r="W9" i="18"/>
  <c r="V9" i="18"/>
  <c r="BB9" i="18" s="1"/>
  <c r="BP8" i="18"/>
  <c r="BO8" i="18"/>
  <c r="BN8" i="18"/>
  <c r="BH8" i="18"/>
  <c r="BG8" i="18"/>
  <c r="BF8" i="18"/>
  <c r="AZ8" i="18"/>
  <c r="AY8" i="18"/>
  <c r="AX8" i="18"/>
  <c r="AA8" i="18"/>
  <c r="Z8" i="18"/>
  <c r="BC8" i="18" s="1"/>
  <c r="W8" i="18"/>
  <c r="V8" i="18"/>
  <c r="BB8" i="18" s="1"/>
  <c r="S8" i="18"/>
  <c r="R8" i="18"/>
  <c r="BQ8" i="18" s="1"/>
  <c r="BS7" i="18"/>
  <c r="BO7" i="18"/>
  <c r="BN7" i="18"/>
  <c r="BG7" i="18"/>
  <c r="BF7" i="18"/>
  <c r="AY7" i="18"/>
  <c r="AX7" i="18"/>
  <c r="AA7" i="18"/>
  <c r="BK7" i="18" s="1"/>
  <c r="Z7" i="18"/>
  <c r="BC7" i="18" s="1"/>
  <c r="W7" i="18"/>
  <c r="BB7" i="18" s="1"/>
  <c r="V7" i="18"/>
  <c r="BJ7" i="18" s="1"/>
  <c r="S7" i="18"/>
  <c r="BA7" i="18" s="1"/>
  <c r="R7" i="18"/>
  <c r="BQ7" i="18" s="1"/>
  <c r="O7" i="18"/>
  <c r="N7" i="18"/>
  <c r="AZ7" i="18" s="1"/>
  <c r="BN6" i="18"/>
  <c r="BF6" i="18"/>
  <c r="AX6" i="18"/>
  <c r="AA6" i="18"/>
  <c r="Z6" i="18"/>
  <c r="BC6" i="18" s="1"/>
  <c r="W6" i="18"/>
  <c r="V6" i="18"/>
  <c r="BB6" i="18" s="1"/>
  <c r="S6" i="18"/>
  <c r="R6" i="18"/>
  <c r="BA6" i="18" s="1"/>
  <c r="O6" i="18"/>
  <c r="N6" i="18"/>
  <c r="AZ6" i="18" s="1"/>
  <c r="K6" i="18"/>
  <c r="J6" i="18"/>
  <c r="AY6" i="18" s="1"/>
  <c r="A54" i="17"/>
  <c r="A53" i="17"/>
  <c r="A52" i="17"/>
  <c r="A51" i="17"/>
  <c r="A50" i="17"/>
  <c r="A49" i="17"/>
  <c r="A45" i="17"/>
  <c r="A44" i="17"/>
  <c r="A43" i="17"/>
  <c r="A42" i="17"/>
  <c r="A41" i="17"/>
  <c r="A40" i="17"/>
  <c r="A36" i="17"/>
  <c r="A35" i="17"/>
  <c r="A34" i="17"/>
  <c r="A33" i="17"/>
  <c r="A32" i="17"/>
  <c r="A31" i="17"/>
  <c r="A27" i="17"/>
  <c r="A26" i="17"/>
  <c r="A25" i="17"/>
  <c r="A24" i="17"/>
  <c r="A23" i="17"/>
  <c r="A22" i="17"/>
  <c r="C17" i="17"/>
  <c r="C30" i="43" s="1"/>
  <c r="C16" i="17"/>
  <c r="C29" i="43" s="1"/>
  <c r="C15" i="17"/>
  <c r="C28" i="43" s="1"/>
  <c r="C14" i="17"/>
  <c r="C27" i="43" s="1"/>
  <c r="BS11" i="17"/>
  <c r="BR11" i="17"/>
  <c r="BQ11" i="17"/>
  <c r="BP11" i="17"/>
  <c r="BO11" i="17"/>
  <c r="BT11" i="17" s="1"/>
  <c r="BN11" i="17"/>
  <c r="BK11" i="17"/>
  <c r="BJ11" i="17"/>
  <c r="BI11" i="17"/>
  <c r="BH11" i="17"/>
  <c r="BG11" i="17"/>
  <c r="BF11" i="17"/>
  <c r="BL11" i="17" s="1"/>
  <c r="BC11" i="17"/>
  <c r="BB11" i="17"/>
  <c r="BA11" i="17"/>
  <c r="AZ11" i="17"/>
  <c r="AY11" i="17"/>
  <c r="AX11" i="17"/>
  <c r="AE11" i="17" s="1"/>
  <c r="AP11" i="17"/>
  <c r="AD11" i="17"/>
  <c r="BR10" i="17"/>
  <c r="BQ10" i="17"/>
  <c r="BP10" i="17"/>
  <c r="BO10" i="17"/>
  <c r="BN10" i="17"/>
  <c r="BJ10" i="17"/>
  <c r="BI10" i="17"/>
  <c r="BH10" i="17"/>
  <c r="BG10" i="17"/>
  <c r="BF10" i="17"/>
  <c r="BB10" i="17"/>
  <c r="BA10" i="17"/>
  <c r="AZ10" i="17"/>
  <c r="AY10" i="17"/>
  <c r="AX10" i="17"/>
  <c r="AA10" i="17"/>
  <c r="Z10" i="17"/>
  <c r="AD10" i="17" s="1"/>
  <c r="BS9" i="17"/>
  <c r="BQ9" i="17"/>
  <c r="BP9" i="17"/>
  <c r="BO9" i="17"/>
  <c r="BN9" i="17"/>
  <c r="BI9" i="17"/>
  <c r="BH9" i="17"/>
  <c r="BG9" i="17"/>
  <c r="BF9" i="17"/>
  <c r="BA9" i="17"/>
  <c r="AZ9" i="17"/>
  <c r="AY9" i="17"/>
  <c r="AX9" i="17"/>
  <c r="AD9" i="17"/>
  <c r="AA9" i="17"/>
  <c r="BC9" i="17" s="1"/>
  <c r="Z9" i="17"/>
  <c r="BK9" i="17" s="1"/>
  <c r="W9" i="17"/>
  <c r="V9" i="17"/>
  <c r="BJ9" i="17" s="1"/>
  <c r="BS8" i="17"/>
  <c r="BP8" i="17"/>
  <c r="BO8" i="17"/>
  <c r="BN8" i="17"/>
  <c r="BK8" i="17"/>
  <c r="BH8" i="17"/>
  <c r="BG8" i="17"/>
  <c r="BF8" i="17"/>
  <c r="BL8" i="17" s="1"/>
  <c r="AZ8" i="17"/>
  <c r="AY8" i="17"/>
  <c r="AX8" i="17"/>
  <c r="AA8" i="17"/>
  <c r="Z8" i="17"/>
  <c r="BC8" i="17" s="1"/>
  <c r="W8" i="17"/>
  <c r="BB8" i="17" s="1"/>
  <c r="V8" i="17"/>
  <c r="BJ8" i="17" s="1"/>
  <c r="S8" i="17"/>
  <c r="BA8" i="17" s="1"/>
  <c r="R8" i="17"/>
  <c r="BI8" i="17" s="1"/>
  <c r="AP8" i="17" s="1"/>
  <c r="BQ7" i="17"/>
  <c r="BO7" i="17"/>
  <c r="BN7" i="17"/>
  <c r="BH7" i="17"/>
  <c r="BG7" i="17"/>
  <c r="BF7" i="17"/>
  <c r="AY7" i="17"/>
  <c r="AX7" i="17"/>
  <c r="AD7" i="17"/>
  <c r="AA7" i="17"/>
  <c r="BC7" i="17" s="1"/>
  <c r="Z7" i="17"/>
  <c r="BS7" i="17" s="1"/>
  <c r="W7" i="17"/>
  <c r="V7" i="17"/>
  <c r="BJ7" i="17" s="1"/>
  <c r="S7" i="17"/>
  <c r="R7" i="17"/>
  <c r="BA7" i="17" s="1"/>
  <c r="O7" i="17"/>
  <c r="N7" i="17"/>
  <c r="AZ7" i="17" s="1"/>
  <c r="BP6" i="17"/>
  <c r="BN6" i="17"/>
  <c r="BF6" i="17"/>
  <c r="AX6" i="17"/>
  <c r="AA6" i="17"/>
  <c r="Z6" i="17"/>
  <c r="BC6" i="17" s="1"/>
  <c r="W6" i="17"/>
  <c r="BB6" i="17" s="1"/>
  <c r="V6" i="17"/>
  <c r="BR6" i="17" s="1"/>
  <c r="S6" i="17"/>
  <c r="R6" i="17"/>
  <c r="BI6" i="17" s="1"/>
  <c r="O6" i="17"/>
  <c r="N6" i="17"/>
  <c r="AZ6" i="17" s="1"/>
  <c r="K6" i="17"/>
  <c r="BG6" i="17" s="1"/>
  <c r="J6" i="17"/>
  <c r="AY6" i="17" s="1"/>
  <c r="A54" i="16"/>
  <c r="A53" i="16"/>
  <c r="A52" i="16"/>
  <c r="A51" i="16"/>
  <c r="A50" i="16"/>
  <c r="A49" i="16"/>
  <c r="A45" i="16"/>
  <c r="A44" i="16"/>
  <c r="A43" i="16"/>
  <c r="A42" i="16"/>
  <c r="A41" i="16"/>
  <c r="A40" i="16"/>
  <c r="A36" i="16"/>
  <c r="A35" i="16"/>
  <c r="A34" i="16"/>
  <c r="A33" i="16"/>
  <c r="A32" i="16"/>
  <c r="A31" i="16"/>
  <c r="A27" i="16"/>
  <c r="A26" i="16"/>
  <c r="A25" i="16"/>
  <c r="A24" i="16"/>
  <c r="A23" i="16"/>
  <c r="A22" i="16"/>
  <c r="C17" i="16"/>
  <c r="C26" i="43" s="1"/>
  <c r="C16" i="16"/>
  <c r="C25" i="43" s="1"/>
  <c r="C15" i="16"/>
  <c r="C24" i="43" s="1"/>
  <c r="C14" i="16"/>
  <c r="C23" i="43" s="1"/>
  <c r="BS11" i="16"/>
  <c r="BR11" i="16"/>
  <c r="BQ11" i="16"/>
  <c r="BP11" i="16"/>
  <c r="BO11" i="16"/>
  <c r="BN11" i="16"/>
  <c r="BT11" i="16" s="1"/>
  <c r="BK11" i="16"/>
  <c r="BJ11" i="16"/>
  <c r="BI11" i="16"/>
  <c r="BH11" i="16"/>
  <c r="BG11" i="16"/>
  <c r="BL11" i="16" s="1"/>
  <c r="BF11" i="16"/>
  <c r="BD11" i="16"/>
  <c r="BC11" i="16"/>
  <c r="BB11" i="16"/>
  <c r="BA11" i="16"/>
  <c r="AZ11" i="16"/>
  <c r="AY11" i="16"/>
  <c r="AX11" i="16"/>
  <c r="AE11" i="16" s="1"/>
  <c r="AD11" i="16"/>
  <c r="BR10" i="16"/>
  <c r="BQ10" i="16"/>
  <c r="BP10" i="16"/>
  <c r="BO10" i="16"/>
  <c r="BN10" i="16"/>
  <c r="BL10" i="16"/>
  <c r="BK10" i="16"/>
  <c r="AP10" i="16" s="1"/>
  <c r="BJ10" i="16"/>
  <c r="BI10" i="16"/>
  <c r="BH10" i="16"/>
  <c r="BG10" i="16"/>
  <c r="BF10" i="16"/>
  <c r="BC10" i="16"/>
  <c r="BB10" i="16"/>
  <c r="BA10" i="16"/>
  <c r="AZ10" i="16"/>
  <c r="AY10" i="16"/>
  <c r="AX10" i="16"/>
  <c r="BD10" i="16" s="1"/>
  <c r="AA10" i="16"/>
  <c r="Z10" i="16"/>
  <c r="BS10" i="16" s="1"/>
  <c r="BR9" i="16"/>
  <c r="BQ9" i="16"/>
  <c r="BP9" i="16"/>
  <c r="BO9" i="16"/>
  <c r="BN9" i="16"/>
  <c r="BT9" i="16" s="1"/>
  <c r="BK9" i="16"/>
  <c r="BI9" i="16"/>
  <c r="BH9" i="16"/>
  <c r="BG9" i="16"/>
  <c r="AP9" i="16" s="1"/>
  <c r="BF9" i="16"/>
  <c r="BC9" i="16"/>
  <c r="BA9" i="16"/>
  <c r="AZ9" i="16"/>
  <c r="AY9" i="16"/>
  <c r="AX9" i="16"/>
  <c r="AA9" i="16"/>
  <c r="Z9" i="16"/>
  <c r="BS9" i="16" s="1"/>
  <c r="W9" i="16"/>
  <c r="BB9" i="16" s="1"/>
  <c r="V9" i="16"/>
  <c r="BJ9" i="16" s="1"/>
  <c r="BL9" i="16" s="1"/>
  <c r="BQ8" i="16"/>
  <c r="BP8" i="16"/>
  <c r="BO8" i="16"/>
  <c r="BN8" i="16"/>
  <c r="BH8" i="16"/>
  <c r="BG8" i="16"/>
  <c r="BF8" i="16"/>
  <c r="AZ8" i="16"/>
  <c r="AY8" i="16"/>
  <c r="AX8" i="16"/>
  <c r="AD8" i="16"/>
  <c r="AA8" i="16"/>
  <c r="Z8" i="16"/>
  <c r="BS8" i="16" s="1"/>
  <c r="W8" i="16"/>
  <c r="BB8" i="16" s="1"/>
  <c r="V8" i="16"/>
  <c r="BJ8" i="16" s="1"/>
  <c r="S8" i="16"/>
  <c r="R8" i="16"/>
  <c r="BA8" i="16" s="1"/>
  <c r="BR7" i="16"/>
  <c r="BQ7" i="16"/>
  <c r="BP7" i="16"/>
  <c r="BO7" i="16"/>
  <c r="BN7" i="16"/>
  <c r="BK7" i="16"/>
  <c r="BG7" i="16"/>
  <c r="BF7" i="16"/>
  <c r="BC7" i="16"/>
  <c r="BB7" i="16"/>
  <c r="AY7" i="16"/>
  <c r="AX7" i="16"/>
  <c r="AD7" i="16"/>
  <c r="AA7" i="16"/>
  <c r="Z7" i="16"/>
  <c r="BS7" i="16" s="1"/>
  <c r="BT7" i="16" s="1"/>
  <c r="W7" i="16"/>
  <c r="V7" i="16"/>
  <c r="BJ7" i="16" s="1"/>
  <c r="S7" i="16"/>
  <c r="BI7" i="16" s="1"/>
  <c r="R7" i="16"/>
  <c r="BA7" i="16" s="1"/>
  <c r="O7" i="16"/>
  <c r="N7" i="16"/>
  <c r="BS6" i="16"/>
  <c r="BP6" i="16"/>
  <c r="BN6" i="16"/>
  <c r="BH6" i="16"/>
  <c r="BF6" i="16"/>
  <c r="AX6" i="16"/>
  <c r="AA6" i="16"/>
  <c r="BC6" i="16" s="1"/>
  <c r="Z6" i="16"/>
  <c r="BK6" i="16" s="1"/>
  <c r="W6" i="16"/>
  <c r="V6" i="16"/>
  <c r="BR6" i="16" s="1"/>
  <c r="S6" i="16"/>
  <c r="BA6" i="16" s="1"/>
  <c r="R6" i="16"/>
  <c r="O6" i="16"/>
  <c r="N6" i="16"/>
  <c r="AZ6" i="16" s="1"/>
  <c r="K6" i="16"/>
  <c r="J6" i="16"/>
  <c r="BO6" i="16" s="1"/>
  <c r="A54" i="15"/>
  <c r="A53" i="15"/>
  <c r="A52" i="15"/>
  <c r="A51" i="15"/>
  <c r="A50" i="15"/>
  <c r="A49" i="15"/>
  <c r="A45" i="15"/>
  <c r="A44" i="15"/>
  <c r="A43" i="15"/>
  <c r="A42" i="15"/>
  <c r="A41" i="15"/>
  <c r="A40" i="15"/>
  <c r="A36" i="15"/>
  <c r="A35" i="15"/>
  <c r="A34" i="15"/>
  <c r="A33" i="15"/>
  <c r="A32" i="15"/>
  <c r="A31" i="15"/>
  <c r="A27" i="15"/>
  <c r="A26" i="15"/>
  <c r="A25" i="15"/>
  <c r="A24" i="15"/>
  <c r="A23" i="15"/>
  <c r="A22" i="15"/>
  <c r="C17" i="15"/>
  <c r="C22" i="43" s="1"/>
  <c r="C16" i="15"/>
  <c r="C21" i="43" s="1"/>
  <c r="C15" i="15"/>
  <c r="C20" i="43" s="1"/>
  <c r="C14" i="15"/>
  <c r="C19" i="43" s="1"/>
  <c r="BS11" i="15"/>
  <c r="BR11" i="15"/>
  <c r="BQ11" i="15"/>
  <c r="BT11" i="15" s="1"/>
  <c r="BP11" i="15"/>
  <c r="BO11" i="15"/>
  <c r="BN11" i="15"/>
  <c r="BL11" i="15"/>
  <c r="BK11" i="15"/>
  <c r="BJ11" i="15"/>
  <c r="BI11" i="15"/>
  <c r="BH11" i="15"/>
  <c r="BG11" i="15"/>
  <c r="BF11" i="15"/>
  <c r="AP11" i="15" s="1"/>
  <c r="BC11" i="15"/>
  <c r="BB11" i="15"/>
  <c r="BA11" i="15"/>
  <c r="AZ11" i="15"/>
  <c r="AY11" i="15"/>
  <c r="AX11" i="15"/>
  <c r="AE11" i="15" s="1"/>
  <c r="AD11" i="15"/>
  <c r="BR10" i="15"/>
  <c r="BQ10" i="15"/>
  <c r="BP10" i="15"/>
  <c r="BO10" i="15"/>
  <c r="BN10" i="15"/>
  <c r="BK10" i="15"/>
  <c r="BJ10" i="15"/>
  <c r="BI10" i="15"/>
  <c r="BH10" i="15"/>
  <c r="BG10" i="15"/>
  <c r="AP10" i="15" s="1"/>
  <c r="BF10" i="15"/>
  <c r="BL10" i="15" s="1"/>
  <c r="BB10" i="15"/>
  <c r="BA10" i="15"/>
  <c r="AZ10" i="15"/>
  <c r="AY10" i="15"/>
  <c r="AX10" i="15"/>
  <c r="AA10" i="15"/>
  <c r="Z10" i="15"/>
  <c r="BS10" i="15" s="1"/>
  <c r="BQ9" i="15"/>
  <c r="BP9" i="15"/>
  <c r="BO9" i="15"/>
  <c r="BN9" i="15"/>
  <c r="BK9" i="15"/>
  <c r="BI9" i="15"/>
  <c r="BH9" i="15"/>
  <c r="BG9" i="15"/>
  <c r="AP9" i="15" s="1"/>
  <c r="BF9" i="15"/>
  <c r="BC9" i="15"/>
  <c r="BA9" i="15"/>
  <c r="AZ9" i="15"/>
  <c r="AY9" i="15"/>
  <c r="AX9" i="15"/>
  <c r="AE9" i="15" s="1"/>
  <c r="AD9" i="15"/>
  <c r="AA9" i="15"/>
  <c r="Z9" i="15"/>
  <c r="BS9" i="15" s="1"/>
  <c r="W9" i="15"/>
  <c r="BB9" i="15" s="1"/>
  <c r="V9" i="15"/>
  <c r="BJ9" i="15" s="1"/>
  <c r="BL9" i="15" s="1"/>
  <c r="BP8" i="15"/>
  <c r="BO8" i="15"/>
  <c r="BN8" i="15"/>
  <c r="BH8" i="15"/>
  <c r="BG8" i="15"/>
  <c r="BF8" i="15"/>
  <c r="AZ8" i="15"/>
  <c r="AY8" i="15"/>
  <c r="AX8" i="15"/>
  <c r="BD8" i="15" s="1"/>
  <c r="AA8" i="15"/>
  <c r="BK8" i="15" s="1"/>
  <c r="Z8" i="15"/>
  <c r="BC8" i="15" s="1"/>
  <c r="W8" i="15"/>
  <c r="BB8" i="15" s="1"/>
  <c r="V8" i="15"/>
  <c r="BJ8" i="15" s="1"/>
  <c r="S8" i="15"/>
  <c r="R8" i="15"/>
  <c r="BA8" i="15" s="1"/>
  <c r="BQ7" i="15"/>
  <c r="BP7" i="15"/>
  <c r="BO7" i="15"/>
  <c r="BN7" i="15"/>
  <c r="BK7" i="15"/>
  <c r="BH7" i="15"/>
  <c r="BG7" i="15"/>
  <c r="BF7" i="15"/>
  <c r="BC7" i="15"/>
  <c r="AY7" i="15"/>
  <c r="AX7" i="15"/>
  <c r="AD7" i="15"/>
  <c r="AA7" i="15"/>
  <c r="Z7" i="15"/>
  <c r="BS7" i="15" s="1"/>
  <c r="W7" i="15"/>
  <c r="BB7" i="15" s="1"/>
  <c r="V7" i="15"/>
  <c r="BJ7" i="15" s="1"/>
  <c r="S7" i="15"/>
  <c r="R7" i="15"/>
  <c r="BA7" i="15" s="1"/>
  <c r="O7" i="15"/>
  <c r="N7" i="15"/>
  <c r="AZ7" i="15" s="1"/>
  <c r="BS6" i="15"/>
  <c r="BP6" i="15"/>
  <c r="BN6" i="15"/>
  <c r="BK6" i="15"/>
  <c r="BF6" i="15"/>
  <c r="AX6" i="15"/>
  <c r="AA6" i="15"/>
  <c r="Z6" i="15"/>
  <c r="BC6" i="15" s="1"/>
  <c r="W6" i="15"/>
  <c r="BB6" i="15" s="1"/>
  <c r="V6" i="15"/>
  <c r="BJ6" i="15" s="1"/>
  <c r="S6" i="15"/>
  <c r="BA6" i="15" s="1"/>
  <c r="R6" i="15"/>
  <c r="BI6" i="15" s="1"/>
  <c r="O6" i="15"/>
  <c r="N6" i="15"/>
  <c r="AZ6" i="15" s="1"/>
  <c r="K6" i="15"/>
  <c r="BG6" i="15" s="1"/>
  <c r="J6" i="15"/>
  <c r="AY6" i="15" s="1"/>
  <c r="A54" i="14"/>
  <c r="A53" i="14"/>
  <c r="A52" i="14"/>
  <c r="A51" i="14"/>
  <c r="A50" i="14"/>
  <c r="A49" i="14"/>
  <c r="A45" i="14"/>
  <c r="A44" i="14"/>
  <c r="A43" i="14"/>
  <c r="A42" i="14"/>
  <c r="A41" i="14"/>
  <c r="A40" i="14"/>
  <c r="A36" i="14"/>
  <c r="A35" i="14"/>
  <c r="A34" i="14"/>
  <c r="A33" i="14"/>
  <c r="A32" i="14"/>
  <c r="A31" i="14"/>
  <c r="A27" i="14"/>
  <c r="A26" i="14"/>
  <c r="A25" i="14"/>
  <c r="A24" i="14"/>
  <c r="A23" i="14"/>
  <c r="A22" i="14"/>
  <c r="C17" i="14"/>
  <c r="C18" i="43" s="1"/>
  <c r="C16" i="14"/>
  <c r="C17" i="43" s="1"/>
  <c r="C15" i="14"/>
  <c r="C16" i="43" s="1"/>
  <c r="C14" i="14"/>
  <c r="C15" i="43" s="1"/>
  <c r="BS11" i="14"/>
  <c r="BR11" i="14"/>
  <c r="BQ11" i="14"/>
  <c r="BP11" i="14"/>
  <c r="BO11" i="14"/>
  <c r="BN11" i="14"/>
  <c r="BT11" i="14" s="1"/>
  <c r="BK11" i="14"/>
  <c r="BJ11" i="14"/>
  <c r="BI11" i="14"/>
  <c r="BH11" i="14"/>
  <c r="BG11" i="14"/>
  <c r="AP11" i="14" s="1"/>
  <c r="BF11" i="14"/>
  <c r="BL11" i="14" s="1"/>
  <c r="BC11" i="14"/>
  <c r="BB11" i="14"/>
  <c r="BA11" i="14"/>
  <c r="AZ11" i="14"/>
  <c r="BD11" i="14" s="1"/>
  <c r="AY11" i="14"/>
  <c r="AX11" i="14"/>
  <c r="AE11" i="14"/>
  <c r="AE27" i="14" s="1"/>
  <c r="AD27" i="14" s="1"/>
  <c r="AD11" i="14"/>
  <c r="BR10" i="14"/>
  <c r="BQ10" i="14"/>
  <c r="BP10" i="14"/>
  <c r="BO10" i="14"/>
  <c r="BN10" i="14"/>
  <c r="BJ10" i="14"/>
  <c r="BI10" i="14"/>
  <c r="BH10" i="14"/>
  <c r="BL10" i="14" s="1"/>
  <c r="BG10" i="14"/>
  <c r="BF10" i="14"/>
  <c r="BC10" i="14"/>
  <c r="BB10" i="14"/>
  <c r="BA10" i="14"/>
  <c r="AZ10" i="14"/>
  <c r="AY10" i="14"/>
  <c r="AX10" i="14"/>
  <c r="BD10" i="14" s="1"/>
  <c r="AD10" i="14"/>
  <c r="AA10" i="14"/>
  <c r="Z10" i="14"/>
  <c r="BK10" i="14" s="1"/>
  <c r="BR9" i="14"/>
  <c r="BQ9" i="14"/>
  <c r="BP9" i="14"/>
  <c r="BO9" i="14"/>
  <c r="BN9" i="14"/>
  <c r="BT9" i="14" s="1"/>
  <c r="BK9" i="14"/>
  <c r="BI9" i="14"/>
  <c r="BH9" i="14"/>
  <c r="BL9" i="14" s="1"/>
  <c r="BG9" i="14"/>
  <c r="AP9" i="14" s="1"/>
  <c r="BF9" i="14"/>
  <c r="BA9" i="14"/>
  <c r="AZ9" i="14"/>
  <c r="AY9" i="14"/>
  <c r="AX9" i="14"/>
  <c r="AA9" i="14"/>
  <c r="BC9" i="14" s="1"/>
  <c r="Z9" i="14"/>
  <c r="BS9" i="14" s="1"/>
  <c r="W9" i="14"/>
  <c r="AD9" i="14" s="1"/>
  <c r="V9" i="14"/>
  <c r="BJ9" i="14" s="1"/>
  <c r="BQ8" i="14"/>
  <c r="BP8" i="14"/>
  <c r="BO8" i="14"/>
  <c r="BN8" i="14"/>
  <c r="BH8" i="14"/>
  <c r="BG8" i="14"/>
  <c r="BF8" i="14"/>
  <c r="BC8" i="14"/>
  <c r="AZ8" i="14"/>
  <c r="AY8" i="14"/>
  <c r="AX8" i="14"/>
  <c r="AD8" i="14"/>
  <c r="AA8" i="14"/>
  <c r="Z8" i="14"/>
  <c r="BK8" i="14" s="1"/>
  <c r="W8" i="14"/>
  <c r="BB8" i="14" s="1"/>
  <c r="V8" i="14"/>
  <c r="BJ8" i="14" s="1"/>
  <c r="S8" i="14"/>
  <c r="R8" i="14"/>
  <c r="BA8" i="14" s="1"/>
  <c r="BR7" i="14"/>
  <c r="BQ7" i="14"/>
  <c r="BO7" i="14"/>
  <c r="BN7" i="14"/>
  <c r="BK7" i="14"/>
  <c r="BI7" i="14"/>
  <c r="BG7" i="14"/>
  <c r="BF7" i="14"/>
  <c r="BC7" i="14"/>
  <c r="AZ7" i="14"/>
  <c r="AY7" i="14"/>
  <c r="AX7" i="14"/>
  <c r="AA7" i="14"/>
  <c r="Z7" i="14"/>
  <c r="BS7" i="14" s="1"/>
  <c r="W7" i="14"/>
  <c r="BB7" i="14" s="1"/>
  <c r="V7" i="14"/>
  <c r="BJ7" i="14" s="1"/>
  <c r="S7" i="14"/>
  <c r="R7" i="14"/>
  <c r="BA7" i="14" s="1"/>
  <c r="O7" i="14"/>
  <c r="BH7" i="14" s="1"/>
  <c r="BL7" i="14" s="1"/>
  <c r="N7" i="14"/>
  <c r="BP7" i="14" s="1"/>
  <c r="BS6" i="14"/>
  <c r="BQ6" i="14"/>
  <c r="BN6" i="14"/>
  <c r="BH6" i="14"/>
  <c r="BF6" i="14"/>
  <c r="BC6" i="14"/>
  <c r="AY6" i="14"/>
  <c r="AX6" i="14"/>
  <c r="AD6" i="14"/>
  <c r="AA6" i="14"/>
  <c r="BK6" i="14" s="1"/>
  <c r="Z6" i="14"/>
  <c r="W6" i="14"/>
  <c r="V6" i="14"/>
  <c r="BB6" i="14" s="1"/>
  <c r="S6" i="14"/>
  <c r="BA6" i="14" s="1"/>
  <c r="R6" i="14"/>
  <c r="BI6" i="14" s="1"/>
  <c r="O6" i="14"/>
  <c r="N6" i="14"/>
  <c r="BP6" i="14" s="1"/>
  <c r="K6" i="14"/>
  <c r="BG6" i="14" s="1"/>
  <c r="J6" i="14"/>
  <c r="BO6" i="14" s="1"/>
  <c r="A54" i="13"/>
  <c r="A53" i="13"/>
  <c r="A52" i="13"/>
  <c r="A51" i="13"/>
  <c r="A50" i="13"/>
  <c r="A49" i="13"/>
  <c r="A45" i="13"/>
  <c r="A44" i="13"/>
  <c r="A43" i="13"/>
  <c r="A42" i="13"/>
  <c r="A41" i="13"/>
  <c r="A40" i="13"/>
  <c r="A36" i="13"/>
  <c r="A35" i="13"/>
  <c r="A34" i="13"/>
  <c r="A33" i="13"/>
  <c r="A32" i="13"/>
  <c r="A31" i="13"/>
  <c r="A27" i="13"/>
  <c r="A26" i="13"/>
  <c r="A25" i="13"/>
  <c r="A24" i="13"/>
  <c r="A23" i="13"/>
  <c r="A22" i="13"/>
  <c r="C17" i="13"/>
  <c r="C14" i="43" s="1"/>
  <c r="C16" i="13"/>
  <c r="C13" i="43" s="1"/>
  <c r="C15" i="13"/>
  <c r="C12" i="43" s="1"/>
  <c r="C14" i="13"/>
  <c r="C11" i="43" s="1"/>
  <c r="BS11" i="13"/>
  <c r="BR11" i="13"/>
  <c r="BQ11" i="13"/>
  <c r="BP11" i="13"/>
  <c r="BO11" i="13"/>
  <c r="BN11" i="13"/>
  <c r="BT11" i="13" s="1"/>
  <c r="BK11" i="13"/>
  <c r="BJ11" i="13"/>
  <c r="BI11" i="13"/>
  <c r="BH11" i="13"/>
  <c r="BG11" i="13"/>
  <c r="BF11" i="13"/>
  <c r="BL11" i="13" s="1"/>
  <c r="BC11" i="13"/>
  <c r="BB11" i="13"/>
  <c r="BA11" i="13"/>
  <c r="BD11" i="13" s="1"/>
  <c r="AZ11" i="13"/>
  <c r="AY11" i="13"/>
  <c r="AX11" i="13"/>
  <c r="AD11" i="13"/>
  <c r="BR10" i="13"/>
  <c r="BQ10" i="13"/>
  <c r="BP10" i="13"/>
  <c r="BO10" i="13"/>
  <c r="BN10" i="13"/>
  <c r="BT10" i="13" s="1"/>
  <c r="BJ10" i="13"/>
  <c r="BI10" i="13"/>
  <c r="BH10" i="13"/>
  <c r="BG10" i="13"/>
  <c r="BF10" i="13"/>
  <c r="BB10" i="13"/>
  <c r="BA10" i="13"/>
  <c r="AZ10" i="13"/>
  <c r="AY10" i="13"/>
  <c r="AX10" i="13"/>
  <c r="AD10" i="13"/>
  <c r="AA10" i="13"/>
  <c r="BC10" i="13" s="1"/>
  <c r="Z10" i="13"/>
  <c r="BS10" i="13" s="1"/>
  <c r="BQ9" i="13"/>
  <c r="BP9" i="13"/>
  <c r="BO9" i="13"/>
  <c r="BN9" i="13"/>
  <c r="BI9" i="13"/>
  <c r="BH9" i="13"/>
  <c r="BG9" i="13"/>
  <c r="BF9" i="13"/>
  <c r="BA9" i="13"/>
  <c r="AE9" i="13" s="1"/>
  <c r="AZ9" i="13"/>
  <c r="AY9" i="13"/>
  <c r="AX9" i="13"/>
  <c r="AA9" i="13"/>
  <c r="Z9" i="13"/>
  <c r="BC9" i="13" s="1"/>
  <c r="W9" i="13"/>
  <c r="V9" i="13"/>
  <c r="BB9" i="13" s="1"/>
  <c r="BR8" i="13"/>
  <c r="BQ8" i="13"/>
  <c r="BP8" i="13"/>
  <c r="BO8" i="13"/>
  <c r="BN8" i="13"/>
  <c r="BT8" i="13" s="1"/>
  <c r="BK8" i="13"/>
  <c r="BI8" i="13"/>
  <c r="BL8" i="13" s="1"/>
  <c r="BH8" i="13"/>
  <c r="BG8" i="13"/>
  <c r="BF8" i="13"/>
  <c r="BC8" i="13"/>
  <c r="AZ8" i="13"/>
  <c r="AY8" i="13"/>
  <c r="AX8" i="13"/>
  <c r="AA8" i="13"/>
  <c r="Z8" i="13"/>
  <c r="BS8" i="13" s="1"/>
  <c r="W8" i="13"/>
  <c r="AD8" i="13" s="1"/>
  <c r="V8" i="13"/>
  <c r="BJ8" i="13" s="1"/>
  <c r="S8" i="13"/>
  <c r="R8" i="13"/>
  <c r="BA8" i="13" s="1"/>
  <c r="BO7" i="13"/>
  <c r="BN7" i="13"/>
  <c r="BG7" i="13"/>
  <c r="BF7" i="13"/>
  <c r="AY7" i="13"/>
  <c r="BD7" i="13" s="1"/>
  <c r="AX7" i="13"/>
  <c r="AA7" i="13"/>
  <c r="Z7" i="13"/>
  <c r="BC7" i="13" s="1"/>
  <c r="W7" i="13"/>
  <c r="V7" i="13"/>
  <c r="BB7" i="13" s="1"/>
  <c r="S7" i="13"/>
  <c r="R7" i="13"/>
  <c r="BA7" i="13" s="1"/>
  <c r="O7" i="13"/>
  <c r="N7" i="13"/>
  <c r="AZ7" i="13" s="1"/>
  <c r="BR6" i="13"/>
  <c r="BQ6" i="13"/>
  <c r="BP6" i="13"/>
  <c r="BN6" i="13"/>
  <c r="BI6" i="13"/>
  <c r="BH6" i="13"/>
  <c r="BF6" i="13"/>
  <c r="AZ6" i="13"/>
  <c r="AX6" i="13"/>
  <c r="AA6" i="13"/>
  <c r="BC6" i="13" s="1"/>
  <c r="Z6" i="13"/>
  <c r="BK6" i="13" s="1"/>
  <c r="W6" i="13"/>
  <c r="V6" i="13"/>
  <c r="BB6" i="13" s="1"/>
  <c r="S6" i="13"/>
  <c r="R6" i="13"/>
  <c r="BA6" i="13" s="1"/>
  <c r="O6" i="13"/>
  <c r="N6" i="13"/>
  <c r="K6" i="13"/>
  <c r="AY6" i="13" s="1"/>
  <c r="J6" i="13"/>
  <c r="BO6" i="13" s="1"/>
  <c r="A54" i="12"/>
  <c r="A53" i="12"/>
  <c r="A52" i="12"/>
  <c r="A51" i="12"/>
  <c r="A50" i="12"/>
  <c r="A49" i="12"/>
  <c r="A45" i="12"/>
  <c r="A44" i="12"/>
  <c r="A43" i="12"/>
  <c r="A42" i="12"/>
  <c r="A41" i="12"/>
  <c r="A40" i="12"/>
  <c r="A36" i="12"/>
  <c r="A35" i="12"/>
  <c r="A34" i="12"/>
  <c r="A33" i="12"/>
  <c r="A32" i="12"/>
  <c r="A31" i="12"/>
  <c r="A27" i="12"/>
  <c r="A26" i="12"/>
  <c r="A25" i="12"/>
  <c r="A24" i="12"/>
  <c r="A23" i="12"/>
  <c r="A22" i="12"/>
  <c r="C17" i="12"/>
  <c r="C10" i="43" s="1"/>
  <c r="C16" i="12"/>
  <c r="C9" i="43" s="1"/>
  <c r="C15" i="12"/>
  <c r="C8" i="43" s="1"/>
  <c r="C14" i="12"/>
  <c r="C7" i="43" s="1"/>
  <c r="BT11" i="12"/>
  <c r="BS11" i="12"/>
  <c r="BR11" i="12"/>
  <c r="BQ11" i="12"/>
  <c r="BP11" i="12"/>
  <c r="BO11" i="12"/>
  <c r="BN11" i="12"/>
  <c r="BK11" i="12"/>
  <c r="BJ11" i="12"/>
  <c r="BI11" i="12"/>
  <c r="BH11" i="12"/>
  <c r="BG11" i="12"/>
  <c r="AP11" i="12" s="1"/>
  <c r="BF11" i="12"/>
  <c r="BL11" i="12" s="1"/>
  <c r="BC11" i="12"/>
  <c r="BB11" i="12"/>
  <c r="BA11" i="12"/>
  <c r="AZ11" i="12"/>
  <c r="AY11" i="12"/>
  <c r="AX11" i="12"/>
  <c r="AE11" i="12" s="1"/>
  <c r="AQ11" i="12"/>
  <c r="AD11" i="12"/>
  <c r="BS10" i="12"/>
  <c r="BR10" i="12"/>
  <c r="BQ10" i="12"/>
  <c r="BP10" i="12"/>
  <c r="BO10" i="12"/>
  <c r="BT10" i="12" s="1"/>
  <c r="BN10" i="12"/>
  <c r="BJ10" i="12"/>
  <c r="BI10" i="12"/>
  <c r="BH10" i="12"/>
  <c r="BG10" i="12"/>
  <c r="BF10" i="12"/>
  <c r="BB10" i="12"/>
  <c r="BA10" i="12"/>
  <c r="AZ10" i="12"/>
  <c r="AY10" i="12"/>
  <c r="AX10" i="12"/>
  <c r="AA10" i="12"/>
  <c r="Z10" i="12"/>
  <c r="AD10" i="12" s="1"/>
  <c r="BQ9" i="12"/>
  <c r="BP9" i="12"/>
  <c r="BO9" i="12"/>
  <c r="BN9" i="12"/>
  <c r="BK9" i="12"/>
  <c r="BI9" i="12"/>
  <c r="BH9" i="12"/>
  <c r="BG9" i="12"/>
  <c r="BF9" i="12"/>
  <c r="BA9" i="12"/>
  <c r="AZ9" i="12"/>
  <c r="AY9" i="12"/>
  <c r="AX9" i="12"/>
  <c r="AA9" i="12"/>
  <c r="Z9" i="12"/>
  <c r="BS9" i="12" s="1"/>
  <c r="W9" i="12"/>
  <c r="AD9" i="12" s="1"/>
  <c r="V9" i="12"/>
  <c r="BJ9" i="12" s="1"/>
  <c r="BP8" i="12"/>
  <c r="BO8" i="12"/>
  <c r="BN8" i="12"/>
  <c r="BH8" i="12"/>
  <c r="BG8" i="12"/>
  <c r="BF8" i="12"/>
  <c r="AZ8" i="12"/>
  <c r="AY8" i="12"/>
  <c r="AX8" i="12"/>
  <c r="AA8" i="12"/>
  <c r="Z8" i="12"/>
  <c r="BC8" i="12" s="1"/>
  <c r="W8" i="12"/>
  <c r="V8" i="12"/>
  <c r="BB8" i="12" s="1"/>
  <c r="S8" i="12"/>
  <c r="R8" i="12"/>
  <c r="BA8" i="12" s="1"/>
  <c r="AE8" i="12" s="1"/>
  <c r="BP7" i="12"/>
  <c r="BO7" i="12"/>
  <c r="BN7" i="12"/>
  <c r="BK7" i="12"/>
  <c r="BG7" i="12"/>
  <c r="BF7" i="12"/>
  <c r="AY7" i="12"/>
  <c r="AX7" i="12"/>
  <c r="AA7" i="12"/>
  <c r="Z7" i="12"/>
  <c r="BS7" i="12" s="1"/>
  <c r="W7" i="12"/>
  <c r="BB7" i="12" s="1"/>
  <c r="V7" i="12"/>
  <c r="BJ7" i="12" s="1"/>
  <c r="S7" i="12"/>
  <c r="R7" i="12"/>
  <c r="BA7" i="12" s="1"/>
  <c r="O7" i="12"/>
  <c r="N7" i="12"/>
  <c r="AZ7" i="12" s="1"/>
  <c r="BS6" i="12"/>
  <c r="BN6" i="12"/>
  <c r="BF6" i="12"/>
  <c r="BA6" i="12"/>
  <c r="AX6" i="12"/>
  <c r="AA6" i="12"/>
  <c r="Z6" i="12"/>
  <c r="BC6" i="12" s="1"/>
  <c r="W6" i="12"/>
  <c r="V6" i="12"/>
  <c r="BR6" i="12" s="1"/>
  <c r="S6" i="12"/>
  <c r="R6" i="12"/>
  <c r="BI6" i="12" s="1"/>
  <c r="O6" i="12"/>
  <c r="N6" i="12"/>
  <c r="AZ6" i="12" s="1"/>
  <c r="K6" i="12"/>
  <c r="J6" i="12"/>
  <c r="AY6" i="12" s="1"/>
  <c r="A54" i="11"/>
  <c r="A53" i="11"/>
  <c r="A52" i="11"/>
  <c r="A51" i="11"/>
  <c r="A50" i="11"/>
  <c r="A49" i="11"/>
  <c r="A45" i="11"/>
  <c r="A44" i="11"/>
  <c r="A43" i="11"/>
  <c r="A42" i="11"/>
  <c r="A41" i="11"/>
  <c r="A40" i="11"/>
  <c r="A36" i="11"/>
  <c r="A35" i="11"/>
  <c r="A34" i="11"/>
  <c r="A33" i="11"/>
  <c r="A32" i="11"/>
  <c r="A31" i="11"/>
  <c r="A27" i="11"/>
  <c r="A26" i="11"/>
  <c r="A25" i="11"/>
  <c r="A24" i="11"/>
  <c r="A23" i="11"/>
  <c r="A22" i="11"/>
  <c r="C17" i="11"/>
  <c r="C6" i="43" s="1"/>
  <c r="C16" i="11"/>
  <c r="C5" i="43" s="1"/>
  <c r="C15" i="11"/>
  <c r="C4" i="43" s="1"/>
  <c r="C14" i="11"/>
  <c r="C3" i="43" s="1"/>
  <c r="BS11" i="11"/>
  <c r="BR11" i="11"/>
  <c r="BQ11" i="11"/>
  <c r="BP11" i="11"/>
  <c r="BO11" i="11"/>
  <c r="BN11" i="11"/>
  <c r="BK11" i="11"/>
  <c r="BJ11" i="11"/>
  <c r="BI11" i="11"/>
  <c r="BH11" i="11"/>
  <c r="BG11" i="11"/>
  <c r="BF11" i="11"/>
  <c r="BC11" i="11"/>
  <c r="BB11" i="11"/>
  <c r="BA11" i="11"/>
  <c r="AZ11" i="11"/>
  <c r="AY11" i="11"/>
  <c r="AE11" i="11" s="1"/>
  <c r="AX11" i="11"/>
  <c r="BD11" i="11" s="1"/>
  <c r="AD11" i="11"/>
  <c r="BR10" i="11"/>
  <c r="BQ10" i="11"/>
  <c r="BP10" i="11"/>
  <c r="BO10" i="11"/>
  <c r="BN10" i="11"/>
  <c r="BJ10" i="11"/>
  <c r="BI10" i="11"/>
  <c r="BH10" i="11"/>
  <c r="BG10" i="11"/>
  <c r="BF10" i="11"/>
  <c r="BD10" i="11"/>
  <c r="BB10" i="11"/>
  <c r="BA10" i="11"/>
  <c r="AZ10" i="11"/>
  <c r="AY10" i="11"/>
  <c r="AX10" i="11"/>
  <c r="AE10" i="11" s="1"/>
  <c r="AA10" i="11"/>
  <c r="Z10" i="11"/>
  <c r="BC10" i="11" s="1"/>
  <c r="BQ9" i="11"/>
  <c r="BP9" i="11"/>
  <c r="BO9" i="11"/>
  <c r="BN9" i="11"/>
  <c r="BI9" i="11"/>
  <c r="BH9" i="11"/>
  <c r="BG9" i="11"/>
  <c r="BF9" i="11"/>
  <c r="BA9" i="11"/>
  <c r="AZ9" i="11"/>
  <c r="AY9" i="11"/>
  <c r="AX9" i="11"/>
  <c r="AA9" i="11"/>
  <c r="Z9" i="11"/>
  <c r="W9" i="11"/>
  <c r="V9" i="11"/>
  <c r="BB9" i="11" s="1"/>
  <c r="BR8" i="11"/>
  <c r="BP8" i="11"/>
  <c r="BO8" i="11"/>
  <c r="BN8" i="11"/>
  <c r="BK8" i="11"/>
  <c r="BI8" i="11"/>
  <c r="BH8" i="11"/>
  <c r="BG8" i="11"/>
  <c r="BF8" i="11"/>
  <c r="AZ8" i="11"/>
  <c r="AY8" i="11"/>
  <c r="AX8" i="11"/>
  <c r="AA8" i="11"/>
  <c r="Z8" i="11"/>
  <c r="BS8" i="11" s="1"/>
  <c r="W8" i="11"/>
  <c r="BB8" i="11" s="1"/>
  <c r="V8" i="11"/>
  <c r="S8" i="11"/>
  <c r="R8" i="11"/>
  <c r="BA8" i="11" s="1"/>
  <c r="BQ7" i="11"/>
  <c r="BO7" i="11"/>
  <c r="BN7" i="11"/>
  <c r="BH7" i="11"/>
  <c r="BG7" i="11"/>
  <c r="BF7" i="11"/>
  <c r="AY7" i="11"/>
  <c r="AX7" i="11"/>
  <c r="AD7" i="11"/>
  <c r="AA7" i="11"/>
  <c r="Z7" i="11"/>
  <c r="W7" i="11"/>
  <c r="V7" i="11"/>
  <c r="BB7" i="11" s="1"/>
  <c r="S7" i="11"/>
  <c r="R7" i="11"/>
  <c r="O7" i="11"/>
  <c r="N7" i="11"/>
  <c r="BP7" i="11" s="1"/>
  <c r="BS6" i="11"/>
  <c r="BP6" i="11"/>
  <c r="BN6" i="11"/>
  <c r="BF6" i="11"/>
  <c r="AX6" i="11"/>
  <c r="AA6" i="11"/>
  <c r="BK6" i="11" s="1"/>
  <c r="Z6" i="11"/>
  <c r="W6" i="11"/>
  <c r="BB6" i="11" s="1"/>
  <c r="V6" i="11"/>
  <c r="BJ6" i="11" s="1"/>
  <c r="S6" i="11"/>
  <c r="R6" i="11"/>
  <c r="BQ6" i="11" s="1"/>
  <c r="O6" i="11"/>
  <c r="N6" i="11"/>
  <c r="AZ6" i="11" s="1"/>
  <c r="K6" i="11"/>
  <c r="BG6" i="11" s="1"/>
  <c r="J6" i="11"/>
  <c r="BO6" i="11" s="1"/>
  <c r="A54" i="10"/>
  <c r="A53" i="10"/>
  <c r="A52" i="10"/>
  <c r="A51" i="10"/>
  <c r="A50" i="10"/>
  <c r="A49" i="10"/>
  <c r="AA48" i="10"/>
  <c r="Y48" i="10"/>
  <c r="W48" i="10"/>
  <c r="T48" i="10"/>
  <c r="R48" i="10"/>
  <c r="A45" i="10"/>
  <c r="A44" i="10"/>
  <c r="A43" i="10"/>
  <c r="A42" i="10"/>
  <c r="A41" i="10"/>
  <c r="A40" i="10"/>
  <c r="AA39" i="10"/>
  <c r="Y39" i="10"/>
  <c r="W39" i="10"/>
  <c r="T39" i="10"/>
  <c r="R39" i="10"/>
  <c r="A36" i="10"/>
  <c r="A35" i="10"/>
  <c r="A34" i="10"/>
  <c r="A33" i="10"/>
  <c r="A32" i="10"/>
  <c r="A31" i="10"/>
  <c r="AA30" i="10"/>
  <c r="Y30" i="10"/>
  <c r="W30" i="10"/>
  <c r="T30" i="10"/>
  <c r="R30" i="10"/>
  <c r="A27" i="10"/>
  <c r="A26" i="10"/>
  <c r="A25" i="10"/>
  <c r="A24" i="10"/>
  <c r="A23" i="10"/>
  <c r="A22" i="10"/>
  <c r="AA21" i="10"/>
  <c r="AA27" i="10" s="1"/>
  <c r="Y21" i="10"/>
  <c r="W21" i="10"/>
  <c r="T21" i="10"/>
  <c r="R21" i="10"/>
  <c r="R27" i="10" s="1"/>
  <c r="C17" i="10"/>
  <c r="C16" i="10"/>
  <c r="C15" i="10"/>
  <c r="C14" i="10"/>
  <c r="BS11" i="10"/>
  <c r="BR11" i="10"/>
  <c r="BQ11" i="10"/>
  <c r="BP11" i="10"/>
  <c r="BO11" i="10"/>
  <c r="BN11" i="10"/>
  <c r="BT11" i="10" s="1"/>
  <c r="BK11" i="10"/>
  <c r="BJ11" i="10"/>
  <c r="BI11" i="10"/>
  <c r="BH11" i="10"/>
  <c r="BG11" i="10"/>
  <c r="BF11" i="10"/>
  <c r="BL11" i="10" s="1"/>
  <c r="BC11" i="10"/>
  <c r="BB11" i="10"/>
  <c r="BA11" i="10"/>
  <c r="AZ11" i="10"/>
  <c r="BD11" i="10" s="1"/>
  <c r="AY11" i="10"/>
  <c r="AX11" i="10"/>
  <c r="AE11" i="10"/>
  <c r="AE27" i="10" s="1"/>
  <c r="AD27" i="10" s="1"/>
  <c r="AD11" i="10"/>
  <c r="BR10" i="10"/>
  <c r="BQ10" i="10"/>
  <c r="BP10" i="10"/>
  <c r="BO10" i="10"/>
  <c r="BN10" i="10"/>
  <c r="BK10" i="10"/>
  <c r="BJ10" i="10"/>
  <c r="BI10" i="10"/>
  <c r="BH10" i="10"/>
  <c r="BL10" i="10" s="1"/>
  <c r="BG10" i="10"/>
  <c r="BF10" i="10"/>
  <c r="AP10" i="10" s="1"/>
  <c r="BD10" i="10"/>
  <c r="BC10" i="10"/>
  <c r="BB10" i="10"/>
  <c r="BA10" i="10"/>
  <c r="AZ10" i="10"/>
  <c r="AY10" i="10"/>
  <c r="AE10" i="10" s="1"/>
  <c r="AX10" i="10"/>
  <c r="AD10" i="10"/>
  <c r="AA10" i="10"/>
  <c r="Z10" i="10"/>
  <c r="BS10" i="10" s="1"/>
  <c r="BR9" i="10"/>
  <c r="BQ9" i="10"/>
  <c r="BP9" i="10"/>
  <c r="BO9" i="10"/>
  <c r="BN9" i="10"/>
  <c r="BI9" i="10"/>
  <c r="BH9" i="10"/>
  <c r="BG9" i="10"/>
  <c r="BF9" i="10"/>
  <c r="BA9" i="10"/>
  <c r="AZ9" i="10"/>
  <c r="BD9" i="10" s="1"/>
  <c r="AY9" i="10"/>
  <c r="AX9" i="10"/>
  <c r="AA9" i="10"/>
  <c r="Z9" i="10"/>
  <c r="BC9" i="10" s="1"/>
  <c r="W9" i="10"/>
  <c r="V9" i="10"/>
  <c r="BB9" i="10" s="1"/>
  <c r="BR8" i="10"/>
  <c r="BQ8" i="10"/>
  <c r="AQ8" i="10" s="1"/>
  <c r="BP8" i="10"/>
  <c r="BO8" i="10"/>
  <c r="BN8" i="10"/>
  <c r="BI8" i="10"/>
  <c r="BH8" i="10"/>
  <c r="BG8" i="10"/>
  <c r="BF8" i="10"/>
  <c r="BC8" i="10"/>
  <c r="AZ8" i="10"/>
  <c r="AY8" i="10"/>
  <c r="AX8" i="10"/>
  <c r="AD8" i="10"/>
  <c r="AA8" i="10"/>
  <c r="BK8" i="10" s="1"/>
  <c r="Z8" i="10"/>
  <c r="BS8" i="10" s="1"/>
  <c r="W8" i="10"/>
  <c r="BB8" i="10" s="1"/>
  <c r="V8" i="10"/>
  <c r="BJ8" i="10" s="1"/>
  <c r="S8" i="10"/>
  <c r="R8" i="10"/>
  <c r="BA8" i="10" s="1"/>
  <c r="AE8" i="10" s="1"/>
  <c r="BR7" i="10"/>
  <c r="BO7" i="10"/>
  <c r="BN7" i="10"/>
  <c r="BG7" i="10"/>
  <c r="BF7" i="10"/>
  <c r="AZ7" i="10"/>
  <c r="AY7" i="10"/>
  <c r="AX7" i="10"/>
  <c r="AA7" i="10"/>
  <c r="Z7" i="10"/>
  <c r="BC7" i="10" s="1"/>
  <c r="W7" i="10"/>
  <c r="V7" i="10"/>
  <c r="BB7" i="10" s="1"/>
  <c r="S7" i="10"/>
  <c r="R7" i="10"/>
  <c r="BA7" i="10" s="1"/>
  <c r="AE7" i="10" s="1"/>
  <c r="O7" i="10"/>
  <c r="N7" i="10"/>
  <c r="BP7" i="10" s="1"/>
  <c r="BR6" i="10"/>
  <c r="BQ6" i="10"/>
  <c r="BN6" i="10"/>
  <c r="BI6" i="10"/>
  <c r="BH6" i="10"/>
  <c r="BF6" i="10"/>
  <c r="BC6" i="10"/>
  <c r="AZ6" i="10"/>
  <c r="AY6" i="10"/>
  <c r="AX6" i="10"/>
  <c r="AD6" i="10"/>
  <c r="AA6" i="10"/>
  <c r="BK6" i="10" s="1"/>
  <c r="Z6" i="10"/>
  <c r="BS6" i="10" s="1"/>
  <c r="W6" i="10"/>
  <c r="BB6" i="10" s="1"/>
  <c r="V6" i="10"/>
  <c r="BJ6" i="10" s="1"/>
  <c r="S6" i="10"/>
  <c r="R6" i="10"/>
  <c r="BA6" i="10" s="1"/>
  <c r="O6" i="10"/>
  <c r="N6" i="10"/>
  <c r="BP6" i="10" s="1"/>
  <c r="K6" i="10"/>
  <c r="J6" i="10"/>
  <c r="BO6" i="10" s="1"/>
  <c r="A1" i="10"/>
  <c r="C258" i="8"/>
  <c r="B258" i="8"/>
  <c r="A258" i="8"/>
  <c r="C257" i="8"/>
  <c r="B257" i="8"/>
  <c r="A257" i="8"/>
  <c r="B256" i="8"/>
  <c r="A256" i="8"/>
  <c r="C256" i="8" s="1"/>
  <c r="B255" i="8"/>
  <c r="A255" i="8"/>
  <c r="C255" i="8" s="1"/>
  <c r="C254" i="8"/>
  <c r="B254" i="8"/>
  <c r="A254" i="8"/>
  <c r="C253" i="8"/>
  <c r="B253" i="8"/>
  <c r="A253" i="8"/>
  <c r="B252" i="8"/>
  <c r="A252" i="8"/>
  <c r="C252" i="8" s="1"/>
  <c r="B251" i="8"/>
  <c r="A251" i="8"/>
  <c r="C251" i="8" s="1"/>
  <c r="C250" i="8"/>
  <c r="B250" i="8"/>
  <c r="A250" i="8"/>
  <c r="C249" i="8"/>
  <c r="B249" i="8"/>
  <c r="A249" i="8"/>
  <c r="B248" i="8"/>
  <c r="A248" i="8"/>
  <c r="C248" i="8" s="1"/>
  <c r="B247" i="8"/>
  <c r="A247" i="8"/>
  <c r="C247" i="8" s="1"/>
  <c r="C246" i="8"/>
  <c r="B246" i="8"/>
  <c r="A246" i="8"/>
  <c r="C245" i="8"/>
  <c r="B245" i="8"/>
  <c r="A245" i="8"/>
  <c r="B244" i="8"/>
  <c r="A244" i="8"/>
  <c r="C244" i="8" s="1"/>
  <c r="B243" i="8"/>
  <c r="A243" i="8"/>
  <c r="C243" i="8" s="1"/>
  <c r="C242" i="8"/>
  <c r="B242" i="8"/>
  <c r="A242" i="8"/>
  <c r="C241" i="8"/>
  <c r="B241" i="8"/>
  <c r="A241" i="8"/>
  <c r="B240" i="8"/>
  <c r="A240" i="8"/>
  <c r="C240" i="8" s="1"/>
  <c r="B239" i="8"/>
  <c r="A239" i="8"/>
  <c r="C239" i="8" s="1"/>
  <c r="C238" i="8"/>
  <c r="B238" i="8"/>
  <c r="A238" i="8"/>
  <c r="C237" i="8"/>
  <c r="B237" i="8"/>
  <c r="A237" i="8"/>
  <c r="B236" i="8"/>
  <c r="A236" i="8"/>
  <c r="C236" i="8" s="1"/>
  <c r="B235" i="8"/>
  <c r="A235" i="8"/>
  <c r="C235" i="8" s="1"/>
  <c r="C234" i="8"/>
  <c r="B234" i="8"/>
  <c r="A234" i="8"/>
  <c r="B232" i="8"/>
  <c r="A232" i="8"/>
  <c r="C232" i="8" s="1"/>
  <c r="B231" i="8"/>
  <c r="A231" i="8"/>
  <c r="C231" i="8" s="1"/>
  <c r="C229" i="8"/>
  <c r="B229" i="8"/>
  <c r="A229" i="8"/>
  <c r="B228" i="8"/>
  <c r="A228" i="8"/>
  <c r="C228" i="8" s="1"/>
  <c r="C226" i="8"/>
  <c r="B226" i="8"/>
  <c r="A226" i="8"/>
  <c r="C225" i="8"/>
  <c r="B225" i="8"/>
  <c r="A225" i="8"/>
  <c r="B223" i="8"/>
  <c r="A223" i="8"/>
  <c r="C223" i="8" s="1"/>
  <c r="C222" i="8"/>
  <c r="B222" i="8"/>
  <c r="A222" i="8"/>
  <c r="B220" i="8"/>
  <c r="A220" i="8"/>
  <c r="C220" i="8" s="1"/>
  <c r="B219" i="8"/>
  <c r="A219" i="8"/>
  <c r="C219" i="8" s="1"/>
  <c r="C217" i="8"/>
  <c r="B217" i="8"/>
  <c r="A217" i="8"/>
  <c r="B216" i="8"/>
  <c r="A216" i="8"/>
  <c r="C216" i="8" s="1"/>
  <c r="C214" i="8"/>
  <c r="B214" i="8"/>
  <c r="A214" i="8"/>
  <c r="C213" i="8"/>
  <c r="B213" i="8"/>
  <c r="A213" i="8"/>
  <c r="B211" i="8"/>
  <c r="A211" i="8"/>
  <c r="C211" i="8" s="1"/>
  <c r="C210" i="8"/>
  <c r="B210" i="8"/>
  <c r="A210" i="8"/>
  <c r="B208" i="8"/>
  <c r="A208" i="8"/>
  <c r="C208" i="8" s="1"/>
  <c r="B207" i="8"/>
  <c r="A207" i="8"/>
  <c r="C207" i="8" s="1"/>
  <c r="C205" i="8"/>
  <c r="B205" i="8"/>
  <c r="A205" i="8"/>
  <c r="B204" i="8"/>
  <c r="A204" i="8"/>
  <c r="C204" i="8" s="1"/>
  <c r="C202" i="8"/>
  <c r="B202" i="8"/>
  <c r="A202" i="8"/>
  <c r="C201" i="8"/>
  <c r="B201" i="8"/>
  <c r="A201" i="8"/>
  <c r="B199" i="8"/>
  <c r="A199" i="8"/>
  <c r="C199" i="8" s="1"/>
  <c r="C198" i="8"/>
  <c r="B198" i="8"/>
  <c r="A198" i="8"/>
  <c r="B196" i="8"/>
  <c r="A196" i="8"/>
  <c r="C196" i="8" s="1"/>
  <c r="C194" i="8"/>
  <c r="B194" i="8"/>
  <c r="A194" i="8"/>
  <c r="C193" i="8"/>
  <c r="B193" i="8"/>
  <c r="A193" i="8"/>
  <c r="B59" i="8"/>
  <c r="A59" i="8"/>
  <c r="C59" i="8" s="1"/>
  <c r="C58" i="8"/>
  <c r="B58" i="8"/>
  <c r="A58" i="8"/>
  <c r="C57" i="8"/>
  <c r="B57" i="8"/>
  <c r="A57" i="8"/>
  <c r="B56" i="8"/>
  <c r="A56" i="8"/>
  <c r="C56" i="8" s="1"/>
  <c r="B55" i="8"/>
  <c r="A55" i="8"/>
  <c r="C55" i="8" s="1"/>
  <c r="C54" i="8"/>
  <c r="B54" i="8"/>
  <c r="A54" i="8"/>
  <c r="C53" i="8"/>
  <c r="B53" i="8"/>
  <c r="A53" i="8"/>
  <c r="B52" i="8"/>
  <c r="A52" i="8"/>
  <c r="C52" i="8" s="1"/>
  <c r="B51" i="8"/>
  <c r="A51" i="8"/>
  <c r="C51" i="8" s="1"/>
  <c r="C50" i="8"/>
  <c r="B50" i="8"/>
  <c r="A50" i="8"/>
  <c r="C49" i="8"/>
  <c r="B49" i="8"/>
  <c r="A49" i="8"/>
  <c r="B48" i="8"/>
  <c r="A48" i="8"/>
  <c r="C48" i="8" s="1"/>
  <c r="F580" i="7"/>
  <c r="E580" i="7"/>
  <c r="D580" i="7"/>
  <c r="C580" i="7"/>
  <c r="B580" i="7"/>
  <c r="A580" i="7"/>
  <c r="F579" i="7"/>
  <c r="E579" i="7"/>
  <c r="D579" i="7"/>
  <c r="C579" i="7"/>
  <c r="B579" i="7"/>
  <c r="A579" i="7"/>
  <c r="F578" i="7"/>
  <c r="E578" i="7"/>
  <c r="D578" i="7"/>
  <c r="C578" i="7"/>
  <c r="B578" i="7"/>
  <c r="A578" i="7"/>
  <c r="F577" i="7"/>
  <c r="E577" i="7"/>
  <c r="D577" i="7"/>
  <c r="C577" i="7"/>
  <c r="B577" i="7"/>
  <c r="A577" i="7"/>
  <c r="F576" i="7"/>
  <c r="E576" i="7"/>
  <c r="D576" i="7"/>
  <c r="C576" i="7"/>
  <c r="B576" i="7"/>
  <c r="A576" i="7"/>
  <c r="F575" i="7"/>
  <c r="E575" i="7"/>
  <c r="D575" i="7"/>
  <c r="C575" i="7"/>
  <c r="B575" i="7"/>
  <c r="A575" i="7"/>
  <c r="F574" i="7"/>
  <c r="E574" i="7"/>
  <c r="D574" i="7"/>
  <c r="C574" i="7"/>
  <c r="B574" i="7"/>
  <c r="A574" i="7"/>
  <c r="F573" i="7"/>
  <c r="E573" i="7"/>
  <c r="D573" i="7"/>
  <c r="C573" i="7"/>
  <c r="B573" i="7"/>
  <c r="A573" i="7"/>
  <c r="F572" i="7"/>
  <c r="E572" i="7"/>
  <c r="D572" i="7"/>
  <c r="C572" i="7"/>
  <c r="B572" i="7"/>
  <c r="A572" i="7"/>
  <c r="F571" i="7"/>
  <c r="E571" i="7"/>
  <c r="D571" i="7"/>
  <c r="C571" i="7"/>
  <c r="B571" i="7"/>
  <c r="A571" i="7"/>
  <c r="F570" i="7"/>
  <c r="E570" i="7"/>
  <c r="D570" i="7"/>
  <c r="C570" i="7"/>
  <c r="B570" i="7"/>
  <c r="A570" i="7"/>
  <c r="F569" i="7"/>
  <c r="E569" i="7"/>
  <c r="D569" i="7"/>
  <c r="C569" i="7"/>
  <c r="B569" i="7"/>
  <c r="A569" i="7"/>
  <c r="F568" i="7"/>
  <c r="E568" i="7"/>
  <c r="D568" i="7"/>
  <c r="C568" i="7"/>
  <c r="B568" i="7"/>
  <c r="A568" i="7"/>
  <c r="F567" i="7"/>
  <c r="E567" i="7"/>
  <c r="D567" i="7"/>
  <c r="C567" i="7"/>
  <c r="B567" i="7"/>
  <c r="A567" i="7"/>
  <c r="F566" i="7"/>
  <c r="E566" i="7"/>
  <c r="D566" i="7"/>
  <c r="C566" i="7"/>
  <c r="B566" i="7"/>
  <c r="A566" i="7"/>
  <c r="F565" i="7"/>
  <c r="E565" i="7"/>
  <c r="D565" i="7"/>
  <c r="C565" i="7"/>
  <c r="B565" i="7"/>
  <c r="A565" i="7"/>
  <c r="F564" i="7"/>
  <c r="E564" i="7"/>
  <c r="D564" i="7"/>
  <c r="C564" i="7"/>
  <c r="B564" i="7"/>
  <c r="A564" i="7"/>
  <c r="F563" i="7"/>
  <c r="E563" i="7"/>
  <c r="D563" i="7"/>
  <c r="C563" i="7"/>
  <c r="B563" i="7"/>
  <c r="A563" i="7"/>
  <c r="F562" i="7"/>
  <c r="E562" i="7"/>
  <c r="D562" i="7"/>
  <c r="C562" i="7"/>
  <c r="B562" i="7"/>
  <c r="A562" i="7"/>
  <c r="F561" i="7"/>
  <c r="E561" i="7"/>
  <c r="D561" i="7"/>
  <c r="C561" i="7"/>
  <c r="B561" i="7"/>
  <c r="A561" i="7"/>
  <c r="F560" i="7"/>
  <c r="E560" i="7"/>
  <c r="D560" i="7"/>
  <c r="C560" i="7"/>
  <c r="B560" i="7"/>
  <c r="A560" i="7"/>
  <c r="F559" i="7"/>
  <c r="E559" i="7"/>
  <c r="D559" i="7"/>
  <c r="C559" i="7"/>
  <c r="B559" i="7"/>
  <c r="A559" i="7"/>
  <c r="F558" i="7"/>
  <c r="E558" i="7"/>
  <c r="D558" i="7"/>
  <c r="C558" i="7"/>
  <c r="B558" i="7"/>
  <c r="A558" i="7"/>
  <c r="F557" i="7"/>
  <c r="E557" i="7"/>
  <c r="D557" i="7"/>
  <c r="C557" i="7"/>
  <c r="B557" i="7"/>
  <c r="A557" i="7"/>
  <c r="F556" i="7"/>
  <c r="E556" i="7"/>
  <c r="D556" i="7"/>
  <c r="C556" i="7"/>
  <c r="B556" i="7"/>
  <c r="A556" i="7"/>
  <c r="F555" i="7"/>
  <c r="E555" i="7"/>
  <c r="D555" i="7"/>
  <c r="C555" i="7"/>
  <c r="B555" i="7"/>
  <c r="A555" i="7"/>
  <c r="F554" i="7"/>
  <c r="E554" i="7"/>
  <c r="D554" i="7"/>
  <c r="C554" i="7"/>
  <c r="B554" i="7"/>
  <c r="A554" i="7"/>
  <c r="F553" i="7"/>
  <c r="E553" i="7"/>
  <c r="D553" i="7"/>
  <c r="C553" i="7"/>
  <c r="B553" i="7"/>
  <c r="A553" i="7"/>
  <c r="F552" i="7"/>
  <c r="E552" i="7"/>
  <c r="D552" i="7"/>
  <c r="C552" i="7"/>
  <c r="B552" i="7"/>
  <c r="A552" i="7"/>
  <c r="F551" i="7"/>
  <c r="E551" i="7"/>
  <c r="D551" i="7"/>
  <c r="C551" i="7"/>
  <c r="B551" i="7"/>
  <c r="A551" i="7"/>
  <c r="F550" i="7"/>
  <c r="E550" i="7"/>
  <c r="D550" i="7"/>
  <c r="C550" i="7"/>
  <c r="B550" i="7"/>
  <c r="A550" i="7"/>
  <c r="F549" i="7"/>
  <c r="E549" i="7"/>
  <c r="D549" i="7"/>
  <c r="C549" i="7"/>
  <c r="B549" i="7"/>
  <c r="A549" i="7"/>
  <c r="F548" i="7"/>
  <c r="E548" i="7"/>
  <c r="D548" i="7"/>
  <c r="C548" i="7"/>
  <c r="B548" i="7"/>
  <c r="A548" i="7"/>
  <c r="F547" i="7"/>
  <c r="E547" i="7"/>
  <c r="D547" i="7"/>
  <c r="C547" i="7"/>
  <c r="B547" i="7"/>
  <c r="A547" i="7"/>
  <c r="F546" i="7"/>
  <c r="E546" i="7"/>
  <c r="D546" i="7"/>
  <c r="C546" i="7"/>
  <c r="B546" i="7"/>
  <c r="A546" i="7"/>
  <c r="F545" i="7"/>
  <c r="E545" i="7"/>
  <c r="D545" i="7"/>
  <c r="C545" i="7"/>
  <c r="B545" i="7"/>
  <c r="A545" i="7"/>
  <c r="F544" i="7"/>
  <c r="E544" i="7"/>
  <c r="D544" i="7"/>
  <c r="C544" i="7"/>
  <c r="B544" i="7"/>
  <c r="A544" i="7"/>
  <c r="F543" i="7"/>
  <c r="E543" i="7"/>
  <c r="D543" i="7"/>
  <c r="C543" i="7"/>
  <c r="B543" i="7"/>
  <c r="A543" i="7"/>
  <c r="F542" i="7"/>
  <c r="E542" i="7"/>
  <c r="D542" i="7"/>
  <c r="C542" i="7"/>
  <c r="B542" i="7"/>
  <c r="A542" i="7"/>
  <c r="F541" i="7"/>
  <c r="E541" i="7"/>
  <c r="D541" i="7"/>
  <c r="C541" i="7"/>
  <c r="B541" i="7"/>
  <c r="A541" i="7"/>
  <c r="F540" i="7"/>
  <c r="E540" i="7"/>
  <c r="D540" i="7"/>
  <c r="C540" i="7"/>
  <c r="B540" i="7"/>
  <c r="A540" i="7"/>
  <c r="F539" i="7"/>
  <c r="E539" i="7"/>
  <c r="D539" i="7"/>
  <c r="C539" i="7"/>
  <c r="B539" i="7"/>
  <c r="A539" i="7"/>
  <c r="F538" i="7"/>
  <c r="E538" i="7"/>
  <c r="D538" i="7"/>
  <c r="C538" i="7"/>
  <c r="B538" i="7"/>
  <c r="A538" i="7"/>
  <c r="F537" i="7"/>
  <c r="E537" i="7"/>
  <c r="D537" i="7"/>
  <c r="C537" i="7"/>
  <c r="B537" i="7"/>
  <c r="A537" i="7"/>
  <c r="F536" i="7"/>
  <c r="E536" i="7"/>
  <c r="D536" i="7"/>
  <c r="C536" i="7"/>
  <c r="B536" i="7"/>
  <c r="A536" i="7"/>
  <c r="F535" i="7"/>
  <c r="E535" i="7"/>
  <c r="D535" i="7"/>
  <c r="C535" i="7"/>
  <c r="B535" i="7"/>
  <c r="A535" i="7"/>
  <c r="F534" i="7"/>
  <c r="E534" i="7"/>
  <c r="D534" i="7"/>
  <c r="C534" i="7"/>
  <c r="B534" i="7"/>
  <c r="A534" i="7"/>
  <c r="F533" i="7"/>
  <c r="E533" i="7"/>
  <c r="D533" i="7"/>
  <c r="C533" i="7"/>
  <c r="B533" i="7"/>
  <c r="A533" i="7"/>
  <c r="F532" i="7"/>
  <c r="E532" i="7"/>
  <c r="D532" i="7"/>
  <c r="C532" i="7"/>
  <c r="B532" i="7"/>
  <c r="A532" i="7"/>
  <c r="F531" i="7"/>
  <c r="E531" i="7"/>
  <c r="D531" i="7"/>
  <c r="C531" i="7"/>
  <c r="B531" i="7"/>
  <c r="A531" i="7"/>
  <c r="F530" i="7"/>
  <c r="E530" i="7"/>
  <c r="D530" i="7"/>
  <c r="C530" i="7"/>
  <c r="B530" i="7"/>
  <c r="A530" i="7"/>
  <c r="F529" i="7"/>
  <c r="E529" i="7"/>
  <c r="D529" i="7"/>
  <c r="C529" i="7"/>
  <c r="B529" i="7"/>
  <c r="A529" i="7"/>
  <c r="F528" i="7"/>
  <c r="E528" i="7"/>
  <c r="D528" i="7"/>
  <c r="C528" i="7"/>
  <c r="B528" i="7"/>
  <c r="A528" i="7"/>
  <c r="F527" i="7"/>
  <c r="E527" i="7"/>
  <c r="D527" i="7"/>
  <c r="C527" i="7"/>
  <c r="B527" i="7"/>
  <c r="A527" i="7"/>
  <c r="F526" i="7"/>
  <c r="E526" i="7"/>
  <c r="D526" i="7"/>
  <c r="C526" i="7"/>
  <c r="B526" i="7"/>
  <c r="A526" i="7"/>
  <c r="F525" i="7"/>
  <c r="E525" i="7"/>
  <c r="D525" i="7"/>
  <c r="C525" i="7"/>
  <c r="B525" i="7"/>
  <c r="A525" i="7"/>
  <c r="F524" i="7"/>
  <c r="E524" i="7"/>
  <c r="D524" i="7"/>
  <c r="C524" i="7"/>
  <c r="B524" i="7"/>
  <c r="A524" i="7"/>
  <c r="F523" i="7"/>
  <c r="E523" i="7"/>
  <c r="D523" i="7"/>
  <c r="C523" i="7"/>
  <c r="B523" i="7"/>
  <c r="A523" i="7"/>
  <c r="F522" i="7"/>
  <c r="E522" i="7"/>
  <c r="D522" i="7"/>
  <c r="C522" i="7"/>
  <c r="B522" i="7"/>
  <c r="A522" i="7"/>
  <c r="F521" i="7"/>
  <c r="E521" i="7"/>
  <c r="D521" i="7"/>
  <c r="C521" i="7"/>
  <c r="B521" i="7"/>
  <c r="A521" i="7"/>
  <c r="F520" i="7"/>
  <c r="E520" i="7"/>
  <c r="D520" i="7"/>
  <c r="C520" i="7"/>
  <c r="B520" i="7"/>
  <c r="A520" i="7"/>
  <c r="F519" i="7"/>
  <c r="E519" i="7"/>
  <c r="D519" i="7"/>
  <c r="C519" i="7"/>
  <c r="B519" i="7"/>
  <c r="A519" i="7"/>
  <c r="F518" i="7"/>
  <c r="E518" i="7"/>
  <c r="D518" i="7"/>
  <c r="C518" i="7"/>
  <c r="B518" i="7"/>
  <c r="A518" i="7"/>
  <c r="F517" i="7"/>
  <c r="E517" i="7"/>
  <c r="D517" i="7"/>
  <c r="C517" i="7"/>
  <c r="B517" i="7"/>
  <c r="A517" i="7"/>
  <c r="F516" i="7"/>
  <c r="E516" i="7"/>
  <c r="D516" i="7"/>
  <c r="C516" i="7"/>
  <c r="B516" i="7"/>
  <c r="A516" i="7"/>
  <c r="F515" i="7"/>
  <c r="E515" i="7"/>
  <c r="D515" i="7"/>
  <c r="C515" i="7"/>
  <c r="B515" i="7"/>
  <c r="A515" i="7"/>
  <c r="F514" i="7"/>
  <c r="E514" i="7"/>
  <c r="D514" i="7"/>
  <c r="C514" i="7"/>
  <c r="B514" i="7"/>
  <c r="A514" i="7"/>
  <c r="F513" i="7"/>
  <c r="E513" i="7"/>
  <c r="D513" i="7"/>
  <c r="C513" i="7"/>
  <c r="B513" i="7"/>
  <c r="A513" i="7"/>
  <c r="F512" i="7"/>
  <c r="E512" i="7"/>
  <c r="D512" i="7"/>
  <c r="C512" i="7"/>
  <c r="B512" i="7"/>
  <c r="A512" i="7"/>
  <c r="F511" i="7"/>
  <c r="E511" i="7"/>
  <c r="D511" i="7"/>
  <c r="C511" i="7"/>
  <c r="B511" i="7"/>
  <c r="A511" i="7"/>
  <c r="F510" i="7"/>
  <c r="E510" i="7"/>
  <c r="D510" i="7"/>
  <c r="C510" i="7"/>
  <c r="B510" i="7"/>
  <c r="A510" i="7"/>
  <c r="F509" i="7"/>
  <c r="E509" i="7"/>
  <c r="D509" i="7"/>
  <c r="C509" i="7"/>
  <c r="B509" i="7"/>
  <c r="A509" i="7"/>
  <c r="F508" i="7"/>
  <c r="E508" i="7"/>
  <c r="D508" i="7"/>
  <c r="C508" i="7"/>
  <c r="B508" i="7"/>
  <c r="A508" i="7"/>
  <c r="F507" i="7"/>
  <c r="E507" i="7"/>
  <c r="D507" i="7"/>
  <c r="C507" i="7"/>
  <c r="B507" i="7"/>
  <c r="A507" i="7"/>
  <c r="F506" i="7"/>
  <c r="E506" i="7"/>
  <c r="D506" i="7"/>
  <c r="C506" i="7"/>
  <c r="B506" i="7"/>
  <c r="A506" i="7"/>
  <c r="F505" i="7"/>
  <c r="E505" i="7"/>
  <c r="D505" i="7"/>
  <c r="C505" i="7"/>
  <c r="B505" i="7"/>
  <c r="A505" i="7"/>
  <c r="F504" i="7"/>
  <c r="E504" i="7"/>
  <c r="D504" i="7"/>
  <c r="C504" i="7"/>
  <c r="B504" i="7"/>
  <c r="A504" i="7"/>
  <c r="F503" i="7"/>
  <c r="E503" i="7"/>
  <c r="D503" i="7"/>
  <c r="C503" i="7"/>
  <c r="B503" i="7"/>
  <c r="A503" i="7"/>
  <c r="F502" i="7"/>
  <c r="E502" i="7"/>
  <c r="D502" i="7"/>
  <c r="C502" i="7"/>
  <c r="B502" i="7"/>
  <c r="A502" i="7"/>
  <c r="F501" i="7"/>
  <c r="E501" i="7"/>
  <c r="D501" i="7"/>
  <c r="C501" i="7"/>
  <c r="B501" i="7"/>
  <c r="A501" i="7"/>
  <c r="F500" i="7"/>
  <c r="E500" i="7"/>
  <c r="D500" i="7"/>
  <c r="C500" i="7"/>
  <c r="B500" i="7"/>
  <c r="A500" i="7"/>
  <c r="F499" i="7"/>
  <c r="E499" i="7"/>
  <c r="D499" i="7"/>
  <c r="C499" i="7"/>
  <c r="B499" i="7"/>
  <c r="A499" i="7"/>
  <c r="F498" i="7"/>
  <c r="E498" i="7"/>
  <c r="D498" i="7"/>
  <c r="C498" i="7"/>
  <c r="B498" i="7"/>
  <c r="A498" i="7"/>
  <c r="F497" i="7"/>
  <c r="E497" i="7"/>
  <c r="D497" i="7"/>
  <c r="C497" i="7"/>
  <c r="B497" i="7"/>
  <c r="A497" i="7"/>
  <c r="F496" i="7"/>
  <c r="E496" i="7"/>
  <c r="D496" i="7"/>
  <c r="C496" i="7"/>
  <c r="B496" i="7"/>
  <c r="A496" i="7"/>
  <c r="F495" i="7"/>
  <c r="E495" i="7"/>
  <c r="D495" i="7"/>
  <c r="C495" i="7"/>
  <c r="B495" i="7"/>
  <c r="A495" i="7"/>
  <c r="F494" i="7"/>
  <c r="E494" i="7"/>
  <c r="D494" i="7"/>
  <c r="C494" i="7"/>
  <c r="B494" i="7"/>
  <c r="A494" i="7"/>
  <c r="F493" i="7"/>
  <c r="E493" i="7"/>
  <c r="D493" i="7"/>
  <c r="C493" i="7"/>
  <c r="B493" i="7"/>
  <c r="A493" i="7"/>
  <c r="F492" i="7"/>
  <c r="E492" i="7"/>
  <c r="D492" i="7"/>
  <c r="C492" i="7"/>
  <c r="B492" i="7"/>
  <c r="A492" i="7"/>
  <c r="F491" i="7"/>
  <c r="E491" i="7"/>
  <c r="D491" i="7"/>
  <c r="C491" i="7"/>
  <c r="B491" i="7"/>
  <c r="A491" i="7"/>
  <c r="F490" i="7"/>
  <c r="E490" i="7"/>
  <c r="D490" i="7"/>
  <c r="C490" i="7"/>
  <c r="B490" i="7"/>
  <c r="A490" i="7"/>
  <c r="F489" i="7"/>
  <c r="E489" i="7"/>
  <c r="D489" i="7"/>
  <c r="C489" i="7"/>
  <c r="B489" i="7"/>
  <c r="A489" i="7"/>
  <c r="F488" i="7"/>
  <c r="E488" i="7"/>
  <c r="D488" i="7"/>
  <c r="C488" i="7"/>
  <c r="B488" i="7"/>
  <c r="A488" i="7"/>
  <c r="F487" i="7"/>
  <c r="E487" i="7"/>
  <c r="D487" i="7"/>
  <c r="C487" i="7"/>
  <c r="B487" i="7"/>
  <c r="A487" i="7"/>
  <c r="F486" i="7"/>
  <c r="E486" i="7"/>
  <c r="D486" i="7"/>
  <c r="C486" i="7"/>
  <c r="B486" i="7"/>
  <c r="A486" i="7"/>
  <c r="F485" i="7"/>
  <c r="E485" i="7"/>
  <c r="D485" i="7"/>
  <c r="C485" i="7"/>
  <c r="B485" i="7"/>
  <c r="A485" i="7"/>
  <c r="F484" i="7"/>
  <c r="E484" i="7"/>
  <c r="D484" i="7"/>
  <c r="C484" i="7"/>
  <c r="B484" i="7"/>
  <c r="A484" i="7"/>
  <c r="F483" i="7"/>
  <c r="E483" i="7"/>
  <c r="D483" i="7"/>
  <c r="C483" i="7"/>
  <c r="B483" i="7"/>
  <c r="A483" i="7"/>
  <c r="F482" i="7"/>
  <c r="E482" i="7"/>
  <c r="D482" i="7"/>
  <c r="C482" i="7"/>
  <c r="B482" i="7"/>
  <c r="A482" i="7"/>
  <c r="F481" i="7"/>
  <c r="E481" i="7"/>
  <c r="D481" i="7"/>
  <c r="C481" i="7"/>
  <c r="B481" i="7"/>
  <c r="A481" i="7"/>
  <c r="F480" i="7"/>
  <c r="E480" i="7"/>
  <c r="D480" i="7"/>
  <c r="C480" i="7"/>
  <c r="B480" i="7"/>
  <c r="A480" i="7"/>
  <c r="F479" i="7"/>
  <c r="E479" i="7"/>
  <c r="D479" i="7"/>
  <c r="C479" i="7"/>
  <c r="B479" i="7"/>
  <c r="A479" i="7"/>
  <c r="F478" i="7"/>
  <c r="E478" i="7"/>
  <c r="D478" i="7"/>
  <c r="C478" i="7"/>
  <c r="B478" i="7"/>
  <c r="A478" i="7"/>
  <c r="F477" i="7"/>
  <c r="E477" i="7"/>
  <c r="D477" i="7"/>
  <c r="C477" i="7"/>
  <c r="B477" i="7"/>
  <c r="A477" i="7"/>
  <c r="F476" i="7"/>
  <c r="E476" i="7"/>
  <c r="D476" i="7"/>
  <c r="C476" i="7"/>
  <c r="B476" i="7"/>
  <c r="A476" i="7"/>
  <c r="F475" i="7"/>
  <c r="E475" i="7"/>
  <c r="D475" i="7"/>
  <c r="C475" i="7"/>
  <c r="B475" i="7"/>
  <c r="A475" i="7"/>
  <c r="F474" i="7"/>
  <c r="E474" i="7"/>
  <c r="D474" i="7"/>
  <c r="C474" i="7"/>
  <c r="B474" i="7"/>
  <c r="A474" i="7"/>
  <c r="F473" i="7"/>
  <c r="E473" i="7"/>
  <c r="D473" i="7"/>
  <c r="C473" i="7"/>
  <c r="B473" i="7"/>
  <c r="A473" i="7"/>
  <c r="F472" i="7"/>
  <c r="E472" i="7"/>
  <c r="D472" i="7"/>
  <c r="C472" i="7"/>
  <c r="B472" i="7"/>
  <c r="A472" i="7"/>
  <c r="F471" i="7"/>
  <c r="E471" i="7"/>
  <c r="D471" i="7"/>
  <c r="C471" i="7"/>
  <c r="B471" i="7"/>
  <c r="A471" i="7"/>
  <c r="F470" i="7"/>
  <c r="E470" i="7"/>
  <c r="D470" i="7"/>
  <c r="C470" i="7"/>
  <c r="B470" i="7"/>
  <c r="A470" i="7"/>
  <c r="F469" i="7"/>
  <c r="E469" i="7"/>
  <c r="D469" i="7"/>
  <c r="C469" i="7"/>
  <c r="B469" i="7"/>
  <c r="A469" i="7"/>
  <c r="F468" i="7"/>
  <c r="E468" i="7"/>
  <c r="D468" i="7"/>
  <c r="C468" i="7"/>
  <c r="B468" i="7"/>
  <c r="A468" i="7"/>
  <c r="F467" i="7"/>
  <c r="E467" i="7"/>
  <c r="D467" i="7"/>
  <c r="C467" i="7"/>
  <c r="B467" i="7"/>
  <c r="A467" i="7"/>
  <c r="F466" i="7"/>
  <c r="E466" i="7"/>
  <c r="D466" i="7"/>
  <c r="C466" i="7"/>
  <c r="B466" i="7"/>
  <c r="A466" i="7"/>
  <c r="F465" i="7"/>
  <c r="E465" i="7"/>
  <c r="D465" i="7"/>
  <c r="C465" i="7"/>
  <c r="B465" i="7"/>
  <c r="A465" i="7"/>
  <c r="F464" i="7"/>
  <c r="E464" i="7"/>
  <c r="D464" i="7"/>
  <c r="C464" i="7"/>
  <c r="B464" i="7"/>
  <c r="A464" i="7"/>
  <c r="F463" i="7"/>
  <c r="E463" i="7"/>
  <c r="D463" i="7"/>
  <c r="C463" i="7"/>
  <c r="B463" i="7"/>
  <c r="A463" i="7"/>
  <c r="F462" i="7"/>
  <c r="E462" i="7"/>
  <c r="D462" i="7"/>
  <c r="C462" i="7"/>
  <c r="B462" i="7"/>
  <c r="A462" i="7"/>
  <c r="F461" i="7"/>
  <c r="E461" i="7"/>
  <c r="D461" i="7"/>
  <c r="C461" i="7"/>
  <c r="B461" i="7"/>
  <c r="A461" i="7"/>
  <c r="F460" i="7"/>
  <c r="E460" i="7"/>
  <c r="D460" i="7"/>
  <c r="C460" i="7"/>
  <c r="B460" i="7"/>
  <c r="A460" i="7"/>
  <c r="F459" i="7"/>
  <c r="E459" i="7"/>
  <c r="D459" i="7"/>
  <c r="C459" i="7"/>
  <c r="B459" i="7"/>
  <c r="A459" i="7"/>
  <c r="F458" i="7"/>
  <c r="E458" i="7"/>
  <c r="D458" i="7"/>
  <c r="C458" i="7"/>
  <c r="B458" i="7"/>
  <c r="A458" i="7"/>
  <c r="F457" i="7"/>
  <c r="E457" i="7"/>
  <c r="D457" i="7"/>
  <c r="C457" i="7"/>
  <c r="B457" i="7"/>
  <c r="A457" i="7"/>
  <c r="F456" i="7"/>
  <c r="E456" i="7"/>
  <c r="D456" i="7"/>
  <c r="C456" i="7"/>
  <c r="B456" i="7"/>
  <c r="A456" i="7"/>
  <c r="F455" i="7"/>
  <c r="E455" i="7"/>
  <c r="D455" i="7"/>
  <c r="C455" i="7"/>
  <c r="B455" i="7"/>
  <c r="A455" i="7"/>
  <c r="F454" i="7"/>
  <c r="E454" i="7"/>
  <c r="D454" i="7"/>
  <c r="C454" i="7"/>
  <c r="B454" i="7"/>
  <c r="A454" i="7"/>
  <c r="F453" i="7"/>
  <c r="E453" i="7"/>
  <c r="D453" i="7"/>
  <c r="C453" i="7"/>
  <c r="B453" i="7"/>
  <c r="A453" i="7"/>
  <c r="F452" i="7"/>
  <c r="E452" i="7"/>
  <c r="D452" i="7"/>
  <c r="C452" i="7"/>
  <c r="B452" i="7"/>
  <c r="A452" i="7"/>
  <c r="F451" i="7"/>
  <c r="E451" i="7"/>
  <c r="D451" i="7"/>
  <c r="C451" i="7"/>
  <c r="B451" i="7"/>
  <c r="A451" i="7"/>
  <c r="F450" i="7"/>
  <c r="E450" i="7"/>
  <c r="D450" i="7"/>
  <c r="C450" i="7"/>
  <c r="B450" i="7"/>
  <c r="A450" i="7"/>
  <c r="F449" i="7"/>
  <c r="E449" i="7"/>
  <c r="D449" i="7"/>
  <c r="C449" i="7"/>
  <c r="B449" i="7"/>
  <c r="A449" i="7"/>
  <c r="F448" i="7"/>
  <c r="E448" i="7"/>
  <c r="D448" i="7"/>
  <c r="C448" i="7"/>
  <c r="B448" i="7"/>
  <c r="A448" i="7"/>
  <c r="F447" i="7"/>
  <c r="E447" i="7"/>
  <c r="D447" i="7"/>
  <c r="C447" i="7"/>
  <c r="B447" i="7"/>
  <c r="A447" i="7"/>
  <c r="F446" i="7"/>
  <c r="E446" i="7"/>
  <c r="D446" i="7"/>
  <c r="C446" i="7"/>
  <c r="B446" i="7"/>
  <c r="A446" i="7"/>
  <c r="F445" i="7"/>
  <c r="E445" i="7"/>
  <c r="D445" i="7"/>
  <c r="C445" i="7"/>
  <c r="B445" i="7"/>
  <c r="A445" i="7"/>
  <c r="F444" i="7"/>
  <c r="E444" i="7"/>
  <c r="D444" i="7"/>
  <c r="C444" i="7"/>
  <c r="B444" i="7"/>
  <c r="A444" i="7"/>
  <c r="F443" i="7"/>
  <c r="E443" i="7"/>
  <c r="D443" i="7"/>
  <c r="C443" i="7"/>
  <c r="B443" i="7"/>
  <c r="A443" i="7"/>
  <c r="F442" i="7"/>
  <c r="E442" i="7"/>
  <c r="D442" i="7"/>
  <c r="C442" i="7"/>
  <c r="B442" i="7"/>
  <c r="A442" i="7"/>
  <c r="F441" i="7"/>
  <c r="E441" i="7"/>
  <c r="D441" i="7"/>
  <c r="C441" i="7"/>
  <c r="B441" i="7"/>
  <c r="A441" i="7"/>
  <c r="F440" i="7"/>
  <c r="E440" i="7"/>
  <c r="D440" i="7"/>
  <c r="C440" i="7"/>
  <c r="B440" i="7"/>
  <c r="A440" i="7"/>
  <c r="F439" i="7"/>
  <c r="E439" i="7"/>
  <c r="D439" i="7"/>
  <c r="C439" i="7"/>
  <c r="B439" i="7"/>
  <c r="A439" i="7"/>
  <c r="F438" i="7"/>
  <c r="E438" i="7"/>
  <c r="D438" i="7"/>
  <c r="C438" i="7"/>
  <c r="B438" i="7"/>
  <c r="A438" i="7"/>
  <c r="F437" i="7"/>
  <c r="E437" i="7"/>
  <c r="D437" i="7"/>
  <c r="C437" i="7"/>
  <c r="B437" i="7"/>
  <c r="A437" i="7"/>
  <c r="F436" i="7"/>
  <c r="E436" i="7"/>
  <c r="D436" i="7"/>
  <c r="C436" i="7"/>
  <c r="B436" i="7"/>
  <c r="A436" i="7"/>
  <c r="F435" i="7"/>
  <c r="E435" i="7"/>
  <c r="D435" i="7"/>
  <c r="C435" i="7"/>
  <c r="B435" i="7"/>
  <c r="A435" i="7"/>
  <c r="F434" i="7"/>
  <c r="E434" i="7"/>
  <c r="D434" i="7"/>
  <c r="C434" i="7"/>
  <c r="B434" i="7"/>
  <c r="A434" i="7"/>
  <c r="F433" i="7"/>
  <c r="E433" i="7"/>
  <c r="D433" i="7"/>
  <c r="C433" i="7"/>
  <c r="B433" i="7"/>
  <c r="A433" i="7"/>
  <c r="F432" i="7"/>
  <c r="E432" i="7"/>
  <c r="D432" i="7"/>
  <c r="C432" i="7"/>
  <c r="B432" i="7"/>
  <c r="A432" i="7"/>
  <c r="F431" i="7"/>
  <c r="E431" i="7"/>
  <c r="D431" i="7"/>
  <c r="C431" i="7"/>
  <c r="B431" i="7"/>
  <c r="A431" i="7"/>
  <c r="F430" i="7"/>
  <c r="E430" i="7"/>
  <c r="D430" i="7"/>
  <c r="C430" i="7"/>
  <c r="B430" i="7"/>
  <c r="A430" i="7"/>
  <c r="F429" i="7"/>
  <c r="E429" i="7"/>
  <c r="D429" i="7"/>
  <c r="C429" i="7"/>
  <c r="B429" i="7"/>
  <c r="A429" i="7"/>
  <c r="F428" i="7"/>
  <c r="E428" i="7"/>
  <c r="D428" i="7"/>
  <c r="C428" i="7"/>
  <c r="B428" i="7"/>
  <c r="A428" i="7"/>
  <c r="F427" i="7"/>
  <c r="E427" i="7"/>
  <c r="D427" i="7"/>
  <c r="C427" i="7"/>
  <c r="B427" i="7"/>
  <c r="A427" i="7"/>
  <c r="F426" i="7"/>
  <c r="E426" i="7"/>
  <c r="D426" i="7"/>
  <c r="C426" i="7"/>
  <c r="B426" i="7"/>
  <c r="A426" i="7"/>
  <c r="F425" i="7"/>
  <c r="E425" i="7"/>
  <c r="D425" i="7"/>
  <c r="C425" i="7"/>
  <c r="B425" i="7"/>
  <c r="A425" i="7"/>
  <c r="F424" i="7"/>
  <c r="E424" i="7"/>
  <c r="D424" i="7"/>
  <c r="C424" i="7"/>
  <c r="B424" i="7"/>
  <c r="A424" i="7"/>
  <c r="F423" i="7"/>
  <c r="E423" i="7"/>
  <c r="D423" i="7"/>
  <c r="C423" i="7"/>
  <c r="B423" i="7"/>
  <c r="A423" i="7"/>
  <c r="F422" i="7"/>
  <c r="E422" i="7"/>
  <c r="D422" i="7"/>
  <c r="C422" i="7"/>
  <c r="B422" i="7"/>
  <c r="A422" i="7"/>
  <c r="F421" i="7"/>
  <c r="E421" i="7"/>
  <c r="D421" i="7"/>
  <c r="C421" i="7"/>
  <c r="B421" i="7"/>
  <c r="A421" i="7"/>
  <c r="F420" i="7"/>
  <c r="E420" i="7"/>
  <c r="D420" i="7"/>
  <c r="C420" i="7"/>
  <c r="B420" i="7"/>
  <c r="A420" i="7"/>
  <c r="F419" i="7"/>
  <c r="E419" i="7"/>
  <c r="D419" i="7"/>
  <c r="C419" i="7"/>
  <c r="B419" i="7"/>
  <c r="A419" i="7"/>
  <c r="F418" i="7"/>
  <c r="E418" i="7"/>
  <c r="D418" i="7"/>
  <c r="C418" i="7"/>
  <c r="B418" i="7"/>
  <c r="A418" i="7"/>
  <c r="F417" i="7"/>
  <c r="E417" i="7"/>
  <c r="D417" i="7"/>
  <c r="C417" i="7"/>
  <c r="B417" i="7"/>
  <c r="A417" i="7"/>
  <c r="F416" i="7"/>
  <c r="E416" i="7"/>
  <c r="D416" i="7"/>
  <c r="C416" i="7"/>
  <c r="B416" i="7"/>
  <c r="A416" i="7"/>
  <c r="F415" i="7"/>
  <c r="E415" i="7"/>
  <c r="D415" i="7"/>
  <c r="C415" i="7"/>
  <c r="B415" i="7"/>
  <c r="A415" i="7"/>
  <c r="F414" i="7"/>
  <c r="E414" i="7"/>
  <c r="D414" i="7"/>
  <c r="C414" i="7"/>
  <c r="B414" i="7"/>
  <c r="A414" i="7"/>
  <c r="F413" i="7"/>
  <c r="E413" i="7"/>
  <c r="D413" i="7"/>
  <c r="C413" i="7"/>
  <c r="B413" i="7"/>
  <c r="A413" i="7"/>
  <c r="F412" i="7"/>
  <c r="E412" i="7"/>
  <c r="D412" i="7"/>
  <c r="C412" i="7"/>
  <c r="B412" i="7"/>
  <c r="A412" i="7"/>
  <c r="F411" i="7"/>
  <c r="E411" i="7"/>
  <c r="D411" i="7"/>
  <c r="C411" i="7"/>
  <c r="B411" i="7"/>
  <c r="A411" i="7"/>
  <c r="F410" i="7"/>
  <c r="E410" i="7"/>
  <c r="D410" i="7"/>
  <c r="C410" i="7"/>
  <c r="B410" i="7"/>
  <c r="A410" i="7"/>
  <c r="F409" i="7"/>
  <c r="E409" i="7"/>
  <c r="D409" i="7"/>
  <c r="C409" i="7"/>
  <c r="B409" i="7"/>
  <c r="A409" i="7"/>
  <c r="F408" i="7"/>
  <c r="E408" i="7"/>
  <c r="D408" i="7"/>
  <c r="C408" i="7"/>
  <c r="B408" i="7"/>
  <c r="A408" i="7"/>
  <c r="F407" i="7"/>
  <c r="E407" i="7"/>
  <c r="D407" i="7"/>
  <c r="C407" i="7"/>
  <c r="B407" i="7"/>
  <c r="A407" i="7"/>
  <c r="F406" i="7"/>
  <c r="E406" i="7"/>
  <c r="D406" i="7"/>
  <c r="C406" i="7"/>
  <c r="B406" i="7"/>
  <c r="A406" i="7"/>
  <c r="F405" i="7"/>
  <c r="E405" i="7"/>
  <c r="D405" i="7"/>
  <c r="C405" i="7"/>
  <c r="B405" i="7"/>
  <c r="A405" i="7"/>
  <c r="F404" i="7"/>
  <c r="E404" i="7"/>
  <c r="D404" i="7"/>
  <c r="C404" i="7"/>
  <c r="B404" i="7"/>
  <c r="A404" i="7"/>
  <c r="F403" i="7"/>
  <c r="E403" i="7"/>
  <c r="D403" i="7"/>
  <c r="C403" i="7"/>
  <c r="B403" i="7"/>
  <c r="A403" i="7"/>
  <c r="F402" i="7"/>
  <c r="E402" i="7"/>
  <c r="D402" i="7"/>
  <c r="C402" i="7"/>
  <c r="B402" i="7"/>
  <c r="A402" i="7"/>
  <c r="F401" i="7"/>
  <c r="E401" i="7"/>
  <c r="D401" i="7"/>
  <c r="C401" i="7"/>
  <c r="B401" i="7"/>
  <c r="A401" i="7"/>
  <c r="F400" i="7"/>
  <c r="E400" i="7"/>
  <c r="D400" i="7"/>
  <c r="C400" i="7"/>
  <c r="B400" i="7"/>
  <c r="A400" i="7"/>
  <c r="F399" i="7"/>
  <c r="E399" i="7"/>
  <c r="D399" i="7"/>
  <c r="C399" i="7"/>
  <c r="B399" i="7"/>
  <c r="A399" i="7"/>
  <c r="F398" i="7"/>
  <c r="E398" i="7"/>
  <c r="D398" i="7"/>
  <c r="C398" i="7"/>
  <c r="B398" i="7"/>
  <c r="A398" i="7"/>
  <c r="F397" i="7"/>
  <c r="E397" i="7"/>
  <c r="D397" i="7"/>
  <c r="C397" i="7"/>
  <c r="B397" i="7"/>
  <c r="A397" i="7"/>
  <c r="F396" i="7"/>
  <c r="E396" i="7"/>
  <c r="D396" i="7"/>
  <c r="C396" i="7"/>
  <c r="B396" i="7"/>
  <c r="A396" i="7"/>
  <c r="F395" i="7"/>
  <c r="E395" i="7"/>
  <c r="D395" i="7"/>
  <c r="C395" i="7"/>
  <c r="B395" i="7"/>
  <c r="A395" i="7"/>
  <c r="F394" i="7"/>
  <c r="E394" i="7"/>
  <c r="D394" i="7"/>
  <c r="C394" i="7"/>
  <c r="B394" i="7"/>
  <c r="A394" i="7"/>
  <c r="F393" i="7"/>
  <c r="E393" i="7"/>
  <c r="D393" i="7"/>
  <c r="C393" i="7"/>
  <c r="B393" i="7"/>
  <c r="A393" i="7"/>
  <c r="F392" i="7"/>
  <c r="E392" i="7"/>
  <c r="D392" i="7"/>
  <c r="C392" i="7"/>
  <c r="B392" i="7"/>
  <c r="A392" i="7"/>
  <c r="F391" i="7"/>
  <c r="E391" i="7"/>
  <c r="D391" i="7"/>
  <c r="C391" i="7"/>
  <c r="B391" i="7"/>
  <c r="A391" i="7"/>
  <c r="F390" i="7"/>
  <c r="E390" i="7"/>
  <c r="D390" i="7"/>
  <c r="C390" i="7"/>
  <c r="B390" i="7"/>
  <c r="A390" i="7"/>
  <c r="F389" i="7"/>
  <c r="E389" i="7"/>
  <c r="D389" i="7"/>
  <c r="C389" i="7"/>
  <c r="B389" i="7"/>
  <c r="A389" i="7"/>
  <c r="F388" i="7"/>
  <c r="E388" i="7"/>
  <c r="D388" i="7"/>
  <c r="C388" i="7"/>
  <c r="B388" i="7"/>
  <c r="A388" i="7"/>
  <c r="F387" i="7"/>
  <c r="E387" i="7"/>
  <c r="D387" i="7"/>
  <c r="C387" i="7"/>
  <c r="B387" i="7"/>
  <c r="A387" i="7"/>
  <c r="F386" i="7"/>
  <c r="E386" i="7"/>
  <c r="D386" i="7"/>
  <c r="C386" i="7"/>
  <c r="B386" i="7"/>
  <c r="A386" i="7"/>
  <c r="F385" i="7"/>
  <c r="E385" i="7"/>
  <c r="D385" i="7"/>
  <c r="C385" i="7"/>
  <c r="B385" i="7"/>
  <c r="A385" i="7"/>
  <c r="F384" i="7"/>
  <c r="E384" i="7"/>
  <c r="D384" i="7"/>
  <c r="C384" i="7"/>
  <c r="B384" i="7"/>
  <c r="A384" i="7"/>
  <c r="F383" i="7"/>
  <c r="E383" i="7"/>
  <c r="D383" i="7"/>
  <c r="C383" i="7"/>
  <c r="B383" i="7"/>
  <c r="A383" i="7"/>
  <c r="F382" i="7"/>
  <c r="E382" i="7"/>
  <c r="D382" i="7"/>
  <c r="C382" i="7"/>
  <c r="B382" i="7"/>
  <c r="A382" i="7"/>
  <c r="F381" i="7"/>
  <c r="E381" i="7"/>
  <c r="D381" i="7"/>
  <c r="C381" i="7"/>
  <c r="B381" i="7"/>
  <c r="A381" i="7"/>
  <c r="F380" i="7"/>
  <c r="E380" i="7"/>
  <c r="D380" i="7"/>
  <c r="C380" i="7"/>
  <c r="B380" i="7"/>
  <c r="A380" i="7"/>
  <c r="F379" i="7"/>
  <c r="E379" i="7"/>
  <c r="D379" i="7"/>
  <c r="C379" i="7"/>
  <c r="B379" i="7"/>
  <c r="A379" i="7"/>
  <c r="F378" i="7"/>
  <c r="E378" i="7"/>
  <c r="D378" i="7"/>
  <c r="C378" i="7"/>
  <c r="B378" i="7"/>
  <c r="A378" i="7"/>
  <c r="F377" i="7"/>
  <c r="E377" i="7"/>
  <c r="D377" i="7"/>
  <c r="C377" i="7"/>
  <c r="B377" i="7"/>
  <c r="A377" i="7"/>
  <c r="F376" i="7"/>
  <c r="E376" i="7"/>
  <c r="D376" i="7"/>
  <c r="C376" i="7"/>
  <c r="B376" i="7"/>
  <c r="A376" i="7"/>
  <c r="F375" i="7"/>
  <c r="E375" i="7"/>
  <c r="D375" i="7"/>
  <c r="C375" i="7"/>
  <c r="B375" i="7"/>
  <c r="A375" i="7"/>
  <c r="F374" i="7"/>
  <c r="E374" i="7"/>
  <c r="D374" i="7"/>
  <c r="C374" i="7"/>
  <c r="B374" i="7"/>
  <c r="A374" i="7"/>
  <c r="F373" i="7"/>
  <c r="E373" i="7"/>
  <c r="D373" i="7"/>
  <c r="C373" i="7"/>
  <c r="B373" i="7"/>
  <c r="A373" i="7"/>
  <c r="F372" i="7"/>
  <c r="E372" i="7"/>
  <c r="D372" i="7"/>
  <c r="C372" i="7"/>
  <c r="B372" i="7"/>
  <c r="A372" i="7"/>
  <c r="F371" i="7"/>
  <c r="E371" i="7"/>
  <c r="D371" i="7"/>
  <c r="C371" i="7"/>
  <c r="B371" i="7"/>
  <c r="A371" i="7"/>
  <c r="F370" i="7"/>
  <c r="E370" i="7"/>
  <c r="D370" i="7"/>
  <c r="C370" i="7"/>
  <c r="B370" i="7"/>
  <c r="A370" i="7"/>
  <c r="F369" i="7"/>
  <c r="E369" i="7"/>
  <c r="D369" i="7"/>
  <c r="C369" i="7"/>
  <c r="B369" i="7"/>
  <c r="A369" i="7"/>
  <c r="F368" i="7"/>
  <c r="E368" i="7"/>
  <c r="D368" i="7"/>
  <c r="C368" i="7"/>
  <c r="B368" i="7"/>
  <c r="A368" i="7"/>
  <c r="F367" i="7"/>
  <c r="E367" i="7"/>
  <c r="D367" i="7"/>
  <c r="C367" i="7"/>
  <c r="B367" i="7"/>
  <c r="A367" i="7"/>
  <c r="F366" i="7"/>
  <c r="E366" i="7"/>
  <c r="D366" i="7"/>
  <c r="C366" i="7"/>
  <c r="B366" i="7"/>
  <c r="A366" i="7"/>
  <c r="F365" i="7"/>
  <c r="E365" i="7"/>
  <c r="D365" i="7"/>
  <c r="C365" i="7"/>
  <c r="B365" i="7"/>
  <c r="A365" i="7"/>
  <c r="F364" i="7"/>
  <c r="E364" i="7"/>
  <c r="D364" i="7"/>
  <c r="C364" i="7"/>
  <c r="B364" i="7"/>
  <c r="A364" i="7"/>
  <c r="F363" i="7"/>
  <c r="E363" i="7"/>
  <c r="D363" i="7"/>
  <c r="C363" i="7"/>
  <c r="B363" i="7"/>
  <c r="A363" i="7"/>
  <c r="F362" i="7"/>
  <c r="E362" i="7"/>
  <c r="D362" i="7"/>
  <c r="C362" i="7"/>
  <c r="B362" i="7"/>
  <c r="A362" i="7"/>
  <c r="F361" i="7"/>
  <c r="E361" i="7"/>
  <c r="D361" i="7"/>
  <c r="C361" i="7"/>
  <c r="B361" i="7"/>
  <c r="A361" i="7"/>
  <c r="F360" i="7"/>
  <c r="E360" i="7"/>
  <c r="D360" i="7"/>
  <c r="C360" i="7"/>
  <c r="B360" i="7"/>
  <c r="A360" i="7"/>
  <c r="F359" i="7"/>
  <c r="E359" i="7"/>
  <c r="D359" i="7"/>
  <c r="C359" i="7"/>
  <c r="B359" i="7"/>
  <c r="A359" i="7"/>
  <c r="F358" i="7"/>
  <c r="E358" i="7"/>
  <c r="D358" i="7"/>
  <c r="C358" i="7"/>
  <c r="B358" i="7"/>
  <c r="A358" i="7"/>
  <c r="F357" i="7"/>
  <c r="E357" i="7"/>
  <c r="D357" i="7"/>
  <c r="C357" i="7"/>
  <c r="B357" i="7"/>
  <c r="A357" i="7"/>
  <c r="F356" i="7"/>
  <c r="E356" i="7"/>
  <c r="D356" i="7"/>
  <c r="C356" i="7"/>
  <c r="B356" i="7"/>
  <c r="A356" i="7"/>
  <c r="F355" i="7"/>
  <c r="E355" i="7"/>
  <c r="D355" i="7"/>
  <c r="C355" i="7"/>
  <c r="B355" i="7"/>
  <c r="A355" i="7"/>
  <c r="F354" i="7"/>
  <c r="E354" i="7"/>
  <c r="D354" i="7"/>
  <c r="C354" i="7"/>
  <c r="B354" i="7"/>
  <c r="A354" i="7"/>
  <c r="F353" i="7"/>
  <c r="E353" i="7"/>
  <c r="D353" i="7"/>
  <c r="C353" i="7"/>
  <c r="B353" i="7"/>
  <c r="A353" i="7"/>
  <c r="F352" i="7"/>
  <c r="E352" i="7"/>
  <c r="D352" i="7"/>
  <c r="C352" i="7"/>
  <c r="B352" i="7"/>
  <c r="A352" i="7"/>
  <c r="F351" i="7"/>
  <c r="E351" i="7"/>
  <c r="D351" i="7"/>
  <c r="C351" i="7"/>
  <c r="B351" i="7"/>
  <c r="A351" i="7"/>
  <c r="F350" i="7"/>
  <c r="E350" i="7"/>
  <c r="D350" i="7"/>
  <c r="C350" i="7"/>
  <c r="B350" i="7"/>
  <c r="A350" i="7"/>
  <c r="F349" i="7"/>
  <c r="E349" i="7"/>
  <c r="D349" i="7"/>
  <c r="C349" i="7"/>
  <c r="B349" i="7"/>
  <c r="A349" i="7"/>
  <c r="F348" i="7"/>
  <c r="E348" i="7"/>
  <c r="D348" i="7"/>
  <c r="C348" i="7"/>
  <c r="B348" i="7"/>
  <c r="A348" i="7"/>
  <c r="F347" i="7"/>
  <c r="E347" i="7"/>
  <c r="D347" i="7"/>
  <c r="C347" i="7"/>
  <c r="B347" i="7"/>
  <c r="A347" i="7"/>
  <c r="F346" i="7"/>
  <c r="E346" i="7"/>
  <c r="D346" i="7"/>
  <c r="C346" i="7"/>
  <c r="B346" i="7"/>
  <c r="A346" i="7"/>
  <c r="F345" i="7"/>
  <c r="E345" i="7"/>
  <c r="D345" i="7"/>
  <c r="C345" i="7"/>
  <c r="B345" i="7"/>
  <c r="A345" i="7"/>
  <c r="F344" i="7"/>
  <c r="E344" i="7"/>
  <c r="D344" i="7"/>
  <c r="C344" i="7"/>
  <c r="B344" i="7"/>
  <c r="A344" i="7"/>
  <c r="F343" i="7"/>
  <c r="E343" i="7"/>
  <c r="D343" i="7"/>
  <c r="C343" i="7"/>
  <c r="B343" i="7"/>
  <c r="A343" i="7"/>
  <c r="F342" i="7"/>
  <c r="E342" i="7"/>
  <c r="D342" i="7"/>
  <c r="C342" i="7"/>
  <c r="B342" i="7"/>
  <c r="A342" i="7"/>
  <c r="F341" i="7"/>
  <c r="E341" i="7"/>
  <c r="D341" i="7"/>
  <c r="C341" i="7"/>
  <c r="B341" i="7"/>
  <c r="A341" i="7"/>
  <c r="F340" i="7"/>
  <c r="E340" i="7"/>
  <c r="D340" i="7"/>
  <c r="C340" i="7"/>
  <c r="B340" i="7"/>
  <c r="A340" i="7"/>
  <c r="F339" i="7"/>
  <c r="E339" i="7"/>
  <c r="D339" i="7"/>
  <c r="C339" i="7"/>
  <c r="B339" i="7"/>
  <c r="A339" i="7"/>
  <c r="F338" i="7"/>
  <c r="E338" i="7"/>
  <c r="D338" i="7"/>
  <c r="C338" i="7"/>
  <c r="B338" i="7"/>
  <c r="A338" i="7"/>
  <c r="F337" i="7"/>
  <c r="E337" i="7"/>
  <c r="D337" i="7"/>
  <c r="C337" i="7"/>
  <c r="B337" i="7"/>
  <c r="A337" i="7"/>
  <c r="F336" i="7"/>
  <c r="E336" i="7"/>
  <c r="D336" i="7"/>
  <c r="C336" i="7"/>
  <c r="B336" i="7"/>
  <c r="A336" i="7"/>
  <c r="F335" i="7"/>
  <c r="E335" i="7"/>
  <c r="D335" i="7"/>
  <c r="C335" i="7"/>
  <c r="B335" i="7"/>
  <c r="A335" i="7"/>
  <c r="F334" i="7"/>
  <c r="E334" i="7"/>
  <c r="D334" i="7"/>
  <c r="C334" i="7"/>
  <c r="B334" i="7"/>
  <c r="A334" i="7"/>
  <c r="F333" i="7"/>
  <c r="E333" i="7"/>
  <c r="D333" i="7"/>
  <c r="C333" i="7"/>
  <c r="B333" i="7"/>
  <c r="A333" i="7"/>
  <c r="F332" i="7"/>
  <c r="E332" i="7"/>
  <c r="D332" i="7"/>
  <c r="C332" i="7"/>
  <c r="B332" i="7"/>
  <c r="A332" i="7"/>
  <c r="F331" i="7"/>
  <c r="E331" i="7"/>
  <c r="D331" i="7"/>
  <c r="C331" i="7"/>
  <c r="B331" i="7"/>
  <c r="A331" i="7"/>
  <c r="F330" i="7"/>
  <c r="E330" i="7"/>
  <c r="D330" i="7"/>
  <c r="C330" i="7"/>
  <c r="B330" i="7"/>
  <c r="A330" i="7"/>
  <c r="F329" i="7"/>
  <c r="E329" i="7"/>
  <c r="D329" i="7"/>
  <c r="C329" i="7"/>
  <c r="B329" i="7"/>
  <c r="A329" i="7"/>
  <c r="F328" i="7"/>
  <c r="E328" i="7"/>
  <c r="D328" i="7"/>
  <c r="C328" i="7"/>
  <c r="B328" i="7"/>
  <c r="A328" i="7"/>
  <c r="F327" i="7"/>
  <c r="E327" i="7"/>
  <c r="D327" i="7"/>
  <c r="C327" i="7"/>
  <c r="B327" i="7"/>
  <c r="A327" i="7"/>
  <c r="F326" i="7"/>
  <c r="E326" i="7"/>
  <c r="D326" i="7"/>
  <c r="C326" i="7"/>
  <c r="B326" i="7"/>
  <c r="A326" i="7"/>
  <c r="F325" i="7"/>
  <c r="E325" i="7"/>
  <c r="D325" i="7"/>
  <c r="C325" i="7"/>
  <c r="B325" i="7"/>
  <c r="A325" i="7"/>
  <c r="F324" i="7"/>
  <c r="E324" i="7"/>
  <c r="D324" i="7"/>
  <c r="C324" i="7"/>
  <c r="B324" i="7"/>
  <c r="A324" i="7"/>
  <c r="F323" i="7"/>
  <c r="E323" i="7"/>
  <c r="D323" i="7"/>
  <c r="C323" i="7"/>
  <c r="B323" i="7"/>
  <c r="A323" i="7"/>
  <c r="F322" i="7"/>
  <c r="E322" i="7"/>
  <c r="D322" i="7"/>
  <c r="C322" i="7"/>
  <c r="B322" i="7"/>
  <c r="A322" i="7"/>
  <c r="F321" i="7"/>
  <c r="E321" i="7"/>
  <c r="D321" i="7"/>
  <c r="C321" i="7"/>
  <c r="B321" i="7"/>
  <c r="A321" i="7"/>
  <c r="F320" i="7"/>
  <c r="E320" i="7"/>
  <c r="D320" i="7"/>
  <c r="C320" i="7"/>
  <c r="B320" i="7"/>
  <c r="A320" i="7"/>
  <c r="F319" i="7"/>
  <c r="E319" i="7"/>
  <c r="D319" i="7"/>
  <c r="C319" i="7"/>
  <c r="B319" i="7"/>
  <c r="A319" i="7"/>
  <c r="F318" i="7"/>
  <c r="E318" i="7"/>
  <c r="D318" i="7"/>
  <c r="C318" i="7"/>
  <c r="B318" i="7"/>
  <c r="A318" i="7"/>
  <c r="F317" i="7"/>
  <c r="E317" i="7"/>
  <c r="D317" i="7"/>
  <c r="C317" i="7"/>
  <c r="B317" i="7"/>
  <c r="A317" i="7"/>
  <c r="F316" i="7"/>
  <c r="E316" i="7"/>
  <c r="D316" i="7"/>
  <c r="C316" i="7"/>
  <c r="B316" i="7"/>
  <c r="A316" i="7"/>
  <c r="F315" i="7"/>
  <c r="E315" i="7"/>
  <c r="D315" i="7"/>
  <c r="C315" i="7"/>
  <c r="B315" i="7"/>
  <c r="A315" i="7"/>
  <c r="F314" i="7"/>
  <c r="E314" i="7"/>
  <c r="D314" i="7"/>
  <c r="C314" i="7"/>
  <c r="B314" i="7"/>
  <c r="A314" i="7"/>
  <c r="F313" i="7"/>
  <c r="E313" i="7"/>
  <c r="D313" i="7"/>
  <c r="C313" i="7"/>
  <c r="B313" i="7"/>
  <c r="A313" i="7"/>
  <c r="F312" i="7"/>
  <c r="E312" i="7"/>
  <c r="D312" i="7"/>
  <c r="C312" i="7"/>
  <c r="B312" i="7"/>
  <c r="A312" i="7"/>
  <c r="F311" i="7"/>
  <c r="E311" i="7"/>
  <c r="D311" i="7"/>
  <c r="C311" i="7"/>
  <c r="B311" i="7"/>
  <c r="A311" i="7"/>
  <c r="F310" i="7"/>
  <c r="E310" i="7"/>
  <c r="D310" i="7"/>
  <c r="C310" i="7"/>
  <c r="B310" i="7"/>
  <c r="A310" i="7"/>
  <c r="F309" i="7"/>
  <c r="E309" i="7"/>
  <c r="D309" i="7"/>
  <c r="C309" i="7"/>
  <c r="B309" i="7"/>
  <c r="A309" i="7"/>
  <c r="F308" i="7"/>
  <c r="E308" i="7"/>
  <c r="D308" i="7"/>
  <c r="C308" i="7"/>
  <c r="B308" i="7"/>
  <c r="A308" i="7"/>
  <c r="F307" i="7"/>
  <c r="E307" i="7"/>
  <c r="D307" i="7"/>
  <c r="C307" i="7"/>
  <c r="B307" i="7"/>
  <c r="A307" i="7"/>
  <c r="F306" i="7"/>
  <c r="E306" i="7"/>
  <c r="D306" i="7"/>
  <c r="C306" i="7"/>
  <c r="B306" i="7"/>
  <c r="A306" i="7"/>
  <c r="F305" i="7"/>
  <c r="E305" i="7"/>
  <c r="D305" i="7"/>
  <c r="C305" i="7"/>
  <c r="B305" i="7"/>
  <c r="A305" i="7"/>
  <c r="F304" i="7"/>
  <c r="E304" i="7"/>
  <c r="D304" i="7"/>
  <c r="C304" i="7"/>
  <c r="B304" i="7"/>
  <c r="A304" i="7"/>
  <c r="F303" i="7"/>
  <c r="E303" i="7"/>
  <c r="D303" i="7"/>
  <c r="C303" i="7"/>
  <c r="B303" i="7"/>
  <c r="A303" i="7"/>
  <c r="F302" i="7"/>
  <c r="E302" i="7"/>
  <c r="D302" i="7"/>
  <c r="C302" i="7"/>
  <c r="B302" i="7"/>
  <c r="A302" i="7"/>
  <c r="F301" i="7"/>
  <c r="E301" i="7"/>
  <c r="D301" i="7"/>
  <c r="C301" i="7"/>
  <c r="B301" i="7"/>
  <c r="A301" i="7"/>
  <c r="F300" i="7"/>
  <c r="E300" i="7"/>
  <c r="D300" i="7"/>
  <c r="C300" i="7"/>
  <c r="B300" i="7"/>
  <c r="A300" i="7"/>
  <c r="F299" i="7"/>
  <c r="E299" i="7"/>
  <c r="D299" i="7"/>
  <c r="C299" i="7"/>
  <c r="B299" i="7"/>
  <c r="A299" i="7"/>
  <c r="F298" i="7"/>
  <c r="E298" i="7"/>
  <c r="D298" i="7"/>
  <c r="C298" i="7"/>
  <c r="B298" i="7"/>
  <c r="A298" i="7"/>
  <c r="F297" i="7"/>
  <c r="E297" i="7"/>
  <c r="D297" i="7"/>
  <c r="C297" i="7"/>
  <c r="B297" i="7"/>
  <c r="A297" i="7"/>
  <c r="F296" i="7"/>
  <c r="E296" i="7"/>
  <c r="D296" i="7"/>
  <c r="C296" i="7"/>
  <c r="B296" i="7"/>
  <c r="A296" i="7"/>
  <c r="F295" i="7"/>
  <c r="E295" i="7"/>
  <c r="D295" i="7"/>
  <c r="C295" i="7"/>
  <c r="B295" i="7"/>
  <c r="A295" i="7"/>
  <c r="F294" i="7"/>
  <c r="E294" i="7"/>
  <c r="D294" i="7"/>
  <c r="C294" i="7"/>
  <c r="B294" i="7"/>
  <c r="A294" i="7"/>
  <c r="F293" i="7"/>
  <c r="E293" i="7"/>
  <c r="D293" i="7"/>
  <c r="C293" i="7"/>
  <c r="B293" i="7"/>
  <c r="A293" i="7"/>
  <c r="F292" i="7"/>
  <c r="E292" i="7"/>
  <c r="D292" i="7"/>
  <c r="C292" i="7"/>
  <c r="B292" i="7"/>
  <c r="A292" i="7"/>
  <c r="F291" i="7"/>
  <c r="E291" i="7"/>
  <c r="D291" i="7"/>
  <c r="C291" i="7"/>
  <c r="B291" i="7"/>
  <c r="A291" i="7"/>
  <c r="F290" i="7"/>
  <c r="E290" i="7"/>
  <c r="D290" i="7"/>
  <c r="C290" i="7"/>
  <c r="B290" i="7"/>
  <c r="A290" i="7"/>
  <c r="F289" i="7"/>
  <c r="E289" i="7"/>
  <c r="D289" i="7"/>
  <c r="C289" i="7"/>
  <c r="B289" i="7"/>
  <c r="A289" i="7"/>
  <c r="F288" i="7"/>
  <c r="E288" i="7"/>
  <c r="D288" i="7"/>
  <c r="C288" i="7"/>
  <c r="B288" i="7"/>
  <c r="A288" i="7"/>
  <c r="F287" i="7"/>
  <c r="E287" i="7"/>
  <c r="D287" i="7"/>
  <c r="C287" i="7"/>
  <c r="B287" i="7"/>
  <c r="A287" i="7"/>
  <c r="F286" i="7"/>
  <c r="E286" i="7"/>
  <c r="D286" i="7"/>
  <c r="C286" i="7"/>
  <c r="B286" i="7"/>
  <c r="A286" i="7"/>
  <c r="F285" i="7"/>
  <c r="E285" i="7"/>
  <c r="D285" i="7"/>
  <c r="C285" i="7"/>
  <c r="B285" i="7"/>
  <c r="A285" i="7"/>
  <c r="F284" i="7"/>
  <c r="E284" i="7"/>
  <c r="D284" i="7"/>
  <c r="C284" i="7"/>
  <c r="B284" i="7"/>
  <c r="A284" i="7"/>
  <c r="F283" i="7"/>
  <c r="E283" i="7"/>
  <c r="D283" i="7"/>
  <c r="C283" i="7"/>
  <c r="B283" i="7"/>
  <c r="A283" i="7"/>
  <c r="F282" i="7"/>
  <c r="E282" i="7"/>
  <c r="D282" i="7"/>
  <c r="C282" i="7"/>
  <c r="B282" i="7"/>
  <c r="A282" i="7"/>
  <c r="F281" i="7"/>
  <c r="E281" i="7"/>
  <c r="D281" i="7"/>
  <c r="C281" i="7"/>
  <c r="B281" i="7"/>
  <c r="A281" i="7"/>
  <c r="F280" i="7"/>
  <c r="E280" i="7"/>
  <c r="D280" i="7"/>
  <c r="C280" i="7"/>
  <c r="B280" i="7"/>
  <c r="A280" i="7"/>
  <c r="F279" i="7"/>
  <c r="E279" i="7"/>
  <c r="D279" i="7"/>
  <c r="C279" i="7"/>
  <c r="B279" i="7"/>
  <c r="A279" i="7"/>
  <c r="F278" i="7"/>
  <c r="E278" i="7"/>
  <c r="D278" i="7"/>
  <c r="C278" i="7"/>
  <c r="B278" i="7"/>
  <c r="A278" i="7"/>
  <c r="F277" i="7"/>
  <c r="E277" i="7"/>
  <c r="D277" i="7"/>
  <c r="C277" i="7"/>
  <c r="B277" i="7"/>
  <c r="A277" i="7"/>
  <c r="F276" i="7"/>
  <c r="E276" i="7"/>
  <c r="D276" i="7"/>
  <c r="C276" i="7"/>
  <c r="B276" i="7"/>
  <c r="A276" i="7"/>
  <c r="F275" i="7"/>
  <c r="E275" i="7"/>
  <c r="D275" i="7"/>
  <c r="C275" i="7"/>
  <c r="B275" i="7"/>
  <c r="A275" i="7"/>
  <c r="F274" i="7"/>
  <c r="E274" i="7"/>
  <c r="D274" i="7"/>
  <c r="C274" i="7"/>
  <c r="B274" i="7"/>
  <c r="A274" i="7"/>
  <c r="F273" i="7"/>
  <c r="E273" i="7"/>
  <c r="D273" i="7"/>
  <c r="C273" i="7"/>
  <c r="B273" i="7"/>
  <c r="A273" i="7"/>
  <c r="F272" i="7"/>
  <c r="E272" i="7"/>
  <c r="D272" i="7"/>
  <c r="C272" i="7"/>
  <c r="B272" i="7"/>
  <c r="A272" i="7"/>
  <c r="F271" i="7"/>
  <c r="E271" i="7"/>
  <c r="D271" i="7"/>
  <c r="C271" i="7"/>
  <c r="B271" i="7"/>
  <c r="A271" i="7"/>
  <c r="F270" i="7"/>
  <c r="E270" i="7"/>
  <c r="D270" i="7"/>
  <c r="C270" i="7"/>
  <c r="B270" i="7"/>
  <c r="A270" i="7"/>
  <c r="F269" i="7"/>
  <c r="E269" i="7"/>
  <c r="D269" i="7"/>
  <c r="C269" i="7"/>
  <c r="B269" i="7"/>
  <c r="A269" i="7"/>
  <c r="F268" i="7"/>
  <c r="E268" i="7"/>
  <c r="D268" i="7"/>
  <c r="C268" i="7"/>
  <c r="B268" i="7"/>
  <c r="A268" i="7"/>
  <c r="F267" i="7"/>
  <c r="E267" i="7"/>
  <c r="D267" i="7"/>
  <c r="C267" i="7"/>
  <c r="B267" i="7"/>
  <c r="A267" i="7"/>
  <c r="F266" i="7"/>
  <c r="E266" i="7"/>
  <c r="D266" i="7"/>
  <c r="C266" i="7"/>
  <c r="B266" i="7"/>
  <c r="A266" i="7"/>
  <c r="F265" i="7"/>
  <c r="E265" i="7"/>
  <c r="D265" i="7"/>
  <c r="C265" i="7"/>
  <c r="B265" i="7"/>
  <c r="A265" i="7"/>
  <c r="F264" i="7"/>
  <c r="E264" i="7"/>
  <c r="D264" i="7"/>
  <c r="C264" i="7"/>
  <c r="B264" i="7"/>
  <c r="A264" i="7"/>
  <c r="F263" i="7"/>
  <c r="E263" i="7"/>
  <c r="D263" i="7"/>
  <c r="C263" i="7"/>
  <c r="B263" i="7"/>
  <c r="A263" i="7"/>
  <c r="F262" i="7"/>
  <c r="E262" i="7"/>
  <c r="D262" i="7"/>
  <c r="C262" i="7"/>
  <c r="B262" i="7"/>
  <c r="A262" i="7"/>
  <c r="F261" i="7"/>
  <c r="E261" i="7"/>
  <c r="D261" i="7"/>
  <c r="C261" i="7"/>
  <c r="B261" i="7"/>
  <c r="A261" i="7"/>
  <c r="F260" i="7"/>
  <c r="E260" i="7"/>
  <c r="D260" i="7"/>
  <c r="C260" i="7"/>
  <c r="B260" i="7"/>
  <c r="A260" i="7"/>
  <c r="F259" i="7"/>
  <c r="E259" i="7"/>
  <c r="D259" i="7"/>
  <c r="C259" i="7"/>
  <c r="B259" i="7"/>
  <c r="A259" i="7"/>
  <c r="F258" i="7"/>
  <c r="E258" i="7"/>
  <c r="D258" i="7"/>
  <c r="C258" i="7"/>
  <c r="B258" i="7"/>
  <c r="A258" i="7"/>
  <c r="F257" i="7"/>
  <c r="E257" i="7"/>
  <c r="D257" i="7"/>
  <c r="C257" i="7"/>
  <c r="B257" i="7"/>
  <c r="A257" i="7"/>
  <c r="F256" i="7"/>
  <c r="E256" i="7"/>
  <c r="D256" i="7"/>
  <c r="C256" i="7"/>
  <c r="B256" i="7"/>
  <c r="A256" i="7"/>
  <c r="F255" i="7"/>
  <c r="E255" i="7"/>
  <c r="D255" i="7"/>
  <c r="C255" i="7"/>
  <c r="B255" i="7"/>
  <c r="A255" i="7"/>
  <c r="F254" i="7"/>
  <c r="E254" i="7"/>
  <c r="D254" i="7"/>
  <c r="C254" i="7"/>
  <c r="B254" i="7"/>
  <c r="A254" i="7"/>
  <c r="F253" i="7"/>
  <c r="E253" i="7"/>
  <c r="D253" i="7"/>
  <c r="C253" i="7"/>
  <c r="B253" i="7"/>
  <c r="A253" i="7"/>
  <c r="F252" i="7"/>
  <c r="E252" i="7"/>
  <c r="D252" i="7"/>
  <c r="C252" i="7"/>
  <c r="B252" i="7"/>
  <c r="A252" i="7"/>
  <c r="F251" i="7"/>
  <c r="E251" i="7"/>
  <c r="D251" i="7"/>
  <c r="C251" i="7"/>
  <c r="B251" i="7"/>
  <c r="A251" i="7"/>
  <c r="F250" i="7"/>
  <c r="E250" i="7"/>
  <c r="D250" i="7"/>
  <c r="C250" i="7"/>
  <c r="B250" i="7"/>
  <c r="A250" i="7"/>
  <c r="F249" i="7"/>
  <c r="E249" i="7"/>
  <c r="D249" i="7"/>
  <c r="C249" i="7"/>
  <c r="B249" i="7"/>
  <c r="A249" i="7"/>
  <c r="F248" i="7"/>
  <c r="E248" i="7"/>
  <c r="D248" i="7"/>
  <c r="C248" i="7"/>
  <c r="B248" i="7"/>
  <c r="A248" i="7"/>
  <c r="F247" i="7"/>
  <c r="E247" i="7"/>
  <c r="D247" i="7"/>
  <c r="C247" i="7"/>
  <c r="B247" i="7"/>
  <c r="A247" i="7"/>
  <c r="F246" i="7"/>
  <c r="E246" i="7"/>
  <c r="D246" i="7"/>
  <c r="C246" i="7"/>
  <c r="B246" i="7"/>
  <c r="A246" i="7"/>
  <c r="F245" i="7"/>
  <c r="E245" i="7"/>
  <c r="D245" i="7"/>
  <c r="C245" i="7"/>
  <c r="B245" i="7"/>
  <c r="A245" i="7"/>
  <c r="F244" i="7"/>
  <c r="E244" i="7"/>
  <c r="D244" i="7"/>
  <c r="C244" i="7"/>
  <c r="B244" i="7"/>
  <c r="A244" i="7"/>
  <c r="F243" i="7"/>
  <c r="E243" i="7"/>
  <c r="D243" i="7"/>
  <c r="C243" i="7"/>
  <c r="B243" i="7"/>
  <c r="A243" i="7"/>
  <c r="F242" i="7"/>
  <c r="E242" i="7"/>
  <c r="D242" i="7"/>
  <c r="C242" i="7"/>
  <c r="B242" i="7"/>
  <c r="A242" i="7"/>
  <c r="F241" i="7"/>
  <c r="E241" i="7"/>
  <c r="D241" i="7"/>
  <c r="C241" i="7"/>
  <c r="B241" i="7"/>
  <c r="A241" i="7"/>
  <c r="F240" i="7"/>
  <c r="E240" i="7"/>
  <c r="D240" i="7"/>
  <c r="C240" i="7"/>
  <c r="B240" i="7"/>
  <c r="A240" i="7"/>
  <c r="F239" i="7"/>
  <c r="E239" i="7"/>
  <c r="D239" i="7"/>
  <c r="C239" i="7"/>
  <c r="B239" i="7"/>
  <c r="A239" i="7"/>
  <c r="F238" i="7"/>
  <c r="E238" i="7"/>
  <c r="D238" i="7"/>
  <c r="C238" i="7"/>
  <c r="B238" i="7"/>
  <c r="A238" i="7"/>
  <c r="F237" i="7"/>
  <c r="E237" i="7"/>
  <c r="D237" i="7"/>
  <c r="C237" i="7"/>
  <c r="B237" i="7"/>
  <c r="A237" i="7"/>
  <c r="F236" i="7"/>
  <c r="E236" i="7"/>
  <c r="D236" i="7"/>
  <c r="C236" i="7"/>
  <c r="B236" i="7"/>
  <c r="A236" i="7"/>
  <c r="F235" i="7"/>
  <c r="E235" i="7"/>
  <c r="D235" i="7"/>
  <c r="C235" i="7"/>
  <c r="B235" i="7"/>
  <c r="A235" i="7"/>
  <c r="F234" i="7"/>
  <c r="E234" i="7"/>
  <c r="D234" i="7"/>
  <c r="C234" i="7"/>
  <c r="B234" i="7"/>
  <c r="A234" i="7"/>
  <c r="F233" i="7"/>
  <c r="E233" i="7"/>
  <c r="D233" i="7"/>
  <c r="C233" i="7"/>
  <c r="B233" i="7"/>
  <c r="A233" i="7"/>
  <c r="F232" i="7"/>
  <c r="E232" i="7"/>
  <c r="D232" i="7"/>
  <c r="C232" i="7"/>
  <c r="B232" i="7"/>
  <c r="A232" i="7"/>
  <c r="F231" i="7"/>
  <c r="E231" i="7"/>
  <c r="D231" i="7"/>
  <c r="C231" i="7"/>
  <c r="B231" i="7"/>
  <c r="A231" i="7"/>
  <c r="F230" i="7"/>
  <c r="E230" i="7"/>
  <c r="D230" i="7"/>
  <c r="C230" i="7"/>
  <c r="B230" i="7"/>
  <c r="A230" i="7"/>
  <c r="F229" i="7"/>
  <c r="E229" i="7"/>
  <c r="D229" i="7"/>
  <c r="C229" i="7"/>
  <c r="B229" i="7"/>
  <c r="A229" i="7"/>
  <c r="F228" i="7"/>
  <c r="E228" i="7"/>
  <c r="D228" i="7"/>
  <c r="C228" i="7"/>
  <c r="B228" i="7"/>
  <c r="A228" i="7"/>
  <c r="F227" i="7"/>
  <c r="E227" i="7"/>
  <c r="D227" i="7"/>
  <c r="C227" i="7"/>
  <c r="B227" i="7"/>
  <c r="A227" i="7"/>
  <c r="F226" i="7"/>
  <c r="E226" i="7"/>
  <c r="D226" i="7"/>
  <c r="C226" i="7"/>
  <c r="B226" i="7"/>
  <c r="A226" i="7"/>
  <c r="F225" i="7"/>
  <c r="E225" i="7"/>
  <c r="D225" i="7"/>
  <c r="C225" i="7"/>
  <c r="B225" i="7"/>
  <c r="A225" i="7"/>
  <c r="F224" i="7"/>
  <c r="E224" i="7"/>
  <c r="D224" i="7"/>
  <c r="C224" i="7"/>
  <c r="B224" i="7"/>
  <c r="A224" i="7"/>
  <c r="F223" i="7"/>
  <c r="E223" i="7"/>
  <c r="D223" i="7"/>
  <c r="C223" i="7"/>
  <c r="B223" i="7"/>
  <c r="A223" i="7"/>
  <c r="F222" i="7"/>
  <c r="E222" i="7"/>
  <c r="D222" i="7"/>
  <c r="C222" i="7"/>
  <c r="B222" i="7"/>
  <c r="A222" i="7"/>
  <c r="F221" i="7"/>
  <c r="E221" i="7"/>
  <c r="D221" i="7"/>
  <c r="C221" i="7"/>
  <c r="B221" i="7"/>
  <c r="A221" i="7"/>
  <c r="F220" i="7"/>
  <c r="E220" i="7"/>
  <c r="D220" i="7"/>
  <c r="C220" i="7"/>
  <c r="B220" i="7"/>
  <c r="A220" i="7"/>
  <c r="F219" i="7"/>
  <c r="E219" i="7"/>
  <c r="D219" i="7"/>
  <c r="C219" i="7"/>
  <c r="B219" i="7"/>
  <c r="A219" i="7"/>
  <c r="F218" i="7"/>
  <c r="E218" i="7"/>
  <c r="D218" i="7"/>
  <c r="C218" i="7"/>
  <c r="B218" i="7"/>
  <c r="A218" i="7"/>
  <c r="F217" i="7"/>
  <c r="E217" i="7"/>
  <c r="D217" i="7"/>
  <c r="C217" i="7"/>
  <c r="B217" i="7"/>
  <c r="A217" i="7"/>
  <c r="F216" i="7"/>
  <c r="E216" i="7"/>
  <c r="D216" i="7"/>
  <c r="C216" i="7"/>
  <c r="B216" i="7"/>
  <c r="A216" i="7"/>
  <c r="F215" i="7"/>
  <c r="E215" i="7"/>
  <c r="D215" i="7"/>
  <c r="C215" i="7"/>
  <c r="B215" i="7"/>
  <c r="A215" i="7"/>
  <c r="F214" i="7"/>
  <c r="E214" i="7"/>
  <c r="D214" i="7"/>
  <c r="C214" i="7"/>
  <c r="B214" i="7"/>
  <c r="A214" i="7"/>
  <c r="F213" i="7"/>
  <c r="E213" i="7"/>
  <c r="D213" i="7"/>
  <c r="C213" i="7"/>
  <c r="B213" i="7"/>
  <c r="A213" i="7"/>
  <c r="F212" i="7"/>
  <c r="E212" i="7"/>
  <c r="D212" i="7"/>
  <c r="C212" i="7"/>
  <c r="B212" i="7"/>
  <c r="A212" i="7"/>
  <c r="F211" i="7"/>
  <c r="E211" i="7"/>
  <c r="D211" i="7"/>
  <c r="C211" i="7"/>
  <c r="B211" i="7"/>
  <c r="A211" i="7"/>
  <c r="F210" i="7"/>
  <c r="E210" i="7"/>
  <c r="D210" i="7"/>
  <c r="C210" i="7"/>
  <c r="B210" i="7"/>
  <c r="A210" i="7"/>
  <c r="F209" i="7"/>
  <c r="E209" i="7"/>
  <c r="D209" i="7"/>
  <c r="C209" i="7"/>
  <c r="B209" i="7"/>
  <c r="A209" i="7"/>
  <c r="F208" i="7"/>
  <c r="E208" i="7"/>
  <c r="D208" i="7"/>
  <c r="C208" i="7"/>
  <c r="B208" i="7"/>
  <c r="A208" i="7"/>
  <c r="F207" i="7"/>
  <c r="E207" i="7"/>
  <c r="D207" i="7"/>
  <c r="C207" i="7"/>
  <c r="B207" i="7"/>
  <c r="A207" i="7"/>
  <c r="F206" i="7"/>
  <c r="E206" i="7"/>
  <c r="D206" i="7"/>
  <c r="C206" i="7"/>
  <c r="B206" i="7"/>
  <c r="A206" i="7"/>
  <c r="F205" i="7"/>
  <c r="E205" i="7"/>
  <c r="D205" i="7"/>
  <c r="C205" i="7"/>
  <c r="B205" i="7"/>
  <c r="A205" i="7"/>
  <c r="F204" i="7"/>
  <c r="E204" i="7"/>
  <c r="D204" i="7"/>
  <c r="C204" i="7"/>
  <c r="B204" i="7"/>
  <c r="A204" i="7"/>
  <c r="F203" i="7"/>
  <c r="E203" i="7"/>
  <c r="D203" i="7"/>
  <c r="C203" i="7"/>
  <c r="B203" i="7"/>
  <c r="A203" i="7"/>
  <c r="F202" i="7"/>
  <c r="E202" i="7"/>
  <c r="D202" i="7"/>
  <c r="C202" i="7"/>
  <c r="B202" i="7"/>
  <c r="A202" i="7"/>
  <c r="F201" i="7"/>
  <c r="E201" i="7"/>
  <c r="D201" i="7"/>
  <c r="C201" i="7"/>
  <c r="B201" i="7"/>
  <c r="A201" i="7"/>
  <c r="F200" i="7"/>
  <c r="E200" i="7"/>
  <c r="D200" i="7"/>
  <c r="C200" i="7"/>
  <c r="B200" i="7"/>
  <c r="A200" i="7"/>
  <c r="F199" i="7"/>
  <c r="E199" i="7"/>
  <c r="D199" i="7"/>
  <c r="C199" i="7"/>
  <c r="B199" i="7"/>
  <c r="A199" i="7"/>
  <c r="F198" i="7"/>
  <c r="E198" i="7"/>
  <c r="D198" i="7"/>
  <c r="C198" i="7"/>
  <c r="B198" i="7"/>
  <c r="A198" i="7"/>
  <c r="F197" i="7"/>
  <c r="E197" i="7"/>
  <c r="D197" i="7"/>
  <c r="C197" i="7"/>
  <c r="B197" i="7"/>
  <c r="A197" i="7"/>
  <c r="F196" i="7"/>
  <c r="E196" i="7"/>
  <c r="D196" i="7"/>
  <c r="C196" i="7"/>
  <c r="B196" i="7"/>
  <c r="A196" i="7"/>
  <c r="F195" i="7"/>
  <c r="E195" i="7"/>
  <c r="D195" i="7"/>
  <c r="C195" i="7"/>
  <c r="B195" i="7"/>
  <c r="A195" i="7"/>
  <c r="F194" i="7"/>
  <c r="E194" i="7"/>
  <c r="D194" i="7"/>
  <c r="C194" i="7"/>
  <c r="B194" i="7"/>
  <c r="A194" i="7"/>
  <c r="F193" i="7"/>
  <c r="E193" i="7"/>
  <c r="D193" i="7"/>
  <c r="C193" i="7"/>
  <c r="B193" i="7"/>
  <c r="A193" i="7"/>
  <c r="F192" i="7"/>
  <c r="E192" i="7"/>
  <c r="D192" i="7"/>
  <c r="C192" i="7"/>
  <c r="B192" i="7"/>
  <c r="A192" i="7"/>
  <c r="F191" i="7"/>
  <c r="E191" i="7"/>
  <c r="D191" i="7"/>
  <c r="C191" i="7"/>
  <c r="B191" i="7"/>
  <c r="A191" i="7"/>
  <c r="F190" i="7"/>
  <c r="E190" i="7"/>
  <c r="D190" i="7"/>
  <c r="C190" i="7"/>
  <c r="B190" i="7"/>
  <c r="A190" i="7"/>
  <c r="F189" i="7"/>
  <c r="E189" i="7"/>
  <c r="D189" i="7"/>
  <c r="C189" i="7"/>
  <c r="B189" i="7"/>
  <c r="A189" i="7"/>
  <c r="F188" i="7"/>
  <c r="E188" i="7"/>
  <c r="D188" i="7"/>
  <c r="C188" i="7"/>
  <c r="B188" i="7"/>
  <c r="A188" i="7"/>
  <c r="F187" i="7"/>
  <c r="E187" i="7"/>
  <c r="D187" i="7"/>
  <c r="C187" i="7"/>
  <c r="B187" i="7"/>
  <c r="A187" i="7"/>
  <c r="F186" i="7"/>
  <c r="E186" i="7"/>
  <c r="D186" i="7"/>
  <c r="C186" i="7"/>
  <c r="B186" i="7"/>
  <c r="A186" i="7"/>
  <c r="F185" i="7"/>
  <c r="E185" i="7"/>
  <c r="D185" i="7"/>
  <c r="C185" i="7"/>
  <c r="B185" i="7"/>
  <c r="A185" i="7"/>
  <c r="F184" i="7"/>
  <c r="E184" i="7"/>
  <c r="D184" i="7"/>
  <c r="C184" i="7"/>
  <c r="B184" i="7"/>
  <c r="A184" i="7"/>
  <c r="F183" i="7"/>
  <c r="E183" i="7"/>
  <c r="D183" i="7"/>
  <c r="C183" i="7"/>
  <c r="B183" i="7"/>
  <c r="A183" i="7"/>
  <c r="F182" i="7"/>
  <c r="E182" i="7"/>
  <c r="D182" i="7"/>
  <c r="C182" i="7"/>
  <c r="B182" i="7"/>
  <c r="A182" i="7"/>
  <c r="F181" i="7"/>
  <c r="E181" i="7"/>
  <c r="D181" i="7"/>
  <c r="C181" i="7"/>
  <c r="B181" i="7"/>
  <c r="A181" i="7"/>
  <c r="F180" i="7"/>
  <c r="E180" i="7"/>
  <c r="D180" i="7"/>
  <c r="C180" i="7"/>
  <c r="B180" i="7"/>
  <c r="A180" i="7"/>
  <c r="F179" i="7"/>
  <c r="E179" i="7"/>
  <c r="D179" i="7"/>
  <c r="C179" i="7"/>
  <c r="B179" i="7"/>
  <c r="A179" i="7"/>
  <c r="F178" i="7"/>
  <c r="E178" i="7"/>
  <c r="D178" i="7"/>
  <c r="C178" i="7"/>
  <c r="B178" i="7"/>
  <c r="A178" i="7"/>
  <c r="F177" i="7"/>
  <c r="E177" i="7"/>
  <c r="D177" i="7"/>
  <c r="C177" i="7"/>
  <c r="B177" i="7"/>
  <c r="A177" i="7"/>
  <c r="F176" i="7"/>
  <c r="E176" i="7"/>
  <c r="D176" i="7"/>
  <c r="C176" i="7"/>
  <c r="B176" i="7"/>
  <c r="A176" i="7"/>
  <c r="F175" i="7"/>
  <c r="E175" i="7"/>
  <c r="D175" i="7"/>
  <c r="C175" i="7"/>
  <c r="B175" i="7"/>
  <c r="A175" i="7"/>
  <c r="F174" i="7"/>
  <c r="E174" i="7"/>
  <c r="D174" i="7"/>
  <c r="C174" i="7"/>
  <c r="B174" i="7"/>
  <c r="A174" i="7"/>
  <c r="F173" i="7"/>
  <c r="E173" i="7"/>
  <c r="D173" i="7"/>
  <c r="C173" i="7"/>
  <c r="B173" i="7"/>
  <c r="A173" i="7"/>
  <c r="F172" i="7"/>
  <c r="E172" i="7"/>
  <c r="D172" i="7"/>
  <c r="C172" i="7"/>
  <c r="B172" i="7"/>
  <c r="A172" i="7"/>
  <c r="F171" i="7"/>
  <c r="E171" i="7"/>
  <c r="D171" i="7"/>
  <c r="C171" i="7"/>
  <c r="B171" i="7"/>
  <c r="A171" i="7"/>
  <c r="F170" i="7"/>
  <c r="E170" i="7"/>
  <c r="D170" i="7"/>
  <c r="C170" i="7"/>
  <c r="B170" i="7"/>
  <c r="A170" i="7"/>
  <c r="F169" i="7"/>
  <c r="E169" i="7"/>
  <c r="D169" i="7"/>
  <c r="C169" i="7"/>
  <c r="B169" i="7"/>
  <c r="A169" i="7"/>
  <c r="F168" i="7"/>
  <c r="E168" i="7"/>
  <c r="D168" i="7"/>
  <c r="C168" i="7"/>
  <c r="B168" i="7"/>
  <c r="A168" i="7"/>
  <c r="F167" i="7"/>
  <c r="E167" i="7"/>
  <c r="D167" i="7"/>
  <c r="C167" i="7"/>
  <c r="B167" i="7"/>
  <c r="A167" i="7"/>
  <c r="F166" i="7"/>
  <c r="E166" i="7"/>
  <c r="D166" i="7"/>
  <c r="C166" i="7"/>
  <c r="B166" i="7"/>
  <c r="A166" i="7"/>
  <c r="F165" i="7"/>
  <c r="E165" i="7"/>
  <c r="D165" i="7"/>
  <c r="C165" i="7"/>
  <c r="B165" i="7"/>
  <c r="A165" i="7"/>
  <c r="F164" i="7"/>
  <c r="E164" i="7"/>
  <c r="D164" i="7"/>
  <c r="C164" i="7"/>
  <c r="B164" i="7"/>
  <c r="A164" i="7"/>
  <c r="F163" i="7"/>
  <c r="E163" i="7"/>
  <c r="D163" i="7"/>
  <c r="C163" i="7"/>
  <c r="B163" i="7"/>
  <c r="A163" i="7"/>
  <c r="F162" i="7"/>
  <c r="E162" i="7"/>
  <c r="D162" i="7"/>
  <c r="C162" i="7"/>
  <c r="B162" i="7"/>
  <c r="A162" i="7"/>
  <c r="F161" i="7"/>
  <c r="E161" i="7"/>
  <c r="D161" i="7"/>
  <c r="C161" i="7"/>
  <c r="B161" i="7"/>
  <c r="A161" i="7"/>
  <c r="F160" i="7"/>
  <c r="E160" i="7"/>
  <c r="D160" i="7"/>
  <c r="C160" i="7"/>
  <c r="B160" i="7"/>
  <c r="A160" i="7"/>
  <c r="F159" i="7"/>
  <c r="E159" i="7"/>
  <c r="D159" i="7"/>
  <c r="C159" i="7"/>
  <c r="B159" i="7"/>
  <c r="A159" i="7"/>
  <c r="F158" i="7"/>
  <c r="E158" i="7"/>
  <c r="D158" i="7"/>
  <c r="C158" i="7"/>
  <c r="B158" i="7"/>
  <c r="A158" i="7"/>
  <c r="F157" i="7"/>
  <c r="E157" i="7"/>
  <c r="D157" i="7"/>
  <c r="C157" i="7"/>
  <c r="B157" i="7"/>
  <c r="A157" i="7"/>
  <c r="F156" i="7"/>
  <c r="E156" i="7"/>
  <c r="D156" i="7"/>
  <c r="C156" i="7"/>
  <c r="B156" i="7"/>
  <c r="A156" i="7"/>
  <c r="F155" i="7"/>
  <c r="E155" i="7"/>
  <c r="D155" i="7"/>
  <c r="C155" i="7"/>
  <c r="B155" i="7"/>
  <c r="A155" i="7"/>
  <c r="F154" i="7"/>
  <c r="E154" i="7"/>
  <c r="D154" i="7"/>
  <c r="C154" i="7"/>
  <c r="B154" i="7"/>
  <c r="A154" i="7"/>
  <c r="F153" i="7"/>
  <c r="E153" i="7"/>
  <c r="D153" i="7"/>
  <c r="C153" i="7"/>
  <c r="B153" i="7"/>
  <c r="A153" i="7"/>
  <c r="F152" i="7"/>
  <c r="E152" i="7"/>
  <c r="D152" i="7"/>
  <c r="C152" i="7"/>
  <c r="B152" i="7"/>
  <c r="A152" i="7"/>
  <c r="F151" i="7"/>
  <c r="E151" i="7"/>
  <c r="D151" i="7"/>
  <c r="C151" i="7"/>
  <c r="B151" i="7"/>
  <c r="A151" i="7"/>
  <c r="F150" i="7"/>
  <c r="E150" i="7"/>
  <c r="D150" i="7"/>
  <c r="C150" i="7"/>
  <c r="B150" i="7"/>
  <c r="A150" i="7"/>
  <c r="F149" i="7"/>
  <c r="E149" i="7"/>
  <c r="D149" i="7"/>
  <c r="C149" i="7"/>
  <c r="B149" i="7"/>
  <c r="A149" i="7"/>
  <c r="F148" i="7"/>
  <c r="E148" i="7"/>
  <c r="D148" i="7"/>
  <c r="C148" i="7"/>
  <c r="B148" i="7"/>
  <c r="A148" i="7"/>
  <c r="F147" i="7"/>
  <c r="E147" i="7"/>
  <c r="D147" i="7"/>
  <c r="C147" i="7"/>
  <c r="B147" i="7"/>
  <c r="A147" i="7"/>
  <c r="F146" i="7"/>
  <c r="E146" i="7"/>
  <c r="D146" i="7"/>
  <c r="C146" i="7"/>
  <c r="B146" i="7"/>
  <c r="A146" i="7"/>
  <c r="F145" i="7"/>
  <c r="E145" i="7"/>
  <c r="D145" i="7"/>
  <c r="C145" i="7"/>
  <c r="B145" i="7"/>
  <c r="A145" i="7"/>
  <c r="F144" i="7"/>
  <c r="E144" i="7"/>
  <c r="D144" i="7"/>
  <c r="C144" i="7"/>
  <c r="B144" i="7"/>
  <c r="A144" i="7"/>
  <c r="F143" i="7"/>
  <c r="E143" i="7"/>
  <c r="D143" i="7"/>
  <c r="C143" i="7"/>
  <c r="B143" i="7"/>
  <c r="A143" i="7"/>
  <c r="F142" i="7"/>
  <c r="E142" i="7"/>
  <c r="D142" i="7"/>
  <c r="C142" i="7"/>
  <c r="B142" i="7"/>
  <c r="A142" i="7"/>
  <c r="F141" i="7"/>
  <c r="E141" i="7"/>
  <c r="D141" i="7"/>
  <c r="C141" i="7"/>
  <c r="B141" i="7"/>
  <c r="A141" i="7"/>
  <c r="F140" i="7"/>
  <c r="E140" i="7"/>
  <c r="D140" i="7"/>
  <c r="C140" i="7"/>
  <c r="B140" i="7"/>
  <c r="A140" i="7"/>
  <c r="F139" i="7"/>
  <c r="E139" i="7"/>
  <c r="D139" i="7"/>
  <c r="C139" i="7"/>
  <c r="B139" i="7"/>
  <c r="A139" i="7"/>
  <c r="F138" i="7"/>
  <c r="E138" i="7"/>
  <c r="D138" i="7"/>
  <c r="C138" i="7"/>
  <c r="B138" i="7"/>
  <c r="A138" i="7"/>
  <c r="F137" i="7"/>
  <c r="E137" i="7"/>
  <c r="D137" i="7"/>
  <c r="C137" i="7"/>
  <c r="B137" i="7"/>
  <c r="A137" i="7"/>
  <c r="F136" i="7"/>
  <c r="E136" i="7"/>
  <c r="D136" i="7"/>
  <c r="C136" i="7"/>
  <c r="B136" i="7"/>
  <c r="A136" i="7"/>
  <c r="F135" i="7"/>
  <c r="E135" i="7"/>
  <c r="D135" i="7"/>
  <c r="C135" i="7"/>
  <c r="B135" i="7"/>
  <c r="A135" i="7"/>
  <c r="F134" i="7"/>
  <c r="E134" i="7"/>
  <c r="D134" i="7"/>
  <c r="C134" i="7"/>
  <c r="B134" i="7"/>
  <c r="A134" i="7"/>
  <c r="F133" i="7"/>
  <c r="E133" i="7"/>
  <c r="D133" i="7"/>
  <c r="C133" i="7"/>
  <c r="B133" i="7"/>
  <c r="A133" i="7"/>
  <c r="F132" i="7"/>
  <c r="E132" i="7"/>
  <c r="D132" i="7"/>
  <c r="C132" i="7"/>
  <c r="B132" i="7"/>
  <c r="A132" i="7"/>
  <c r="F131" i="7"/>
  <c r="E131" i="7"/>
  <c r="D131" i="7"/>
  <c r="C131" i="7"/>
  <c r="B131" i="7"/>
  <c r="A131" i="7"/>
  <c r="F130" i="7"/>
  <c r="E130" i="7"/>
  <c r="D130" i="7"/>
  <c r="C130" i="7"/>
  <c r="B130" i="7"/>
  <c r="A130" i="7"/>
  <c r="F129" i="7"/>
  <c r="E129" i="7"/>
  <c r="D129" i="7"/>
  <c r="C129" i="7"/>
  <c r="B129" i="7"/>
  <c r="A129" i="7"/>
  <c r="F128" i="7"/>
  <c r="E128" i="7"/>
  <c r="D128" i="7"/>
  <c r="C128" i="7"/>
  <c r="B128" i="7"/>
  <c r="A128" i="7"/>
  <c r="F127" i="7"/>
  <c r="E127" i="7"/>
  <c r="D127" i="7"/>
  <c r="C127" i="7"/>
  <c r="B127" i="7"/>
  <c r="A127" i="7"/>
  <c r="F126" i="7"/>
  <c r="E126" i="7"/>
  <c r="D126" i="7"/>
  <c r="C126" i="7"/>
  <c r="B126" i="7"/>
  <c r="A126" i="7"/>
  <c r="F125" i="7"/>
  <c r="E125" i="7"/>
  <c r="D125" i="7"/>
  <c r="C125" i="7"/>
  <c r="B125" i="7"/>
  <c r="A125" i="7"/>
  <c r="F124" i="7"/>
  <c r="E124" i="7"/>
  <c r="D124" i="7"/>
  <c r="C124" i="7"/>
  <c r="B124" i="7"/>
  <c r="A124" i="7"/>
  <c r="F123" i="7"/>
  <c r="E123" i="7"/>
  <c r="D123" i="7"/>
  <c r="C123" i="7"/>
  <c r="B123" i="7"/>
  <c r="A123" i="7"/>
  <c r="F122" i="7"/>
  <c r="E122" i="7"/>
  <c r="D122" i="7"/>
  <c r="C122" i="7"/>
  <c r="B122" i="7"/>
  <c r="A122" i="7"/>
  <c r="F121" i="7"/>
  <c r="E121" i="7"/>
  <c r="D121" i="7"/>
  <c r="C121" i="7"/>
  <c r="B121" i="7"/>
  <c r="A121" i="7"/>
  <c r="F120" i="7"/>
  <c r="E120" i="7"/>
  <c r="D120" i="7"/>
  <c r="C120" i="7"/>
  <c r="B120" i="7"/>
  <c r="A120" i="7"/>
  <c r="F119" i="7"/>
  <c r="E119" i="7"/>
  <c r="D119" i="7"/>
  <c r="C119" i="7"/>
  <c r="B119" i="7"/>
  <c r="A119" i="7"/>
  <c r="F118" i="7"/>
  <c r="E118" i="7"/>
  <c r="D118" i="7"/>
  <c r="C118" i="7"/>
  <c r="B118" i="7"/>
  <c r="A118" i="7"/>
  <c r="F117" i="7"/>
  <c r="E117" i="7"/>
  <c r="D117" i="7"/>
  <c r="C117" i="7"/>
  <c r="B117" i="7"/>
  <c r="A117" i="7"/>
  <c r="F116" i="7"/>
  <c r="E116" i="7"/>
  <c r="D116" i="7"/>
  <c r="C116" i="7"/>
  <c r="B116" i="7"/>
  <c r="A116" i="7"/>
  <c r="F115" i="7"/>
  <c r="E115" i="7"/>
  <c r="D115" i="7"/>
  <c r="C115" i="7"/>
  <c r="B115" i="7"/>
  <c r="A115" i="7"/>
  <c r="F114" i="7"/>
  <c r="E114" i="7"/>
  <c r="D114" i="7"/>
  <c r="C114" i="7"/>
  <c r="B114" i="7"/>
  <c r="A114" i="7"/>
  <c r="F113" i="7"/>
  <c r="E113" i="7"/>
  <c r="D113" i="7"/>
  <c r="C113" i="7"/>
  <c r="B113" i="7"/>
  <c r="A113" i="7"/>
  <c r="F112" i="7"/>
  <c r="E112" i="7"/>
  <c r="D112" i="7"/>
  <c r="C112" i="7"/>
  <c r="B112" i="7"/>
  <c r="A112" i="7"/>
  <c r="F111" i="7"/>
  <c r="E111" i="7"/>
  <c r="D111" i="7"/>
  <c r="C111" i="7"/>
  <c r="B111" i="7"/>
  <c r="A111" i="7"/>
  <c r="F110" i="7"/>
  <c r="E110" i="7"/>
  <c r="D110" i="7"/>
  <c r="C110" i="7"/>
  <c r="B110" i="7"/>
  <c r="A110" i="7"/>
  <c r="F109" i="7"/>
  <c r="E109" i="7"/>
  <c r="D109" i="7"/>
  <c r="C109" i="7"/>
  <c r="B109" i="7"/>
  <c r="A109" i="7"/>
  <c r="F108" i="7"/>
  <c r="E108" i="7"/>
  <c r="D108" i="7"/>
  <c r="C108" i="7"/>
  <c r="B108" i="7"/>
  <c r="A108" i="7"/>
  <c r="F107" i="7"/>
  <c r="E107" i="7"/>
  <c r="D107" i="7"/>
  <c r="C107" i="7"/>
  <c r="B107" i="7"/>
  <c r="A107" i="7"/>
  <c r="F106" i="7"/>
  <c r="E106" i="7"/>
  <c r="D106" i="7"/>
  <c r="C106" i="7"/>
  <c r="B106" i="7"/>
  <c r="A106" i="7"/>
  <c r="F105" i="7"/>
  <c r="E105" i="7"/>
  <c r="D105" i="7"/>
  <c r="C105" i="7"/>
  <c r="B105" i="7"/>
  <c r="A105" i="7"/>
  <c r="F104" i="7"/>
  <c r="E104" i="7"/>
  <c r="D104" i="7"/>
  <c r="C104" i="7"/>
  <c r="B104" i="7"/>
  <c r="A104" i="7"/>
  <c r="F103" i="7"/>
  <c r="E103" i="7"/>
  <c r="D103" i="7"/>
  <c r="C103" i="7"/>
  <c r="B103" i="7"/>
  <c r="A103" i="7"/>
  <c r="F102" i="7"/>
  <c r="E102" i="7"/>
  <c r="D102" i="7"/>
  <c r="C102" i="7"/>
  <c r="B102" i="7"/>
  <c r="A102" i="7"/>
  <c r="F101" i="7"/>
  <c r="E101" i="7"/>
  <c r="D101" i="7"/>
  <c r="C101" i="7"/>
  <c r="B101" i="7"/>
  <c r="A101" i="7"/>
  <c r="F100" i="7"/>
  <c r="E100" i="7"/>
  <c r="D100" i="7"/>
  <c r="C100" i="7"/>
  <c r="B100" i="7"/>
  <c r="A100" i="7"/>
  <c r="F99" i="7"/>
  <c r="E99" i="7"/>
  <c r="D99" i="7"/>
  <c r="C99" i="7"/>
  <c r="B99" i="7"/>
  <c r="A99" i="7"/>
  <c r="F98" i="7"/>
  <c r="E98" i="7"/>
  <c r="D98" i="7"/>
  <c r="C98" i="7"/>
  <c r="B98" i="7"/>
  <c r="A98" i="7"/>
  <c r="F97" i="7"/>
  <c r="E97" i="7"/>
  <c r="D97" i="7"/>
  <c r="C97" i="7"/>
  <c r="B97" i="7"/>
  <c r="A97" i="7"/>
  <c r="F96" i="7"/>
  <c r="E96" i="7"/>
  <c r="D96" i="7"/>
  <c r="C96" i="7"/>
  <c r="B96" i="7"/>
  <c r="A96" i="7"/>
  <c r="F95" i="7"/>
  <c r="E95" i="7"/>
  <c r="D95" i="7"/>
  <c r="C95" i="7"/>
  <c r="B95" i="7"/>
  <c r="A95" i="7"/>
  <c r="F94" i="7"/>
  <c r="E94" i="7"/>
  <c r="D94" i="7"/>
  <c r="C94" i="7"/>
  <c r="B94" i="7"/>
  <c r="A94" i="7"/>
  <c r="F93" i="7"/>
  <c r="E93" i="7"/>
  <c r="D93" i="7"/>
  <c r="C93" i="7"/>
  <c r="B93" i="7"/>
  <c r="A93" i="7"/>
  <c r="F92" i="7"/>
  <c r="E92" i="7"/>
  <c r="D92" i="7"/>
  <c r="C92" i="7"/>
  <c r="B92" i="7"/>
  <c r="A92" i="7"/>
  <c r="F91" i="7"/>
  <c r="E91" i="7"/>
  <c r="D91" i="7"/>
  <c r="C91" i="7"/>
  <c r="B91" i="7"/>
  <c r="A91" i="7"/>
  <c r="F90" i="7"/>
  <c r="E90" i="7"/>
  <c r="D90" i="7"/>
  <c r="C90" i="7"/>
  <c r="B90" i="7"/>
  <c r="A90" i="7"/>
  <c r="F89" i="7"/>
  <c r="E89" i="7"/>
  <c r="D89" i="7"/>
  <c r="C89" i="7"/>
  <c r="B89" i="7"/>
  <c r="A89" i="7"/>
  <c r="F88" i="7"/>
  <c r="E88" i="7"/>
  <c r="D88" i="7"/>
  <c r="C88" i="7"/>
  <c r="B88" i="7"/>
  <c r="A88" i="7"/>
  <c r="F87" i="7"/>
  <c r="E87" i="7"/>
  <c r="D87" i="7"/>
  <c r="C87" i="7"/>
  <c r="B87" i="7"/>
  <c r="A87" i="7"/>
  <c r="F86" i="7"/>
  <c r="E86" i="7"/>
  <c r="D86" i="7"/>
  <c r="C86" i="7"/>
  <c r="B86" i="7"/>
  <c r="A86" i="7"/>
  <c r="F85" i="7"/>
  <c r="E85" i="7"/>
  <c r="D85" i="7"/>
  <c r="C85" i="7"/>
  <c r="B85" i="7"/>
  <c r="A85" i="7"/>
  <c r="F84" i="7"/>
  <c r="E84" i="7"/>
  <c r="D84" i="7"/>
  <c r="C84" i="7"/>
  <c r="B84" i="7"/>
  <c r="A84" i="7"/>
  <c r="F83" i="7"/>
  <c r="E83" i="7"/>
  <c r="D83" i="7"/>
  <c r="C83" i="7"/>
  <c r="B83" i="7"/>
  <c r="A83" i="7"/>
  <c r="F82" i="7"/>
  <c r="E82" i="7"/>
  <c r="D82" i="7"/>
  <c r="C82" i="7"/>
  <c r="B82" i="7"/>
  <c r="A82" i="7"/>
  <c r="F81" i="7"/>
  <c r="E81" i="7"/>
  <c r="D81" i="7"/>
  <c r="C81" i="7"/>
  <c r="B81" i="7"/>
  <c r="A81" i="7"/>
  <c r="F80" i="7"/>
  <c r="E80" i="7"/>
  <c r="D80" i="7"/>
  <c r="C80" i="7"/>
  <c r="B80" i="7"/>
  <c r="A80" i="7"/>
  <c r="F79" i="7"/>
  <c r="E79" i="7"/>
  <c r="D79" i="7"/>
  <c r="C79" i="7"/>
  <c r="B79" i="7"/>
  <c r="A79" i="7"/>
  <c r="F78" i="7"/>
  <c r="E78" i="7"/>
  <c r="D78" i="7"/>
  <c r="C78" i="7"/>
  <c r="B78" i="7"/>
  <c r="A78" i="7"/>
  <c r="F77" i="7"/>
  <c r="E77" i="7"/>
  <c r="D77" i="7"/>
  <c r="C77" i="7"/>
  <c r="B77" i="7"/>
  <c r="A77" i="7"/>
  <c r="F76" i="7"/>
  <c r="E76" i="7"/>
  <c r="D76" i="7"/>
  <c r="C76" i="7"/>
  <c r="B76" i="7"/>
  <c r="A76" i="7"/>
  <c r="F75" i="7"/>
  <c r="E75" i="7"/>
  <c r="D75" i="7"/>
  <c r="C75" i="7"/>
  <c r="B75" i="7"/>
  <c r="A75" i="7"/>
  <c r="F74" i="7"/>
  <c r="E74" i="7"/>
  <c r="D74" i="7"/>
  <c r="C74" i="7"/>
  <c r="B74" i="7"/>
  <c r="A74" i="7"/>
  <c r="F73" i="7"/>
  <c r="E73" i="7"/>
  <c r="D73" i="7"/>
  <c r="C73" i="7"/>
  <c r="B73" i="7"/>
  <c r="A73" i="7"/>
  <c r="F72" i="7"/>
  <c r="E72" i="7"/>
  <c r="D72" i="7"/>
  <c r="C72" i="7"/>
  <c r="B72" i="7"/>
  <c r="A72" i="7"/>
  <c r="F71" i="7"/>
  <c r="E71" i="7"/>
  <c r="D71" i="7"/>
  <c r="C71" i="7"/>
  <c r="B71" i="7"/>
  <c r="A71" i="7"/>
  <c r="F70" i="7"/>
  <c r="E70" i="7"/>
  <c r="D70" i="7"/>
  <c r="C70" i="7"/>
  <c r="B70" i="7"/>
  <c r="A70" i="7"/>
  <c r="F69" i="7"/>
  <c r="E69" i="7"/>
  <c r="D69" i="7"/>
  <c r="C69" i="7"/>
  <c r="B69" i="7"/>
  <c r="A69" i="7"/>
  <c r="F68" i="7"/>
  <c r="E68" i="7"/>
  <c r="D68" i="7"/>
  <c r="C68" i="7"/>
  <c r="B68" i="7"/>
  <c r="A68" i="7"/>
  <c r="F67" i="7"/>
  <c r="E67" i="7"/>
  <c r="D67" i="7"/>
  <c r="C67" i="7"/>
  <c r="B67" i="7"/>
  <c r="A67" i="7"/>
  <c r="F66" i="7"/>
  <c r="E66" i="7"/>
  <c r="D66" i="7"/>
  <c r="C66" i="7"/>
  <c r="B66" i="7"/>
  <c r="A66" i="7"/>
  <c r="F65" i="7"/>
  <c r="E65" i="7"/>
  <c r="D65" i="7"/>
  <c r="C65" i="7"/>
  <c r="B65" i="7"/>
  <c r="A65" i="7"/>
  <c r="F64" i="7"/>
  <c r="E64" i="7"/>
  <c r="D64" i="7"/>
  <c r="C64" i="7"/>
  <c r="B64" i="7"/>
  <c r="A64" i="7"/>
  <c r="F63" i="7"/>
  <c r="E63" i="7"/>
  <c r="D63" i="7"/>
  <c r="C63" i="7"/>
  <c r="B63" i="7"/>
  <c r="A63" i="7"/>
  <c r="F62" i="7"/>
  <c r="E62" i="7"/>
  <c r="D62" i="7"/>
  <c r="C62" i="7"/>
  <c r="B62" i="7"/>
  <c r="A62" i="7"/>
  <c r="F61" i="7"/>
  <c r="E61" i="7"/>
  <c r="D61" i="7"/>
  <c r="C61" i="7"/>
  <c r="B61" i="7"/>
  <c r="A61" i="7"/>
  <c r="F60" i="7"/>
  <c r="E60" i="7"/>
  <c r="D60" i="7"/>
  <c r="C60" i="7"/>
  <c r="B60" i="7"/>
  <c r="A60" i="7"/>
  <c r="F59" i="7"/>
  <c r="E59" i="7"/>
  <c r="D59" i="7"/>
  <c r="C59" i="7"/>
  <c r="B59" i="7"/>
  <c r="A59" i="7"/>
  <c r="F58" i="7"/>
  <c r="E58" i="7"/>
  <c r="D58" i="7"/>
  <c r="C58" i="7"/>
  <c r="B58" i="7"/>
  <c r="A58" i="7"/>
  <c r="F57" i="7"/>
  <c r="E57" i="7"/>
  <c r="D57" i="7"/>
  <c r="C57" i="7"/>
  <c r="B57" i="7"/>
  <c r="A57" i="7"/>
  <c r="F56" i="7"/>
  <c r="E56" i="7"/>
  <c r="D56" i="7"/>
  <c r="C56" i="7"/>
  <c r="B56" i="7"/>
  <c r="A56" i="7"/>
  <c r="F55" i="7"/>
  <c r="E55" i="7"/>
  <c r="D55" i="7"/>
  <c r="C55" i="7"/>
  <c r="B55" i="7"/>
  <c r="A55" i="7"/>
  <c r="F54" i="7"/>
  <c r="E54" i="7"/>
  <c r="D54" i="7"/>
  <c r="C54" i="7"/>
  <c r="B54" i="7"/>
  <c r="A54" i="7"/>
  <c r="F53" i="7"/>
  <c r="E53" i="7"/>
  <c r="D53" i="7"/>
  <c r="C53" i="7"/>
  <c r="B53" i="7"/>
  <c r="A53" i="7"/>
  <c r="F52" i="7"/>
  <c r="E52" i="7"/>
  <c r="D52" i="7"/>
  <c r="C52" i="7"/>
  <c r="B52" i="7"/>
  <c r="A52" i="7"/>
  <c r="F51" i="7"/>
  <c r="E51" i="7"/>
  <c r="D51" i="7"/>
  <c r="C51" i="7"/>
  <c r="B51" i="7"/>
  <c r="A51" i="7"/>
  <c r="F50" i="7"/>
  <c r="E50" i="7"/>
  <c r="D50" i="7"/>
  <c r="C50" i="7"/>
  <c r="B50" i="7"/>
  <c r="A50" i="7"/>
  <c r="F49" i="7"/>
  <c r="E49" i="7"/>
  <c r="D49" i="7"/>
  <c r="C49" i="7"/>
  <c r="B49" i="7"/>
  <c r="A49" i="7"/>
  <c r="F48" i="7"/>
  <c r="E48" i="7"/>
  <c r="D48" i="7"/>
  <c r="C48" i="7"/>
  <c r="B48" i="7"/>
  <c r="A48" i="7"/>
  <c r="F47" i="7"/>
  <c r="E47" i="7"/>
  <c r="D47" i="7"/>
  <c r="C47" i="7"/>
  <c r="B47" i="7"/>
  <c r="A47" i="7"/>
  <c r="F46" i="7"/>
  <c r="E46" i="7"/>
  <c r="D46" i="7"/>
  <c r="C46" i="7"/>
  <c r="B46" i="7"/>
  <c r="A46" i="7"/>
  <c r="F45" i="7"/>
  <c r="E45" i="7"/>
  <c r="D45" i="7"/>
  <c r="C45" i="7"/>
  <c r="B45" i="7"/>
  <c r="A45" i="7"/>
  <c r="F44" i="7"/>
  <c r="E44" i="7"/>
  <c r="D44" i="7"/>
  <c r="C44" i="7"/>
  <c r="B44" i="7"/>
  <c r="A44" i="7"/>
  <c r="F43" i="7"/>
  <c r="E43" i="7"/>
  <c r="D43" i="7"/>
  <c r="C43" i="7"/>
  <c r="B43" i="7"/>
  <c r="A43" i="7"/>
  <c r="F42" i="7"/>
  <c r="E42" i="7"/>
  <c r="D42" i="7"/>
  <c r="C42" i="7"/>
  <c r="B42" i="7"/>
  <c r="A42" i="7"/>
  <c r="F41" i="7"/>
  <c r="E41" i="7"/>
  <c r="D41" i="7"/>
  <c r="C41" i="7"/>
  <c r="B41" i="7"/>
  <c r="A41" i="7"/>
  <c r="F40" i="7"/>
  <c r="E40" i="7"/>
  <c r="D40" i="7"/>
  <c r="C40" i="7"/>
  <c r="B40" i="7"/>
  <c r="A40" i="7"/>
  <c r="F39" i="7"/>
  <c r="E39" i="7"/>
  <c r="D39" i="7"/>
  <c r="C39" i="7"/>
  <c r="B39" i="7"/>
  <c r="A39" i="7"/>
  <c r="F38" i="7"/>
  <c r="E38" i="7"/>
  <c r="D38" i="7"/>
  <c r="C38" i="7"/>
  <c r="B38" i="7"/>
  <c r="A38" i="7"/>
  <c r="F37" i="7"/>
  <c r="E37" i="7"/>
  <c r="D37" i="7"/>
  <c r="C37" i="7"/>
  <c r="B37" i="7"/>
  <c r="A37" i="7"/>
  <c r="F36" i="7"/>
  <c r="E36" i="7"/>
  <c r="D36" i="7"/>
  <c r="C36" i="7"/>
  <c r="B36" i="7"/>
  <c r="A36" i="7"/>
  <c r="F35" i="7"/>
  <c r="E35" i="7"/>
  <c r="D35" i="7"/>
  <c r="C35" i="7"/>
  <c r="B35" i="7"/>
  <c r="A35" i="7"/>
  <c r="F34" i="7"/>
  <c r="E34" i="7"/>
  <c r="D34" i="7"/>
  <c r="C34" i="7"/>
  <c r="B34" i="7"/>
  <c r="A34" i="7"/>
  <c r="F33" i="7"/>
  <c r="E33" i="7"/>
  <c r="D33" i="7"/>
  <c r="C33" i="7"/>
  <c r="B33" i="7"/>
  <c r="A33" i="7"/>
  <c r="F32" i="7"/>
  <c r="E32" i="7"/>
  <c r="D32" i="7"/>
  <c r="C32" i="7"/>
  <c r="B32" i="7"/>
  <c r="A32" i="7"/>
  <c r="F31" i="7"/>
  <c r="E31" i="7"/>
  <c r="D31" i="7"/>
  <c r="C31" i="7"/>
  <c r="B31" i="7"/>
  <c r="A31" i="7"/>
  <c r="F30" i="7"/>
  <c r="E30" i="7"/>
  <c r="D30" i="7"/>
  <c r="C30" i="7"/>
  <c r="B30" i="7"/>
  <c r="A30" i="7"/>
  <c r="F29" i="7"/>
  <c r="E29" i="7"/>
  <c r="D29" i="7"/>
  <c r="C29" i="7"/>
  <c r="B29" i="7"/>
  <c r="A29" i="7"/>
  <c r="F28" i="7"/>
  <c r="E28" i="7"/>
  <c r="D28" i="7"/>
  <c r="C28" i="7"/>
  <c r="B28" i="7"/>
  <c r="A28" i="7"/>
  <c r="F27" i="7"/>
  <c r="E27" i="7"/>
  <c r="D27" i="7"/>
  <c r="C27" i="7"/>
  <c r="B27" i="7"/>
  <c r="A27" i="7"/>
  <c r="F26" i="7"/>
  <c r="E26" i="7"/>
  <c r="D26" i="7"/>
  <c r="C26" i="7"/>
  <c r="B26" i="7"/>
  <c r="A26" i="7"/>
  <c r="F25" i="7"/>
  <c r="E25" i="7"/>
  <c r="D25" i="7"/>
  <c r="C25" i="7"/>
  <c r="B25" i="7"/>
  <c r="A25" i="7"/>
  <c r="F24" i="7"/>
  <c r="E24" i="7"/>
  <c r="D24" i="7"/>
  <c r="C24" i="7"/>
  <c r="B24" i="7"/>
  <c r="A24" i="7"/>
  <c r="F23" i="7"/>
  <c r="E23" i="7"/>
  <c r="D23" i="7"/>
  <c r="C23" i="7"/>
  <c r="B23" i="7"/>
  <c r="A23" i="7"/>
  <c r="F22" i="7"/>
  <c r="E22" i="7"/>
  <c r="D22" i="7"/>
  <c r="C22" i="7"/>
  <c r="B22" i="7"/>
  <c r="A22" i="7"/>
  <c r="F21" i="7"/>
  <c r="E21" i="7"/>
  <c r="D21" i="7"/>
  <c r="C21" i="7"/>
  <c r="B21" i="7"/>
  <c r="A21" i="7"/>
  <c r="F20" i="7"/>
  <c r="E20" i="7"/>
  <c r="D20" i="7"/>
  <c r="C20" i="7"/>
  <c r="B20" i="7"/>
  <c r="A20" i="7"/>
  <c r="F19" i="7"/>
  <c r="E19" i="7"/>
  <c r="D19" i="7"/>
  <c r="C19" i="7"/>
  <c r="B19" i="7"/>
  <c r="A19" i="7"/>
  <c r="F18" i="7"/>
  <c r="E18" i="7"/>
  <c r="D18" i="7"/>
  <c r="C18" i="7"/>
  <c r="B18" i="7"/>
  <c r="A18" i="7"/>
  <c r="F17" i="7"/>
  <c r="E17" i="7"/>
  <c r="D17" i="7"/>
  <c r="C17" i="7"/>
  <c r="B17" i="7"/>
  <c r="A17" i="7"/>
  <c r="F16" i="7"/>
  <c r="E16" i="7"/>
  <c r="D16" i="7"/>
  <c r="C16" i="7"/>
  <c r="B16" i="7"/>
  <c r="A16" i="7"/>
  <c r="F15" i="7"/>
  <c r="E15" i="7"/>
  <c r="D15" i="7"/>
  <c r="C15" i="7"/>
  <c r="B15" i="7"/>
  <c r="A15" i="7"/>
  <c r="F14" i="7"/>
  <c r="E14" i="7"/>
  <c r="D14" i="7"/>
  <c r="C14" i="7"/>
  <c r="B14" i="7"/>
  <c r="A14" i="7"/>
  <c r="F13" i="7"/>
  <c r="E13" i="7"/>
  <c r="D13" i="7"/>
  <c r="C13" i="7"/>
  <c r="B13" i="7"/>
  <c r="A13" i="7"/>
  <c r="F12" i="7"/>
  <c r="E12" i="7"/>
  <c r="D12" i="7"/>
  <c r="C12" i="7"/>
  <c r="B12" i="7"/>
  <c r="A12" i="7"/>
  <c r="F11" i="7"/>
  <c r="E11" i="7"/>
  <c r="D11" i="7"/>
  <c r="C11" i="7"/>
  <c r="B11" i="7"/>
  <c r="A11" i="7"/>
  <c r="F10" i="7"/>
  <c r="E10" i="7"/>
  <c r="D10" i="7"/>
  <c r="C10" i="7"/>
  <c r="B10" i="7"/>
  <c r="A10" i="7"/>
  <c r="F9" i="7"/>
  <c r="E9" i="7"/>
  <c r="D9" i="7"/>
  <c r="C9" i="7"/>
  <c r="B9" i="7"/>
  <c r="A9" i="7"/>
  <c r="F8" i="7"/>
  <c r="E8" i="7"/>
  <c r="D8" i="7"/>
  <c r="C8" i="7"/>
  <c r="B8" i="7"/>
  <c r="A8" i="7"/>
  <c r="F7" i="7"/>
  <c r="E7" i="7"/>
  <c r="D7" i="7"/>
  <c r="C7" i="7"/>
  <c r="B7" i="7"/>
  <c r="A7" i="7"/>
  <c r="F6" i="7"/>
  <c r="E6" i="7"/>
  <c r="D6" i="7"/>
  <c r="C6" i="7"/>
  <c r="B6" i="7"/>
  <c r="A6" i="7"/>
  <c r="F5" i="7"/>
  <c r="E5" i="7"/>
  <c r="D5" i="7"/>
  <c r="C5" i="7"/>
  <c r="B5" i="7"/>
  <c r="A5" i="7"/>
  <c r="F3" i="7"/>
  <c r="F1" i="7" s="1"/>
  <c r="S1" i="6" s="1"/>
  <c r="AQ202" i="6"/>
  <c r="AP202" i="6"/>
  <c r="AO202" i="6"/>
  <c r="AN202" i="6"/>
  <c r="AR202" i="6" s="1"/>
  <c r="H202" i="6"/>
  <c r="E202" i="6"/>
  <c r="A202" i="6"/>
  <c r="AQ201" i="6"/>
  <c r="AR201" i="6" s="1"/>
  <c r="AP201" i="6"/>
  <c r="AO201" i="6"/>
  <c r="AN201" i="6"/>
  <c r="H201" i="6"/>
  <c r="E201" i="6"/>
  <c r="A201" i="6"/>
  <c r="AQ200" i="6"/>
  <c r="AP200" i="6"/>
  <c r="AO200" i="6"/>
  <c r="AN200" i="6"/>
  <c r="AR200" i="6" s="1"/>
  <c r="H200" i="6"/>
  <c r="E200" i="6"/>
  <c r="A200" i="6"/>
  <c r="AQ199" i="6"/>
  <c r="AP199" i="6"/>
  <c r="AO199" i="6"/>
  <c r="AN199" i="6"/>
  <c r="AR199" i="6" s="1"/>
  <c r="H199" i="6"/>
  <c r="E199" i="6"/>
  <c r="A199" i="6"/>
  <c r="AQ198" i="6"/>
  <c r="AR198" i="6" s="1"/>
  <c r="AP198" i="6"/>
  <c r="AO198" i="6"/>
  <c r="AN198" i="6"/>
  <c r="H198" i="6"/>
  <c r="E198" i="6"/>
  <c r="A198" i="6"/>
  <c r="AQ197" i="6"/>
  <c r="AP197" i="6"/>
  <c r="AO197" i="6"/>
  <c r="AN197" i="6"/>
  <c r="AR197" i="6" s="1"/>
  <c r="H197" i="6"/>
  <c r="E197" i="6"/>
  <c r="A197" i="6"/>
  <c r="AQ196" i="6"/>
  <c r="AP196" i="6"/>
  <c r="AO196" i="6"/>
  <c r="AR196" i="6" s="1"/>
  <c r="AN196" i="6"/>
  <c r="H196" i="6"/>
  <c r="E196" i="6"/>
  <c r="A196" i="6"/>
  <c r="AR195" i="6"/>
  <c r="AQ195" i="6"/>
  <c r="AP195" i="6"/>
  <c r="AO195" i="6"/>
  <c r="AN195" i="6"/>
  <c r="H195" i="6"/>
  <c r="E195" i="6"/>
  <c r="A195" i="6"/>
  <c r="AQ194" i="6"/>
  <c r="AP194" i="6"/>
  <c r="AO194" i="6"/>
  <c r="AN194" i="6"/>
  <c r="AR194" i="6" s="1"/>
  <c r="H194" i="6"/>
  <c r="E194" i="6"/>
  <c r="A194" i="6"/>
  <c r="AQ193" i="6"/>
  <c r="AR193" i="6" s="1"/>
  <c r="AP193" i="6"/>
  <c r="AO193" i="6"/>
  <c r="AN193" i="6"/>
  <c r="H193" i="6"/>
  <c r="E193" i="6"/>
  <c r="A193" i="6"/>
  <c r="AQ192" i="6"/>
  <c r="AP192" i="6"/>
  <c r="AO192" i="6"/>
  <c r="AN192" i="6"/>
  <c r="AR192" i="6" s="1"/>
  <c r="H192" i="6"/>
  <c r="E192" i="6"/>
  <c r="A192" i="6"/>
  <c r="AQ191" i="6"/>
  <c r="AP191" i="6"/>
  <c r="AO191" i="6"/>
  <c r="AN191" i="6"/>
  <c r="AR191" i="6" s="1"/>
  <c r="H191" i="6"/>
  <c r="E191" i="6"/>
  <c r="A191" i="6"/>
  <c r="AQ190" i="6"/>
  <c r="AP190" i="6"/>
  <c r="AO190" i="6"/>
  <c r="AR190" i="6" s="1"/>
  <c r="AN190" i="6"/>
  <c r="H190" i="6"/>
  <c r="E190" i="6"/>
  <c r="A190" i="6"/>
  <c r="AQ189" i="6"/>
  <c r="AP189" i="6"/>
  <c r="AO189" i="6"/>
  <c r="AN189" i="6"/>
  <c r="AR189" i="6" s="1"/>
  <c r="H189" i="6"/>
  <c r="E189" i="6"/>
  <c r="A189" i="6"/>
  <c r="AQ188" i="6"/>
  <c r="AP188" i="6"/>
  <c r="AO188" i="6"/>
  <c r="AR188" i="6" s="1"/>
  <c r="AN188" i="6"/>
  <c r="H188" i="6"/>
  <c r="E188" i="6"/>
  <c r="A188" i="6"/>
  <c r="AR187" i="6"/>
  <c r="AQ187" i="6"/>
  <c r="AP187" i="6"/>
  <c r="AO187" i="6"/>
  <c r="AN187" i="6"/>
  <c r="H187" i="6"/>
  <c r="E187" i="6"/>
  <c r="A187" i="6"/>
  <c r="AQ186" i="6"/>
  <c r="AP186" i="6"/>
  <c r="AO186" i="6"/>
  <c r="AN186" i="6"/>
  <c r="AR186" i="6" s="1"/>
  <c r="H186" i="6"/>
  <c r="E186" i="6"/>
  <c r="A186" i="6"/>
  <c r="AQ185" i="6"/>
  <c r="AR185" i="6" s="1"/>
  <c r="AP185" i="6"/>
  <c r="AO185" i="6"/>
  <c r="AN185" i="6"/>
  <c r="H185" i="6"/>
  <c r="E185" i="6"/>
  <c r="A185" i="6"/>
  <c r="AQ184" i="6"/>
  <c r="AP184" i="6"/>
  <c r="AO184" i="6"/>
  <c r="AN184" i="6"/>
  <c r="AR184" i="6" s="1"/>
  <c r="H184" i="6"/>
  <c r="E184" i="6"/>
  <c r="A184" i="6"/>
  <c r="AQ183" i="6"/>
  <c r="AP183" i="6"/>
  <c r="AO183" i="6"/>
  <c r="AN183" i="6"/>
  <c r="AR183" i="6" s="1"/>
  <c r="H183" i="6"/>
  <c r="E183" i="6"/>
  <c r="A183" i="6"/>
  <c r="AQ182" i="6"/>
  <c r="AP182" i="6"/>
  <c r="AO182" i="6"/>
  <c r="AR182" i="6" s="1"/>
  <c r="AN182" i="6"/>
  <c r="H182" i="6"/>
  <c r="E182" i="6"/>
  <c r="A182" i="6"/>
  <c r="AQ181" i="6"/>
  <c r="AP181" i="6"/>
  <c r="AO181" i="6"/>
  <c r="AN181" i="6"/>
  <c r="AR181" i="6" s="1"/>
  <c r="H181" i="6"/>
  <c r="E181" i="6"/>
  <c r="A181" i="6"/>
  <c r="AQ180" i="6"/>
  <c r="AP180" i="6"/>
  <c r="AO180" i="6"/>
  <c r="AR180" i="6" s="1"/>
  <c r="AN180" i="6"/>
  <c r="H180" i="6"/>
  <c r="E180" i="6"/>
  <c r="A180" i="6"/>
  <c r="AR179" i="6"/>
  <c r="AQ179" i="6"/>
  <c r="AP179" i="6"/>
  <c r="AO179" i="6"/>
  <c r="AN179" i="6"/>
  <c r="H179" i="6"/>
  <c r="E179" i="6"/>
  <c r="A179" i="6"/>
  <c r="AQ178" i="6"/>
  <c r="AP178" i="6"/>
  <c r="AO178" i="6"/>
  <c r="AN178" i="6"/>
  <c r="AR178" i="6" s="1"/>
  <c r="H178" i="6"/>
  <c r="E178" i="6"/>
  <c r="A178" i="6"/>
  <c r="AR177" i="6"/>
  <c r="AQ177" i="6"/>
  <c r="AP177" i="6"/>
  <c r="AO177" i="6"/>
  <c r="AN177" i="6"/>
  <c r="H177" i="6"/>
  <c r="E177" i="6"/>
  <c r="A177" i="6"/>
  <c r="AQ176" i="6"/>
  <c r="AP176" i="6"/>
  <c r="AO176" i="6"/>
  <c r="AN176" i="6"/>
  <c r="AR176" i="6" s="1"/>
  <c r="H176" i="6"/>
  <c r="E176" i="6"/>
  <c r="A176" i="6"/>
  <c r="AQ175" i="6"/>
  <c r="AP175" i="6"/>
  <c r="AO175" i="6"/>
  <c r="AN175" i="6"/>
  <c r="AR175" i="6" s="1"/>
  <c r="H175" i="6"/>
  <c r="E175" i="6"/>
  <c r="A175" i="6"/>
  <c r="AQ174" i="6"/>
  <c r="AP174" i="6"/>
  <c r="AO174" i="6"/>
  <c r="AR174" i="6" s="1"/>
  <c r="AN174" i="6"/>
  <c r="H174" i="6"/>
  <c r="E174" i="6"/>
  <c r="A174" i="6"/>
  <c r="AQ173" i="6"/>
  <c r="AP173" i="6"/>
  <c r="AO173" i="6"/>
  <c r="AN173" i="6"/>
  <c r="AR173" i="6" s="1"/>
  <c r="H173" i="6"/>
  <c r="E173" i="6"/>
  <c r="A173" i="6"/>
  <c r="AQ172" i="6"/>
  <c r="AP172" i="6"/>
  <c r="AO172" i="6"/>
  <c r="AR172" i="6" s="1"/>
  <c r="AN172" i="6"/>
  <c r="H172" i="6"/>
  <c r="E172" i="6"/>
  <c r="A172" i="6"/>
  <c r="AQ171" i="6"/>
  <c r="AP171" i="6"/>
  <c r="AR171" i="6" s="1"/>
  <c r="AO171" i="6"/>
  <c r="AN171" i="6"/>
  <c r="H171" i="6"/>
  <c r="E171" i="6"/>
  <c r="A171" i="6"/>
  <c r="AQ170" i="6"/>
  <c r="AP170" i="6"/>
  <c r="AO170" i="6"/>
  <c r="AN170" i="6"/>
  <c r="AR170" i="6" s="1"/>
  <c r="H170" i="6"/>
  <c r="E170" i="6"/>
  <c r="A170" i="6"/>
  <c r="AR169" i="6"/>
  <c r="AQ169" i="6"/>
  <c r="AP169" i="6"/>
  <c r="AO169" i="6"/>
  <c r="AN169" i="6"/>
  <c r="H169" i="6"/>
  <c r="E169" i="6"/>
  <c r="A169" i="6"/>
  <c r="AQ168" i="6"/>
  <c r="AP168" i="6"/>
  <c r="AO168" i="6"/>
  <c r="AN168" i="6"/>
  <c r="AR168" i="6" s="1"/>
  <c r="H168" i="6"/>
  <c r="E168" i="6"/>
  <c r="A168" i="6"/>
  <c r="AQ167" i="6"/>
  <c r="AP167" i="6"/>
  <c r="AO167" i="6"/>
  <c r="AN167" i="6"/>
  <c r="AR167" i="6" s="1"/>
  <c r="H167" i="6"/>
  <c r="E167" i="6"/>
  <c r="A167" i="6"/>
  <c r="AQ166" i="6"/>
  <c r="AP166" i="6"/>
  <c r="AO166" i="6"/>
  <c r="AR166" i="6" s="1"/>
  <c r="AN166" i="6"/>
  <c r="H166" i="6"/>
  <c r="E166" i="6"/>
  <c r="A166" i="6"/>
  <c r="AQ165" i="6"/>
  <c r="AP165" i="6"/>
  <c r="AO165" i="6"/>
  <c r="AN165" i="6"/>
  <c r="AR165" i="6" s="1"/>
  <c r="H165" i="6"/>
  <c r="E165" i="6"/>
  <c r="A165" i="6"/>
  <c r="AQ164" i="6"/>
  <c r="AP164" i="6"/>
  <c r="AO164" i="6"/>
  <c r="AR164" i="6" s="1"/>
  <c r="AN164" i="6"/>
  <c r="H164" i="6"/>
  <c r="E164" i="6"/>
  <c r="A164" i="6"/>
  <c r="AQ163" i="6"/>
  <c r="AP163" i="6"/>
  <c r="AR163" i="6" s="1"/>
  <c r="AO163" i="6"/>
  <c r="AN163" i="6"/>
  <c r="H163" i="6"/>
  <c r="E163" i="6"/>
  <c r="A163" i="6"/>
  <c r="AQ162" i="6"/>
  <c r="AP162" i="6"/>
  <c r="AO162" i="6"/>
  <c r="AN162" i="6"/>
  <c r="AR162" i="6" s="1"/>
  <c r="H162" i="6"/>
  <c r="E162" i="6"/>
  <c r="A162" i="6"/>
  <c r="AR161" i="6"/>
  <c r="AQ161" i="6"/>
  <c r="AP161" i="6"/>
  <c r="AO161" i="6"/>
  <c r="AN161" i="6"/>
  <c r="H161" i="6"/>
  <c r="E161" i="6"/>
  <c r="A161" i="6"/>
  <c r="AQ160" i="6"/>
  <c r="AP160" i="6"/>
  <c r="AO160" i="6"/>
  <c r="AN160" i="6"/>
  <c r="AR160" i="6" s="1"/>
  <c r="H160" i="6"/>
  <c r="E160" i="6"/>
  <c r="A160" i="6"/>
  <c r="AQ159" i="6"/>
  <c r="AP159" i="6"/>
  <c r="AO159" i="6"/>
  <c r="AN159" i="6"/>
  <c r="AR159" i="6" s="1"/>
  <c r="H159" i="6"/>
  <c r="E159" i="6"/>
  <c r="A159" i="6"/>
  <c r="AQ158" i="6"/>
  <c r="AP158" i="6"/>
  <c r="AO158" i="6"/>
  <c r="AR158" i="6" s="1"/>
  <c r="AN158" i="6"/>
  <c r="H158" i="6"/>
  <c r="E158" i="6"/>
  <c r="A158" i="6"/>
  <c r="AQ157" i="6"/>
  <c r="AP157" i="6"/>
  <c r="AO157" i="6"/>
  <c r="AN157" i="6"/>
  <c r="AR157" i="6" s="1"/>
  <c r="H157" i="6"/>
  <c r="E157" i="6"/>
  <c r="A157" i="6"/>
  <c r="AQ156" i="6"/>
  <c r="AP156" i="6"/>
  <c r="AO156" i="6"/>
  <c r="AR156" i="6" s="1"/>
  <c r="AN156" i="6"/>
  <c r="H156" i="6"/>
  <c r="E156" i="6"/>
  <c r="A156" i="6"/>
  <c r="AQ155" i="6"/>
  <c r="AP155" i="6"/>
  <c r="AO155" i="6"/>
  <c r="AN155" i="6"/>
  <c r="AR155" i="6" s="1"/>
  <c r="H155" i="6"/>
  <c r="E155" i="6"/>
  <c r="A155" i="6"/>
  <c r="AQ154" i="6"/>
  <c r="AP154" i="6"/>
  <c r="AO154" i="6"/>
  <c r="AN154" i="6"/>
  <c r="AR154" i="6" s="1"/>
  <c r="H154" i="6"/>
  <c r="E154" i="6"/>
  <c r="A154" i="6"/>
  <c r="AR153" i="6"/>
  <c r="AQ153" i="6"/>
  <c r="AP153" i="6"/>
  <c r="AO153" i="6"/>
  <c r="AN153" i="6"/>
  <c r="H153" i="6"/>
  <c r="E153" i="6"/>
  <c r="A153" i="6"/>
  <c r="AQ152" i="6"/>
  <c r="AP152" i="6"/>
  <c r="AO152" i="6"/>
  <c r="AN152" i="6"/>
  <c r="AR152" i="6" s="1"/>
  <c r="H152" i="6"/>
  <c r="E152" i="6"/>
  <c r="A152" i="6"/>
  <c r="AQ151" i="6"/>
  <c r="AP151" i="6"/>
  <c r="AR151" i="6" s="1"/>
  <c r="AO151" i="6"/>
  <c r="AN151" i="6"/>
  <c r="H151" i="6"/>
  <c r="E151" i="6"/>
  <c r="A151" i="6"/>
  <c r="AQ150" i="6"/>
  <c r="AP150" i="6"/>
  <c r="AO150" i="6"/>
  <c r="AR150" i="6" s="1"/>
  <c r="AN150" i="6"/>
  <c r="H150" i="6"/>
  <c r="E150" i="6"/>
  <c r="A150" i="6"/>
  <c r="AQ149" i="6"/>
  <c r="AP149" i="6"/>
  <c r="AO149" i="6"/>
  <c r="AN149" i="6"/>
  <c r="AR149" i="6" s="1"/>
  <c r="H149" i="6"/>
  <c r="E149" i="6"/>
  <c r="A149" i="6"/>
  <c r="AQ148" i="6"/>
  <c r="AP148" i="6"/>
  <c r="AO148" i="6"/>
  <c r="AR148" i="6" s="1"/>
  <c r="AN148" i="6"/>
  <c r="H148" i="6"/>
  <c r="E148" i="6"/>
  <c r="A148" i="6"/>
  <c r="AQ147" i="6"/>
  <c r="AP147" i="6"/>
  <c r="AO147" i="6"/>
  <c r="AN147" i="6"/>
  <c r="AR147" i="6" s="1"/>
  <c r="H147" i="6"/>
  <c r="E147" i="6"/>
  <c r="A147" i="6"/>
  <c r="AQ146" i="6"/>
  <c r="AP146" i="6"/>
  <c r="AO146" i="6"/>
  <c r="AN146" i="6"/>
  <c r="AR146" i="6" s="1"/>
  <c r="H146" i="6"/>
  <c r="E146" i="6"/>
  <c r="A146" i="6"/>
  <c r="AR145" i="6"/>
  <c r="AQ145" i="6"/>
  <c r="AP145" i="6"/>
  <c r="AO145" i="6"/>
  <c r="AN145" i="6"/>
  <c r="H145" i="6"/>
  <c r="E145" i="6"/>
  <c r="A145" i="6"/>
  <c r="AQ144" i="6"/>
  <c r="AP144" i="6"/>
  <c r="AO144" i="6"/>
  <c r="AN144" i="6"/>
  <c r="AR144" i="6" s="1"/>
  <c r="H144" i="6"/>
  <c r="E144" i="6"/>
  <c r="A144" i="6"/>
  <c r="AQ143" i="6"/>
  <c r="AP143" i="6"/>
  <c r="AR143" i="6" s="1"/>
  <c r="AO143" i="6"/>
  <c r="AN143" i="6"/>
  <c r="H143" i="6"/>
  <c r="E143" i="6"/>
  <c r="A143" i="6"/>
  <c r="AQ142" i="6"/>
  <c r="AP142" i="6"/>
  <c r="AO142" i="6"/>
  <c r="AR142" i="6" s="1"/>
  <c r="AN142" i="6"/>
  <c r="H142" i="6"/>
  <c r="E142" i="6"/>
  <c r="A142" i="6"/>
  <c r="AQ141" i="6"/>
  <c r="AP141" i="6"/>
  <c r="AO141" i="6"/>
  <c r="AN141" i="6"/>
  <c r="AR141" i="6" s="1"/>
  <c r="H141" i="6"/>
  <c r="E141" i="6"/>
  <c r="A141" i="6"/>
  <c r="AQ140" i="6"/>
  <c r="AP140" i="6"/>
  <c r="AO140" i="6"/>
  <c r="AR140" i="6" s="1"/>
  <c r="AN140" i="6"/>
  <c r="H140" i="6"/>
  <c r="E140" i="6"/>
  <c r="A140" i="6"/>
  <c r="AQ139" i="6"/>
  <c r="AP139" i="6"/>
  <c r="AO139" i="6"/>
  <c r="AN139" i="6"/>
  <c r="AR139" i="6" s="1"/>
  <c r="H139" i="6"/>
  <c r="E139" i="6"/>
  <c r="A139" i="6"/>
  <c r="AQ138" i="6"/>
  <c r="AP138" i="6"/>
  <c r="AO138" i="6"/>
  <c r="AN138" i="6"/>
  <c r="AR138" i="6" s="1"/>
  <c r="H138" i="6"/>
  <c r="E138" i="6"/>
  <c r="A138" i="6"/>
  <c r="AR137" i="6"/>
  <c r="AQ137" i="6"/>
  <c r="AP137" i="6"/>
  <c r="AO137" i="6"/>
  <c r="AN137" i="6"/>
  <c r="H137" i="6"/>
  <c r="E137" i="6"/>
  <c r="A137" i="6"/>
  <c r="AQ136" i="6"/>
  <c r="AP136" i="6"/>
  <c r="AO136" i="6"/>
  <c r="AN136" i="6"/>
  <c r="AR136" i="6" s="1"/>
  <c r="H136" i="6"/>
  <c r="E136" i="6"/>
  <c r="A136" i="6"/>
  <c r="AQ135" i="6"/>
  <c r="AP135" i="6"/>
  <c r="AR135" i="6" s="1"/>
  <c r="AO135" i="6"/>
  <c r="AN135" i="6"/>
  <c r="H135" i="6"/>
  <c r="E135" i="6"/>
  <c r="A135" i="6"/>
  <c r="AQ134" i="6"/>
  <c r="AP134" i="6"/>
  <c r="AO134" i="6"/>
  <c r="AR134" i="6" s="1"/>
  <c r="AN134" i="6"/>
  <c r="H134" i="6"/>
  <c r="E134" i="6"/>
  <c r="A134" i="6"/>
  <c r="AQ133" i="6"/>
  <c r="AP133" i="6"/>
  <c r="AO133" i="6"/>
  <c r="AN133" i="6"/>
  <c r="AR133" i="6" s="1"/>
  <c r="H133" i="6"/>
  <c r="E133" i="6"/>
  <c r="A133" i="6"/>
  <c r="AQ132" i="6"/>
  <c r="AP132" i="6"/>
  <c r="AO132" i="6"/>
  <c r="AR132" i="6" s="1"/>
  <c r="AN132" i="6"/>
  <c r="H132" i="6"/>
  <c r="E132" i="6"/>
  <c r="A132" i="6"/>
  <c r="AQ131" i="6"/>
  <c r="AP131" i="6"/>
  <c r="AO131" i="6"/>
  <c r="AN131" i="6"/>
  <c r="AR131" i="6" s="1"/>
  <c r="H131" i="6"/>
  <c r="E131" i="6"/>
  <c r="A131" i="6"/>
  <c r="AQ130" i="6"/>
  <c r="AP130" i="6"/>
  <c r="AO130" i="6"/>
  <c r="AN130" i="6"/>
  <c r="AR130" i="6" s="1"/>
  <c r="H130" i="6"/>
  <c r="E130" i="6"/>
  <c r="A130" i="6"/>
  <c r="AR129" i="6"/>
  <c r="AQ129" i="6"/>
  <c r="AP129" i="6"/>
  <c r="AO129" i="6"/>
  <c r="AN129" i="6"/>
  <c r="H129" i="6"/>
  <c r="E129" i="6"/>
  <c r="A129" i="6"/>
  <c r="AQ128" i="6"/>
  <c r="AP128" i="6"/>
  <c r="AO128" i="6"/>
  <c r="AN128" i="6"/>
  <c r="AR128" i="6" s="1"/>
  <c r="H128" i="6"/>
  <c r="E128" i="6"/>
  <c r="A128" i="6"/>
  <c r="AQ127" i="6"/>
  <c r="AP127" i="6"/>
  <c r="AR127" i="6" s="1"/>
  <c r="AO127" i="6"/>
  <c r="AN127" i="6"/>
  <c r="H127" i="6"/>
  <c r="E127" i="6"/>
  <c r="A127" i="6"/>
  <c r="AQ126" i="6"/>
  <c r="AP126" i="6"/>
  <c r="AO126" i="6"/>
  <c r="AN126" i="6"/>
  <c r="AR126" i="6" s="1"/>
  <c r="H126" i="6"/>
  <c r="E126" i="6"/>
  <c r="A126" i="6"/>
  <c r="AQ125" i="6"/>
  <c r="AP125" i="6"/>
  <c r="AO125" i="6"/>
  <c r="AN125" i="6"/>
  <c r="AR125" i="6" s="1"/>
  <c r="H125" i="6"/>
  <c r="E125" i="6"/>
  <c r="A125" i="6"/>
  <c r="AQ124" i="6"/>
  <c r="AP124" i="6"/>
  <c r="AO124" i="6"/>
  <c r="AR124" i="6" s="1"/>
  <c r="AN124" i="6"/>
  <c r="H124" i="6"/>
  <c r="E124" i="6"/>
  <c r="A124" i="6"/>
  <c r="AQ123" i="6"/>
  <c r="AP123" i="6"/>
  <c r="AO123" i="6"/>
  <c r="AN123" i="6"/>
  <c r="AR123" i="6" s="1"/>
  <c r="H123" i="6"/>
  <c r="E123" i="6"/>
  <c r="A123" i="6"/>
  <c r="AQ122" i="6"/>
  <c r="AP122" i="6"/>
  <c r="AO122" i="6"/>
  <c r="AN122" i="6"/>
  <c r="AR122" i="6" s="1"/>
  <c r="H122" i="6"/>
  <c r="E122" i="6"/>
  <c r="A122" i="6"/>
  <c r="AR121" i="6"/>
  <c r="AQ121" i="6"/>
  <c r="AP121" i="6"/>
  <c r="AO121" i="6"/>
  <c r="AN121" i="6"/>
  <c r="H121" i="6"/>
  <c r="E121" i="6"/>
  <c r="A121" i="6"/>
  <c r="AQ120" i="6"/>
  <c r="AP120" i="6"/>
  <c r="AO120" i="6"/>
  <c r="AN120" i="6"/>
  <c r="AR120" i="6" s="1"/>
  <c r="H120" i="6"/>
  <c r="E120" i="6"/>
  <c r="A120" i="6"/>
  <c r="AQ119" i="6"/>
  <c r="AP119" i="6"/>
  <c r="AR119" i="6" s="1"/>
  <c r="AO119" i="6"/>
  <c r="AN119" i="6"/>
  <c r="H119" i="6"/>
  <c r="E119" i="6"/>
  <c r="A119" i="6"/>
  <c r="AQ118" i="6"/>
  <c r="AP118" i="6"/>
  <c r="AO118" i="6"/>
  <c r="AN118" i="6"/>
  <c r="AR118" i="6" s="1"/>
  <c r="H118" i="6"/>
  <c r="E118" i="6"/>
  <c r="A118" i="6"/>
  <c r="AQ117" i="6"/>
  <c r="AP117" i="6"/>
  <c r="AO117" i="6"/>
  <c r="AN117" i="6"/>
  <c r="AR117" i="6" s="1"/>
  <c r="H117" i="6"/>
  <c r="E117" i="6"/>
  <c r="A117" i="6"/>
  <c r="AQ116" i="6"/>
  <c r="AP116" i="6"/>
  <c r="AO116" i="6"/>
  <c r="AR116" i="6" s="1"/>
  <c r="AN116" i="6"/>
  <c r="H116" i="6"/>
  <c r="E116" i="6"/>
  <c r="A116" i="6"/>
  <c r="AQ115" i="6"/>
  <c r="AP115" i="6"/>
  <c r="AO115" i="6"/>
  <c r="AN115" i="6"/>
  <c r="AR115" i="6" s="1"/>
  <c r="H115" i="6"/>
  <c r="E115" i="6"/>
  <c r="A115" i="6"/>
  <c r="AQ114" i="6"/>
  <c r="AP114" i="6"/>
  <c r="AO114" i="6"/>
  <c r="AN114" i="6"/>
  <c r="AR114" i="6" s="1"/>
  <c r="H114" i="6"/>
  <c r="E114" i="6"/>
  <c r="A114" i="6"/>
  <c r="AR113" i="6"/>
  <c r="AQ113" i="6"/>
  <c r="AP113" i="6"/>
  <c r="AO113" i="6"/>
  <c r="AN113" i="6"/>
  <c r="H113" i="6"/>
  <c r="E113" i="6"/>
  <c r="A113" i="6"/>
  <c r="AQ112" i="6"/>
  <c r="AP112" i="6"/>
  <c r="AO112" i="6"/>
  <c r="AN112" i="6"/>
  <c r="AR112" i="6" s="1"/>
  <c r="H112" i="6"/>
  <c r="E112" i="6"/>
  <c r="A112" i="6"/>
  <c r="AQ111" i="6"/>
  <c r="AP111" i="6"/>
  <c r="AR111" i="6" s="1"/>
  <c r="AO111" i="6"/>
  <c r="AN111" i="6"/>
  <c r="H111" i="6"/>
  <c r="E111" i="6"/>
  <c r="A111" i="6"/>
  <c r="AQ110" i="6"/>
  <c r="AP110" i="6"/>
  <c r="AO110" i="6"/>
  <c r="AN110" i="6"/>
  <c r="AR110" i="6" s="1"/>
  <c r="H110" i="6"/>
  <c r="E110" i="6"/>
  <c r="A110" i="6"/>
  <c r="AQ109" i="6"/>
  <c r="AP109" i="6"/>
  <c r="AO109" i="6"/>
  <c r="AN109" i="6"/>
  <c r="AR109" i="6" s="1"/>
  <c r="H109" i="6"/>
  <c r="E109" i="6"/>
  <c r="A109" i="6"/>
  <c r="AQ108" i="6"/>
  <c r="AP108" i="6"/>
  <c r="AO108" i="6"/>
  <c r="AR108" i="6" s="1"/>
  <c r="AN108" i="6"/>
  <c r="H108" i="6"/>
  <c r="E108" i="6"/>
  <c r="A108" i="6"/>
  <c r="AQ107" i="6"/>
  <c r="AP107" i="6"/>
  <c r="AO107" i="6"/>
  <c r="AN107" i="6"/>
  <c r="AR107" i="6" s="1"/>
  <c r="H107" i="6"/>
  <c r="E107" i="6"/>
  <c r="A107" i="6"/>
  <c r="AQ106" i="6"/>
  <c r="AP106" i="6"/>
  <c r="AO106" i="6"/>
  <c r="AN106" i="6"/>
  <c r="AR106" i="6" s="1"/>
  <c r="H106" i="6"/>
  <c r="E106" i="6"/>
  <c r="A106" i="6"/>
  <c r="AR105" i="6"/>
  <c r="AQ105" i="6"/>
  <c r="AP105" i="6"/>
  <c r="AO105" i="6"/>
  <c r="AN105" i="6"/>
  <c r="H105" i="6"/>
  <c r="E105" i="6"/>
  <c r="A105" i="6"/>
  <c r="AQ104" i="6"/>
  <c r="AP104" i="6"/>
  <c r="AO104" i="6"/>
  <c r="AN104" i="6"/>
  <c r="AR104" i="6" s="1"/>
  <c r="H104" i="6"/>
  <c r="E104" i="6"/>
  <c r="A104" i="6"/>
  <c r="AQ103" i="6"/>
  <c r="AP103" i="6"/>
  <c r="AR103" i="6" s="1"/>
  <c r="AO103" i="6"/>
  <c r="AN103" i="6"/>
  <c r="H103" i="6"/>
  <c r="E103" i="6"/>
  <c r="A103" i="6"/>
  <c r="AQ102" i="6"/>
  <c r="AP102" i="6"/>
  <c r="AO102" i="6"/>
  <c r="AN102" i="6"/>
  <c r="AR102" i="6" s="1"/>
  <c r="H102" i="6"/>
  <c r="E102" i="6"/>
  <c r="A102" i="6"/>
  <c r="AQ101" i="6"/>
  <c r="AP101" i="6"/>
  <c r="AO101" i="6"/>
  <c r="AN101" i="6"/>
  <c r="AR101" i="6" s="1"/>
  <c r="H101" i="6"/>
  <c r="E101" i="6"/>
  <c r="A101" i="6"/>
  <c r="AQ100" i="6"/>
  <c r="AP100" i="6"/>
  <c r="AO100" i="6"/>
  <c r="AR100" i="6" s="1"/>
  <c r="AN100" i="6"/>
  <c r="H100" i="6"/>
  <c r="E100" i="6"/>
  <c r="A100" i="6"/>
  <c r="AQ99" i="6"/>
  <c r="AP99" i="6"/>
  <c r="AO99" i="6"/>
  <c r="AN99" i="6"/>
  <c r="AR99" i="6" s="1"/>
  <c r="H99" i="6"/>
  <c r="E99" i="6"/>
  <c r="A99" i="6"/>
  <c r="AQ98" i="6"/>
  <c r="AP98" i="6"/>
  <c r="AO98" i="6"/>
  <c r="AR98" i="6" s="1"/>
  <c r="AN98" i="6"/>
  <c r="H98" i="6"/>
  <c r="E98" i="6"/>
  <c r="A98" i="6"/>
  <c r="AR97" i="6"/>
  <c r="AQ97" i="6"/>
  <c r="AP97" i="6"/>
  <c r="AO97" i="6"/>
  <c r="AN97" i="6"/>
  <c r="H97" i="6"/>
  <c r="E97" i="6"/>
  <c r="A97" i="6"/>
  <c r="AQ96" i="6"/>
  <c r="AP96" i="6"/>
  <c r="AO96" i="6"/>
  <c r="AN96" i="6"/>
  <c r="AR96" i="6" s="1"/>
  <c r="H96" i="6"/>
  <c r="E96" i="6"/>
  <c r="A96" i="6"/>
  <c r="AQ95" i="6"/>
  <c r="AP95" i="6"/>
  <c r="AR95" i="6" s="1"/>
  <c r="AO95" i="6"/>
  <c r="AN95" i="6"/>
  <c r="H95" i="6"/>
  <c r="E95" i="6"/>
  <c r="A95" i="6"/>
  <c r="AQ94" i="6"/>
  <c r="AP94" i="6"/>
  <c r="AO94" i="6"/>
  <c r="AN94" i="6"/>
  <c r="AR94" i="6" s="1"/>
  <c r="H94" i="6"/>
  <c r="E94" i="6"/>
  <c r="A94" i="6"/>
  <c r="AQ93" i="6"/>
  <c r="AP93" i="6"/>
  <c r="AO93" i="6"/>
  <c r="AN93" i="6"/>
  <c r="AR93" i="6" s="1"/>
  <c r="H93" i="6"/>
  <c r="E93" i="6"/>
  <c r="A93" i="6"/>
  <c r="AQ92" i="6"/>
  <c r="AP92" i="6"/>
  <c r="AO92" i="6"/>
  <c r="AR92" i="6" s="1"/>
  <c r="AN92" i="6"/>
  <c r="H92" i="6"/>
  <c r="E92" i="6"/>
  <c r="A92" i="6"/>
  <c r="AQ91" i="6"/>
  <c r="AP91" i="6"/>
  <c r="AO91" i="6"/>
  <c r="AN91" i="6"/>
  <c r="AR91" i="6" s="1"/>
  <c r="H91" i="6"/>
  <c r="E91" i="6"/>
  <c r="A91" i="6"/>
  <c r="AQ90" i="6"/>
  <c r="AP90" i="6"/>
  <c r="AO90" i="6"/>
  <c r="AN90" i="6"/>
  <c r="AR90" i="6" s="1"/>
  <c r="H90" i="6"/>
  <c r="E90" i="6"/>
  <c r="A90" i="6"/>
  <c r="AR89" i="6"/>
  <c r="AQ89" i="6"/>
  <c r="AP89" i="6"/>
  <c r="AO89" i="6"/>
  <c r="AN89" i="6"/>
  <c r="H89" i="6"/>
  <c r="E89" i="6"/>
  <c r="A89" i="6"/>
  <c r="AQ88" i="6"/>
  <c r="AP88" i="6"/>
  <c r="AO88" i="6"/>
  <c r="AN88" i="6"/>
  <c r="AR88" i="6" s="1"/>
  <c r="H88" i="6"/>
  <c r="E88" i="6"/>
  <c r="A88" i="6"/>
  <c r="AQ87" i="6"/>
  <c r="AP87" i="6"/>
  <c r="AR87" i="6" s="1"/>
  <c r="AO87" i="6"/>
  <c r="AN87" i="6"/>
  <c r="H87" i="6"/>
  <c r="E87" i="6"/>
  <c r="A87" i="6"/>
  <c r="AQ86" i="6"/>
  <c r="AP86" i="6"/>
  <c r="AO86" i="6"/>
  <c r="AN86" i="6"/>
  <c r="AR86" i="6" s="1"/>
  <c r="H86" i="6"/>
  <c r="E86" i="6"/>
  <c r="A86" i="6"/>
  <c r="AQ85" i="6"/>
  <c r="AP85" i="6"/>
  <c r="AO85" i="6"/>
  <c r="AN85" i="6"/>
  <c r="AR85" i="6" s="1"/>
  <c r="H85" i="6"/>
  <c r="E85" i="6"/>
  <c r="A85" i="6"/>
  <c r="AQ84" i="6"/>
  <c r="AP84" i="6"/>
  <c r="AO84" i="6"/>
  <c r="AR84" i="6" s="1"/>
  <c r="AN84" i="6"/>
  <c r="H84" i="6"/>
  <c r="E84" i="6"/>
  <c r="A84" i="6"/>
  <c r="AQ83" i="6"/>
  <c r="AP83" i="6"/>
  <c r="AO83" i="6"/>
  <c r="AN83" i="6"/>
  <c r="AR83" i="6" s="1"/>
  <c r="H83" i="6"/>
  <c r="E83" i="6"/>
  <c r="A83" i="6"/>
  <c r="AQ82" i="6"/>
  <c r="AP82" i="6"/>
  <c r="AO82" i="6"/>
  <c r="AN82" i="6"/>
  <c r="AR82" i="6" s="1"/>
  <c r="H82" i="6"/>
  <c r="E82" i="6"/>
  <c r="A82" i="6"/>
  <c r="AR81" i="6"/>
  <c r="AQ81" i="6"/>
  <c r="AP81" i="6"/>
  <c r="AO81" i="6"/>
  <c r="AN81" i="6"/>
  <c r="H81" i="6"/>
  <c r="E81" i="6"/>
  <c r="A81" i="6"/>
  <c r="AQ80" i="6"/>
  <c r="AP80" i="6"/>
  <c r="AO80" i="6"/>
  <c r="AN80" i="6"/>
  <c r="AR80" i="6" s="1"/>
  <c r="H80" i="6"/>
  <c r="E80" i="6"/>
  <c r="A80" i="6"/>
  <c r="AQ79" i="6"/>
  <c r="AP79" i="6"/>
  <c r="AR79" i="6" s="1"/>
  <c r="AO79" i="6"/>
  <c r="AN79" i="6"/>
  <c r="H79" i="6"/>
  <c r="E79" i="6"/>
  <c r="A79" i="6"/>
  <c r="AQ78" i="6"/>
  <c r="AP78" i="6"/>
  <c r="AO78" i="6"/>
  <c r="AN78" i="6"/>
  <c r="AR78" i="6" s="1"/>
  <c r="H78" i="6"/>
  <c r="E78" i="6"/>
  <c r="A78" i="6"/>
  <c r="AQ77" i="6"/>
  <c r="AP77" i="6"/>
  <c r="AO77" i="6"/>
  <c r="AN77" i="6"/>
  <c r="AR77" i="6" s="1"/>
  <c r="H77" i="6"/>
  <c r="E77" i="6"/>
  <c r="A77" i="6"/>
  <c r="AQ76" i="6"/>
  <c r="AP76" i="6"/>
  <c r="AO76" i="6"/>
  <c r="AR76" i="6" s="1"/>
  <c r="AN76" i="6"/>
  <c r="H76" i="6"/>
  <c r="E76" i="6"/>
  <c r="A76" i="6"/>
  <c r="AQ75" i="6"/>
  <c r="AP75" i="6"/>
  <c r="AO75" i="6"/>
  <c r="AN75" i="6"/>
  <c r="AR75" i="6" s="1"/>
  <c r="H75" i="6"/>
  <c r="E75" i="6"/>
  <c r="A75" i="6"/>
  <c r="AQ74" i="6"/>
  <c r="AP74" i="6"/>
  <c r="AO74" i="6"/>
  <c r="AN74" i="6"/>
  <c r="AR74" i="6" s="1"/>
  <c r="H74" i="6"/>
  <c r="E74" i="6"/>
  <c r="A74" i="6"/>
  <c r="AR73" i="6"/>
  <c r="AQ73" i="6"/>
  <c r="AP73" i="6"/>
  <c r="AO73" i="6"/>
  <c r="AN73" i="6"/>
  <c r="H73" i="6"/>
  <c r="E73" i="6"/>
  <c r="A73" i="6"/>
  <c r="AQ72" i="6"/>
  <c r="AP72" i="6"/>
  <c r="AO72" i="6"/>
  <c r="AN72" i="6"/>
  <c r="AR72" i="6" s="1"/>
  <c r="H72" i="6"/>
  <c r="E72" i="6"/>
  <c r="A72" i="6"/>
  <c r="AQ71" i="6"/>
  <c r="AP71" i="6"/>
  <c r="AR71" i="6" s="1"/>
  <c r="AO71" i="6"/>
  <c r="AN71" i="6"/>
  <c r="H71" i="6"/>
  <c r="E71" i="6"/>
  <c r="A71" i="6"/>
  <c r="AQ70" i="6"/>
  <c r="AP70" i="6"/>
  <c r="AO70" i="6"/>
  <c r="AR70" i="6" s="1"/>
  <c r="AN70" i="6"/>
  <c r="H70" i="6"/>
  <c r="E70" i="6"/>
  <c r="A70" i="6"/>
  <c r="AQ69" i="6"/>
  <c r="AP69" i="6"/>
  <c r="AO69" i="6"/>
  <c r="AN69" i="6"/>
  <c r="AR69" i="6" s="1"/>
  <c r="H69" i="6"/>
  <c r="E69" i="6"/>
  <c r="A69" i="6"/>
  <c r="AQ68" i="6"/>
  <c r="AP68" i="6"/>
  <c r="AO68" i="6"/>
  <c r="AR68" i="6" s="1"/>
  <c r="AN68" i="6"/>
  <c r="H68" i="6"/>
  <c r="E68" i="6"/>
  <c r="A68" i="6"/>
  <c r="AQ67" i="6"/>
  <c r="AP67" i="6"/>
  <c r="AO67" i="6"/>
  <c r="AN67" i="6"/>
  <c r="AR67" i="6" s="1"/>
  <c r="H67" i="6"/>
  <c r="E67" i="6"/>
  <c r="A67" i="6"/>
  <c r="AQ66" i="6"/>
  <c r="AP66" i="6"/>
  <c r="AO66" i="6"/>
  <c r="AN66" i="6"/>
  <c r="AR66" i="6" s="1"/>
  <c r="H66" i="6"/>
  <c r="E66" i="6"/>
  <c r="A66" i="6"/>
  <c r="AR65" i="6"/>
  <c r="AQ65" i="6"/>
  <c r="AP65" i="6"/>
  <c r="AO65" i="6"/>
  <c r="AN65" i="6"/>
  <c r="H65" i="6"/>
  <c r="E65" i="6"/>
  <c r="A65" i="6"/>
  <c r="AQ64" i="6"/>
  <c r="AP64" i="6"/>
  <c r="AO64" i="6"/>
  <c r="AN64" i="6"/>
  <c r="AR64" i="6" s="1"/>
  <c r="H64" i="6"/>
  <c r="E64" i="6"/>
  <c r="A64" i="6"/>
  <c r="AQ63" i="6"/>
  <c r="AP63" i="6"/>
  <c r="AR63" i="6" s="1"/>
  <c r="AO63" i="6"/>
  <c r="AN63" i="6"/>
  <c r="H63" i="6"/>
  <c r="E63" i="6"/>
  <c r="A63" i="6"/>
  <c r="AQ62" i="6"/>
  <c r="AP62" i="6"/>
  <c r="AO62" i="6"/>
  <c r="AR62" i="6" s="1"/>
  <c r="AN62" i="6"/>
  <c r="H62" i="6"/>
  <c r="E62" i="6"/>
  <c r="A62" i="6"/>
  <c r="AQ61" i="6"/>
  <c r="AP61" i="6"/>
  <c r="AO61" i="6"/>
  <c r="AN61" i="6"/>
  <c r="AR61" i="6" s="1"/>
  <c r="H61" i="6"/>
  <c r="E61" i="6"/>
  <c r="A61" i="6"/>
  <c r="AQ60" i="6"/>
  <c r="AP60" i="6"/>
  <c r="AO60" i="6"/>
  <c r="AR60" i="6" s="1"/>
  <c r="AN60" i="6"/>
  <c r="H60" i="6"/>
  <c r="E60" i="6"/>
  <c r="A60" i="6"/>
  <c r="AQ59" i="6"/>
  <c r="AP59" i="6"/>
  <c r="AO59" i="6"/>
  <c r="AN59" i="6"/>
  <c r="AR59" i="6" s="1"/>
  <c r="H59" i="6"/>
  <c r="E59" i="6"/>
  <c r="A59" i="6"/>
  <c r="AQ58" i="6"/>
  <c r="AP58" i="6"/>
  <c r="AO58" i="6"/>
  <c r="AN58" i="6"/>
  <c r="AR58" i="6" s="1"/>
  <c r="H58" i="6"/>
  <c r="E58" i="6"/>
  <c r="A58" i="6"/>
  <c r="AR57" i="6"/>
  <c r="AQ57" i="6"/>
  <c r="AP57" i="6"/>
  <c r="AO57" i="6"/>
  <c r="AN57" i="6"/>
  <c r="H57" i="6"/>
  <c r="E57" i="6"/>
  <c r="A57" i="6"/>
  <c r="AQ56" i="6"/>
  <c r="AP56" i="6"/>
  <c r="AO56" i="6"/>
  <c r="AN56" i="6"/>
  <c r="AR56" i="6" s="1"/>
  <c r="H56" i="6"/>
  <c r="E56" i="6"/>
  <c r="A56" i="6"/>
  <c r="AQ55" i="6"/>
  <c r="AP55" i="6"/>
  <c r="AR55" i="6" s="1"/>
  <c r="AO55" i="6"/>
  <c r="AN55" i="6"/>
  <c r="H55" i="6"/>
  <c r="E55" i="6"/>
  <c r="A55" i="6"/>
  <c r="AR54" i="6"/>
  <c r="AQ54" i="6"/>
  <c r="AP54" i="6"/>
  <c r="AO54" i="6"/>
  <c r="AN54" i="6"/>
  <c r="H54" i="6"/>
  <c r="E54" i="6"/>
  <c r="A54" i="6"/>
  <c r="AQ53" i="6"/>
  <c r="AP53" i="6"/>
  <c r="AO53" i="6"/>
  <c r="AN53" i="6"/>
  <c r="AR53" i="6" s="1"/>
  <c r="H53" i="6"/>
  <c r="E53" i="6"/>
  <c r="A53" i="6"/>
  <c r="AQ52" i="6"/>
  <c r="AP52" i="6"/>
  <c r="AO52" i="6"/>
  <c r="AN52" i="6"/>
  <c r="AR52" i="6" s="1"/>
  <c r="H52" i="6"/>
  <c r="E52" i="6"/>
  <c r="A52" i="6"/>
  <c r="AQ51" i="6"/>
  <c r="AP51" i="6"/>
  <c r="AR51" i="6" s="1"/>
  <c r="AO51" i="6"/>
  <c r="AN51" i="6"/>
  <c r="H51" i="6"/>
  <c r="E51" i="6"/>
  <c r="A51" i="6"/>
  <c r="AR50" i="6"/>
  <c r="AQ50" i="6"/>
  <c r="AP50" i="6"/>
  <c r="AO50" i="6"/>
  <c r="AN50" i="6"/>
  <c r="H50" i="6"/>
  <c r="E50" i="6"/>
  <c r="A50" i="6"/>
  <c r="AQ49" i="6"/>
  <c r="AP49" i="6"/>
  <c r="AO49" i="6"/>
  <c r="AN49" i="6"/>
  <c r="AR49" i="6" s="1"/>
  <c r="H49" i="6"/>
  <c r="E49" i="6"/>
  <c r="A49" i="6"/>
  <c r="AQ48" i="6"/>
  <c r="AP48" i="6"/>
  <c r="AR48" i="6" s="1"/>
  <c r="AO48" i="6"/>
  <c r="AN48" i="6"/>
  <c r="H48" i="6"/>
  <c r="E48" i="6"/>
  <c r="A48" i="6"/>
  <c r="AQ47" i="6"/>
  <c r="AP47" i="6"/>
  <c r="AO47" i="6"/>
  <c r="AR47" i="6" s="1"/>
  <c r="AN47" i="6"/>
  <c r="H47" i="6"/>
  <c r="E47" i="6"/>
  <c r="A47" i="6"/>
  <c r="AQ46" i="6"/>
  <c r="AP46" i="6"/>
  <c r="AO46" i="6"/>
  <c r="AN46" i="6"/>
  <c r="AR46" i="6" s="1"/>
  <c r="H46" i="6"/>
  <c r="E46" i="6"/>
  <c r="A46" i="6"/>
  <c r="AQ45" i="6"/>
  <c r="AP45" i="6"/>
  <c r="AR45" i="6" s="1"/>
  <c r="AO45" i="6"/>
  <c r="AN45" i="6"/>
  <c r="H45" i="6"/>
  <c r="E45" i="6"/>
  <c r="A45" i="6"/>
  <c r="AR44" i="6"/>
  <c r="AQ44" i="6"/>
  <c r="AP44" i="6"/>
  <c r="AO44" i="6"/>
  <c r="AN44" i="6"/>
  <c r="H44" i="6"/>
  <c r="E44" i="6"/>
  <c r="A44" i="6"/>
  <c r="AQ43" i="6"/>
  <c r="AP43" i="6"/>
  <c r="AO43" i="6"/>
  <c r="AN43" i="6"/>
  <c r="AR43" i="6" s="1"/>
  <c r="H43" i="6"/>
  <c r="E43" i="6"/>
  <c r="A43" i="6"/>
  <c r="AQ42" i="6"/>
  <c r="AP42" i="6"/>
  <c r="AO42" i="6"/>
  <c r="AN42" i="6"/>
  <c r="AR42" i="6" s="1"/>
  <c r="H42" i="6"/>
  <c r="E42" i="6"/>
  <c r="A42" i="6"/>
  <c r="AQ41" i="6"/>
  <c r="AP41" i="6"/>
  <c r="AR41" i="6" s="1"/>
  <c r="AO41" i="6"/>
  <c r="AN41" i="6"/>
  <c r="H41" i="6"/>
  <c r="E41" i="6"/>
  <c r="A41" i="6"/>
  <c r="AR40" i="6"/>
  <c r="AQ40" i="6"/>
  <c r="AP40" i="6"/>
  <c r="AO40" i="6"/>
  <c r="AN40" i="6"/>
  <c r="H40" i="6"/>
  <c r="E40" i="6"/>
  <c r="A40" i="6"/>
  <c r="AQ39" i="6"/>
  <c r="AP39" i="6"/>
  <c r="AO39" i="6"/>
  <c r="AN39" i="6"/>
  <c r="AR39" i="6" s="1"/>
  <c r="H39" i="6"/>
  <c r="E39" i="6"/>
  <c r="A39" i="6"/>
  <c r="AQ38" i="6"/>
  <c r="AP38" i="6"/>
  <c r="AO38" i="6"/>
  <c r="AN38" i="6"/>
  <c r="AR38" i="6" s="1"/>
  <c r="H38" i="6"/>
  <c r="E38" i="6"/>
  <c r="A38" i="6"/>
  <c r="AR37" i="6"/>
  <c r="AQ37" i="6"/>
  <c r="AP37" i="6"/>
  <c r="AO37" i="6"/>
  <c r="AN37" i="6"/>
  <c r="H37" i="6"/>
  <c r="E37" i="6"/>
  <c r="A37" i="6"/>
  <c r="AQ36" i="6"/>
  <c r="AP36" i="6"/>
  <c r="AO36" i="6"/>
  <c r="AN36" i="6"/>
  <c r="AR36" i="6" s="1"/>
  <c r="H36" i="6"/>
  <c r="E36" i="6"/>
  <c r="A36" i="6"/>
  <c r="AQ35" i="6"/>
  <c r="AP35" i="6"/>
  <c r="AO35" i="6"/>
  <c r="AN35" i="6"/>
  <c r="AR35" i="6" s="1"/>
  <c r="H35" i="6"/>
  <c r="E35" i="6"/>
  <c r="A35" i="6"/>
  <c r="AR34" i="6"/>
  <c r="AQ34" i="6"/>
  <c r="AP34" i="6"/>
  <c r="AO34" i="6"/>
  <c r="AN34" i="6"/>
  <c r="H34" i="6"/>
  <c r="E34" i="6"/>
  <c r="A34" i="6"/>
  <c r="AQ33" i="6"/>
  <c r="AP33" i="6"/>
  <c r="AO33" i="6"/>
  <c r="AN33" i="6"/>
  <c r="AR33" i="6" s="1"/>
  <c r="H33" i="6"/>
  <c r="E33" i="6"/>
  <c r="A33" i="6"/>
  <c r="AQ32" i="6"/>
  <c r="AP32" i="6"/>
  <c r="AO32" i="6"/>
  <c r="AN32" i="6"/>
  <c r="AR32" i="6" s="1"/>
  <c r="H32" i="6"/>
  <c r="E32" i="6"/>
  <c r="A32" i="6"/>
  <c r="AQ31" i="6"/>
  <c r="AP31" i="6"/>
  <c r="AO31" i="6"/>
  <c r="AR31" i="6" s="1"/>
  <c r="AN31" i="6"/>
  <c r="H31" i="6"/>
  <c r="E31" i="6"/>
  <c r="A31" i="6"/>
  <c r="AQ30" i="6"/>
  <c r="AP30" i="6"/>
  <c r="AO30" i="6"/>
  <c r="AR30" i="6" s="1"/>
  <c r="AN30" i="6"/>
  <c r="H30" i="6"/>
  <c r="E30" i="6"/>
  <c r="A30" i="6"/>
  <c r="AQ29" i="6"/>
  <c r="AP29" i="6"/>
  <c r="AO29" i="6"/>
  <c r="AN29" i="6"/>
  <c r="AR29" i="6" s="1"/>
  <c r="H29" i="6"/>
  <c r="E29" i="6"/>
  <c r="A29" i="6"/>
  <c r="AQ28" i="6"/>
  <c r="AP28" i="6"/>
  <c r="AO28" i="6"/>
  <c r="AN28" i="6"/>
  <c r="AR28" i="6" s="1"/>
  <c r="H28" i="6"/>
  <c r="E28" i="6"/>
  <c r="A28" i="6"/>
  <c r="AR27" i="6"/>
  <c r="AQ27" i="6"/>
  <c r="AP27" i="6"/>
  <c r="AO27" i="6"/>
  <c r="AN27" i="6"/>
  <c r="H27" i="6"/>
  <c r="E27" i="6"/>
  <c r="A27" i="6"/>
  <c r="AQ26" i="6"/>
  <c r="AP26" i="6"/>
  <c r="AO26" i="6"/>
  <c r="AN26" i="6"/>
  <c r="AR26" i="6" s="1"/>
  <c r="H26" i="6"/>
  <c r="E26" i="6"/>
  <c r="A26" i="6"/>
  <c r="AQ25" i="6"/>
  <c r="AP25" i="6"/>
  <c r="AO25" i="6"/>
  <c r="AN25" i="6"/>
  <c r="AR25" i="6" s="1"/>
  <c r="H25" i="6"/>
  <c r="E25" i="6"/>
  <c r="A25" i="6"/>
  <c r="AQ24" i="6"/>
  <c r="AP24" i="6"/>
  <c r="AO24" i="6"/>
  <c r="AR24" i="6" s="1"/>
  <c r="AN24" i="6"/>
  <c r="H24" i="6"/>
  <c r="E24" i="6"/>
  <c r="A24" i="6"/>
  <c r="AQ23" i="6"/>
  <c r="AP23" i="6"/>
  <c r="AO23" i="6"/>
  <c r="AR23" i="6" s="1"/>
  <c r="AN23" i="6"/>
  <c r="H23" i="6"/>
  <c r="E23" i="6"/>
  <c r="A23" i="6"/>
  <c r="AQ22" i="6"/>
  <c r="AP22" i="6"/>
  <c r="AO22" i="6"/>
  <c r="AN22" i="6"/>
  <c r="AR22" i="6" s="1"/>
  <c r="H22" i="6"/>
  <c r="E22" i="6"/>
  <c r="A22" i="6"/>
  <c r="AQ21" i="6"/>
  <c r="AP21" i="6"/>
  <c r="AO21" i="6"/>
  <c r="AN21" i="6"/>
  <c r="AR21" i="6" s="1"/>
  <c r="H21" i="6"/>
  <c r="E21" i="6"/>
  <c r="A21" i="6"/>
  <c r="AQ20" i="6"/>
  <c r="AP20" i="6"/>
  <c r="AO20" i="6"/>
  <c r="AR20" i="6" s="1"/>
  <c r="AN20" i="6"/>
  <c r="H20" i="6"/>
  <c r="E20" i="6"/>
  <c r="A20" i="6"/>
  <c r="AQ19" i="6"/>
  <c r="AP19" i="6"/>
  <c r="AO19" i="6"/>
  <c r="AN19" i="6"/>
  <c r="AR19" i="6" s="1"/>
  <c r="H19" i="6"/>
  <c r="E19" i="6"/>
  <c r="A19" i="6"/>
  <c r="AQ18" i="6"/>
  <c r="AP18" i="6"/>
  <c r="AO18" i="6"/>
  <c r="AN18" i="6"/>
  <c r="AR18" i="6" s="1"/>
  <c r="H18" i="6"/>
  <c r="E18" i="6"/>
  <c r="A18" i="6"/>
  <c r="AR17" i="6"/>
  <c r="AQ17" i="6"/>
  <c r="AP17" i="6"/>
  <c r="AO17" i="6"/>
  <c r="AN17" i="6"/>
  <c r="H17" i="6"/>
  <c r="E17" i="6"/>
  <c r="A17" i="6"/>
  <c r="AQ16" i="6"/>
  <c r="AP16" i="6"/>
  <c r="AO16" i="6"/>
  <c r="AN16" i="6"/>
  <c r="AR16" i="6" s="1"/>
  <c r="H16" i="6"/>
  <c r="E16" i="6"/>
  <c r="A16" i="6"/>
  <c r="AQ15" i="6"/>
  <c r="AP15" i="6"/>
  <c r="AO15" i="6"/>
  <c r="AN15" i="6"/>
  <c r="AR15" i="6" s="1"/>
  <c r="H15" i="6"/>
  <c r="E15" i="6"/>
  <c r="A15" i="6"/>
  <c r="AR14" i="6"/>
  <c r="AQ14" i="6"/>
  <c r="AP14" i="6"/>
  <c r="AO14" i="6"/>
  <c r="AN14" i="6"/>
  <c r="H14" i="6"/>
  <c r="E14" i="6"/>
  <c r="A14" i="6"/>
  <c r="AQ13" i="6"/>
  <c r="AP13" i="6"/>
  <c r="AO13" i="6"/>
  <c r="AN13" i="6"/>
  <c r="AR13" i="6" s="1"/>
  <c r="H13" i="6"/>
  <c r="E13" i="6"/>
  <c r="A13" i="6"/>
  <c r="AQ12" i="6"/>
  <c r="AP12" i="6"/>
  <c r="AO12" i="6"/>
  <c r="AN12" i="6"/>
  <c r="AR12" i="6" s="1"/>
  <c r="H12" i="6"/>
  <c r="E12" i="6"/>
  <c r="A12" i="6"/>
  <c r="AQ11" i="6"/>
  <c r="AP11" i="6"/>
  <c r="AO11" i="6"/>
  <c r="AR11" i="6" s="1"/>
  <c r="AN11" i="6"/>
  <c r="H11" i="6"/>
  <c r="E11" i="6"/>
  <c r="A11" i="6"/>
  <c r="M6" i="6"/>
  <c r="N1" i="54" s="1"/>
  <c r="S5" i="6"/>
  <c r="K2" i="6"/>
  <c r="A2" i="61" s="1"/>
  <c r="K1" i="45"/>
  <c r="X1" i="45"/>
  <c r="N1" i="45"/>
  <c r="G1" i="45"/>
  <c r="L1" i="45"/>
  <c r="C1" i="45"/>
  <c r="P1" i="45"/>
  <c r="F1" i="45"/>
  <c r="J1" i="45"/>
  <c r="U1" i="45"/>
  <c r="Q1" i="45"/>
  <c r="S1" i="45"/>
  <c r="V1" i="45"/>
  <c r="AB1" i="45"/>
  <c r="Z1" i="45"/>
  <c r="H1" i="45"/>
  <c r="AC1" i="45"/>
  <c r="W1" i="45"/>
  <c r="T1" i="45"/>
  <c r="Y1" i="45"/>
  <c r="AE1" i="45"/>
  <c r="M1" i="45"/>
  <c r="D1" i="45"/>
  <c r="I1" i="45"/>
  <c r="O1" i="45"/>
  <c r="E1" i="45"/>
  <c r="AA1" i="45"/>
  <c r="A1" i="45"/>
  <c r="AD1" i="45"/>
  <c r="B1" i="45"/>
  <c r="AF1" i="45"/>
  <c r="R1" i="45"/>
  <c r="AP8" i="10" l="1"/>
  <c r="AE9" i="10"/>
  <c r="BL9" i="10"/>
  <c r="W27" i="10"/>
  <c r="AA41" i="10"/>
  <c r="BT6" i="10"/>
  <c r="BT10" i="10"/>
  <c r="Y27" i="10"/>
  <c r="BL8" i="10"/>
  <c r="BC27" i="10"/>
  <c r="BK27" i="10"/>
  <c r="BD6" i="10"/>
  <c r="AE6" i="10"/>
  <c r="BD8" i="10"/>
  <c r="BT8" i="10"/>
  <c r="W36" i="10"/>
  <c r="AE51" i="10"/>
  <c r="AD51" i="10" s="1"/>
  <c r="AE33" i="10"/>
  <c r="AD33" i="10" s="1"/>
  <c r="AE24" i="10"/>
  <c r="AD24" i="10" s="1"/>
  <c r="Y24" i="10" s="1"/>
  <c r="AE42" i="10"/>
  <c r="AD42" i="10" s="1"/>
  <c r="T42" i="10" s="1"/>
  <c r="AE53" i="10"/>
  <c r="AD53" i="10" s="1"/>
  <c r="Y53" i="10" s="1"/>
  <c r="AE35" i="10"/>
  <c r="AD35" i="10" s="1"/>
  <c r="Y35" i="10" s="1"/>
  <c r="AE26" i="10"/>
  <c r="AD26" i="10" s="1"/>
  <c r="R26" i="10" s="1"/>
  <c r="AE44" i="10"/>
  <c r="AD44" i="10" s="1"/>
  <c r="AE50" i="10"/>
  <c r="AD50" i="10" s="1"/>
  <c r="AE41" i="10"/>
  <c r="AD41" i="10" s="1"/>
  <c r="AE32" i="10"/>
  <c r="AD32" i="10" s="1"/>
  <c r="AA32" i="10" s="1"/>
  <c r="AE23" i="10"/>
  <c r="AD23" i="10" s="1"/>
  <c r="BD7" i="10"/>
  <c r="BA27" i="10"/>
  <c r="BI27" i="10"/>
  <c r="T26" i="10"/>
  <c r="BG6" i="10"/>
  <c r="AD7" i="10"/>
  <c r="BH7" i="10"/>
  <c r="BL7" i="10" s="1"/>
  <c r="BQ7" i="10"/>
  <c r="BT7" i="10" s="1"/>
  <c r="AD9" i="10"/>
  <c r="W24" i="10"/>
  <c r="W26" i="10"/>
  <c r="Y32" i="10"/>
  <c r="R45" i="10"/>
  <c r="R44" i="10"/>
  <c r="T53" i="10"/>
  <c r="T51" i="10"/>
  <c r="BC6" i="11"/>
  <c r="BC9" i="11"/>
  <c r="BK9" i="11"/>
  <c r="BS9" i="11"/>
  <c r="BT9" i="11" s="1"/>
  <c r="AE36" i="12"/>
  <c r="AD36" i="12" s="1"/>
  <c r="AE27" i="12"/>
  <c r="AD27" i="12" s="1"/>
  <c r="AE54" i="12"/>
  <c r="AD54" i="12" s="1"/>
  <c r="AE45" i="12"/>
  <c r="AD45" i="12" s="1"/>
  <c r="AE6" i="13"/>
  <c r="BD6" i="13"/>
  <c r="BD8" i="13"/>
  <c r="BT7" i="14"/>
  <c r="K5" i="6"/>
  <c r="BI7" i="10"/>
  <c r="AP7" i="10" s="1"/>
  <c r="AE54" i="10"/>
  <c r="AD54" i="10" s="1"/>
  <c r="T54" i="10" s="1"/>
  <c r="AE45" i="10"/>
  <c r="AD45" i="10" s="1"/>
  <c r="R35" i="10"/>
  <c r="T45" i="10"/>
  <c r="T41" i="10"/>
  <c r="T44" i="10"/>
  <c r="W53" i="10"/>
  <c r="BT6" i="11"/>
  <c r="AE10" i="12"/>
  <c r="BT10" i="15"/>
  <c r="AQ10" i="15"/>
  <c r="BJ7" i="10"/>
  <c r="BS7" i="10"/>
  <c r="BJ9" i="10"/>
  <c r="AP9" i="10" s="1"/>
  <c r="BS9" i="10"/>
  <c r="AQ9" i="10" s="1"/>
  <c r="AP11" i="10"/>
  <c r="R23" i="10"/>
  <c r="AA26" i="10"/>
  <c r="T33" i="10"/>
  <c r="T35" i="10"/>
  <c r="W44" i="10"/>
  <c r="W42" i="10"/>
  <c r="W41" i="10"/>
  <c r="BA7" i="11"/>
  <c r="BI7" i="11"/>
  <c r="BL7" i="11" s="1"/>
  <c r="AD9" i="11"/>
  <c r="BT11" i="11"/>
  <c r="AQ11" i="11"/>
  <c r="BD8" i="12"/>
  <c r="AE7" i="13"/>
  <c r="AP8" i="13"/>
  <c r="BD9" i="13"/>
  <c r="AE7" i="14"/>
  <c r="BD7" i="14"/>
  <c r="K6" i="6"/>
  <c r="A2" i="7"/>
  <c r="AQ7" i="10"/>
  <c r="BK7" i="10"/>
  <c r="BK9" i="10"/>
  <c r="AQ11" i="10"/>
  <c r="T23" i="10"/>
  <c r="T27" i="10"/>
  <c r="W33" i="10"/>
  <c r="W35" i="10"/>
  <c r="AE36" i="10"/>
  <c r="AD36" i="10" s="1"/>
  <c r="T36" i="10" s="1"/>
  <c r="Y45" i="10"/>
  <c r="Y41" i="10"/>
  <c r="Y44" i="10"/>
  <c r="Y42" i="10"/>
  <c r="AA53" i="10"/>
  <c r="BL11" i="11"/>
  <c r="AP11" i="11"/>
  <c r="AE25" i="13"/>
  <c r="AD25" i="13" s="1"/>
  <c r="AE52" i="13"/>
  <c r="AD52" i="13" s="1"/>
  <c r="AE43" i="13"/>
  <c r="AD43" i="13" s="1"/>
  <c r="AE34" i="13"/>
  <c r="AD34" i="13" s="1"/>
  <c r="AE8" i="14"/>
  <c r="AE52" i="15"/>
  <c r="AD52" i="15" s="1"/>
  <c r="AE43" i="15"/>
  <c r="AD43" i="15" s="1"/>
  <c r="AE34" i="15"/>
  <c r="AD34" i="15" s="1"/>
  <c r="AE25" i="15"/>
  <c r="AD25" i="15" s="1"/>
  <c r="BT6" i="16"/>
  <c r="AQ6" i="10"/>
  <c r="AQ10" i="10"/>
  <c r="W23" i="10"/>
  <c r="AA44" i="10"/>
  <c r="BA6" i="11"/>
  <c r="BI6" i="11"/>
  <c r="BJ8" i="11"/>
  <c r="AP8" i="11" s="1"/>
  <c r="AE44" i="11"/>
  <c r="AD44" i="11" s="1"/>
  <c r="AE35" i="11"/>
  <c r="AD35" i="11" s="1"/>
  <c r="AE26" i="11"/>
  <c r="AD26" i="11" s="1"/>
  <c r="AE53" i="11"/>
  <c r="AD53" i="11" s="1"/>
  <c r="AE33" i="12"/>
  <c r="AD33" i="12" s="1"/>
  <c r="AE24" i="12"/>
  <c r="AD24" i="12" s="1"/>
  <c r="AE51" i="12"/>
  <c r="AD51" i="12" s="1"/>
  <c r="AE42" i="12"/>
  <c r="AD42" i="12" s="1"/>
  <c r="AP9" i="12"/>
  <c r="BL9" i="13"/>
  <c r="AA21" i="14"/>
  <c r="Z21" i="14"/>
  <c r="AE7" i="15"/>
  <c r="AE45" i="15"/>
  <c r="AD45" i="15" s="1"/>
  <c r="AE54" i="15"/>
  <c r="AD54" i="15" s="1"/>
  <c r="AE36" i="15"/>
  <c r="AD36" i="15" s="1"/>
  <c r="AE27" i="15"/>
  <c r="AD27" i="15" s="1"/>
  <c r="K3" i="6"/>
  <c r="E2" i="61" s="1"/>
  <c r="Y23" i="10"/>
  <c r="R32" i="10"/>
  <c r="AA33" i="10"/>
  <c r="BL8" i="12"/>
  <c r="AE10" i="13"/>
  <c r="BD10" i="13"/>
  <c r="BT6" i="14"/>
  <c r="AP7" i="14"/>
  <c r="AE6" i="15"/>
  <c r="AA23" i="10"/>
  <c r="T32" i="10"/>
  <c r="T50" i="10"/>
  <c r="BD9" i="11"/>
  <c r="AE27" i="11"/>
  <c r="AD27" i="11" s="1"/>
  <c r="AE54" i="11"/>
  <c r="AD54" i="11" s="1"/>
  <c r="AE45" i="11"/>
  <c r="AD45" i="11" s="1"/>
  <c r="AE36" i="11"/>
  <c r="AD36" i="11" s="1"/>
  <c r="BT7" i="15"/>
  <c r="K4" i="6"/>
  <c r="T24" i="10"/>
  <c r="W32" i="10"/>
  <c r="R42" i="10"/>
  <c r="R54" i="10"/>
  <c r="BC7" i="11"/>
  <c r="BK7" i="11"/>
  <c r="BS7" i="11"/>
  <c r="BD6" i="12"/>
  <c r="BJ6" i="12"/>
  <c r="BB9" i="12"/>
  <c r="AE9" i="12" s="1"/>
  <c r="AE36" i="14"/>
  <c r="AD36" i="14" s="1"/>
  <c r="AE6" i="16"/>
  <c r="BJ6" i="16"/>
  <c r="BD7" i="18"/>
  <c r="W50" i="10"/>
  <c r="W54" i="10"/>
  <c r="AD6" i="11"/>
  <c r="AY6" i="11"/>
  <c r="BD6" i="11" s="1"/>
  <c r="BH6" i="11"/>
  <c r="AP6" i="11" s="1"/>
  <c r="AE7" i="11"/>
  <c r="AZ7" i="11"/>
  <c r="BD7" i="11" s="1"/>
  <c r="BR7" i="11"/>
  <c r="BT7" i="11" s="1"/>
  <c r="BC8" i="11"/>
  <c r="AE8" i="11" s="1"/>
  <c r="AE9" i="11"/>
  <c r="BR9" i="11"/>
  <c r="AQ9" i="11" s="1"/>
  <c r="AD10" i="11"/>
  <c r="BB6" i="12"/>
  <c r="AE6" i="12" s="1"/>
  <c r="BK6" i="12"/>
  <c r="BC7" i="12"/>
  <c r="AE7" i="12" s="1"/>
  <c r="BC9" i="12"/>
  <c r="BL9" i="12"/>
  <c r="AQ10" i="12"/>
  <c r="BK10" i="12"/>
  <c r="AP10" i="12" s="1"/>
  <c r="BP7" i="13"/>
  <c r="BT7" i="13" s="1"/>
  <c r="AZ6" i="14"/>
  <c r="BD6" i="14" s="1"/>
  <c r="BR6" i="14"/>
  <c r="AQ6" i="14" s="1"/>
  <c r="BD8" i="14"/>
  <c r="AE10" i="14"/>
  <c r="BD7" i="15"/>
  <c r="AD8" i="15"/>
  <c r="BQ8" i="15"/>
  <c r="BT8" i="15" s="1"/>
  <c r="BD9" i="15"/>
  <c r="BC10" i="15"/>
  <c r="AE10" i="15" s="1"/>
  <c r="BD11" i="15"/>
  <c r="AY6" i="16"/>
  <c r="BD6" i="16" s="1"/>
  <c r="AZ7" i="16"/>
  <c r="BH7" i="16"/>
  <c r="BL7" i="16" s="1"/>
  <c r="AE27" i="16"/>
  <c r="AD27" i="16" s="1"/>
  <c r="AE54" i="16"/>
  <c r="AD54" i="16" s="1"/>
  <c r="AE45" i="16"/>
  <c r="AD45" i="16" s="1"/>
  <c r="AE36" i="16"/>
  <c r="AD36" i="16" s="1"/>
  <c r="AP6" i="20"/>
  <c r="Y50" i="10"/>
  <c r="BR6" i="11"/>
  <c r="AQ6" i="11" s="1"/>
  <c r="BJ7" i="11"/>
  <c r="BJ9" i="11"/>
  <c r="BL9" i="11" s="1"/>
  <c r="AD8" i="12"/>
  <c r="BQ8" i="12"/>
  <c r="BT8" i="12" s="1"/>
  <c r="BD9" i="12"/>
  <c r="BC10" i="12"/>
  <c r="BD10" i="12" s="1"/>
  <c r="BD11" i="12"/>
  <c r="BG6" i="13"/>
  <c r="AD7" i="13"/>
  <c r="BH7" i="13"/>
  <c r="BL7" i="13" s="1"/>
  <c r="BQ7" i="13"/>
  <c r="AQ8" i="13"/>
  <c r="BB8" i="13"/>
  <c r="AE8" i="13" s="1"/>
  <c r="AD9" i="13"/>
  <c r="BJ6" i="14"/>
  <c r="BL6" i="14" s="1"/>
  <c r="AQ7" i="14"/>
  <c r="AQ9" i="14"/>
  <c r="BB9" i="14"/>
  <c r="AE9" i="14" s="1"/>
  <c r="AP10" i="14"/>
  <c r="BS10" i="14"/>
  <c r="AQ10" i="14" s="1"/>
  <c r="AQ11" i="14"/>
  <c r="AE45" i="14"/>
  <c r="AD45" i="14" s="1"/>
  <c r="BD6" i="15"/>
  <c r="AE8" i="15"/>
  <c r="BI8" i="15"/>
  <c r="BL8" i="15" s="1"/>
  <c r="BR8" i="15"/>
  <c r="AQ8" i="15" s="1"/>
  <c r="BD10" i="15"/>
  <c r="AQ7" i="16"/>
  <c r="BD8" i="16"/>
  <c r="BL9" i="17"/>
  <c r="BD9" i="18"/>
  <c r="BD10" i="18"/>
  <c r="AA50" i="10"/>
  <c r="R51" i="10"/>
  <c r="R53" i="10"/>
  <c r="AA54" i="10"/>
  <c r="BS10" i="11"/>
  <c r="AQ10" i="11" s="1"/>
  <c r="BI8" i="12"/>
  <c r="BR8" i="12"/>
  <c r="AD6" i="13"/>
  <c r="BI7" i="13"/>
  <c r="AP7" i="13" s="1"/>
  <c r="BR7" i="13"/>
  <c r="BR9" i="13"/>
  <c r="BT9" i="13" s="1"/>
  <c r="AE11" i="13"/>
  <c r="BO6" i="15"/>
  <c r="BS8" i="15"/>
  <c r="BB6" i="16"/>
  <c r="AP7" i="16"/>
  <c r="AP9" i="17"/>
  <c r="AE6" i="18"/>
  <c r="BD6" i="18"/>
  <c r="BT10" i="18"/>
  <c r="BK10" i="11"/>
  <c r="BL10" i="11" s="1"/>
  <c r="BO6" i="12"/>
  <c r="AP8" i="12"/>
  <c r="BJ8" i="12"/>
  <c r="BS8" i="12"/>
  <c r="BJ7" i="13"/>
  <c r="BS7" i="13"/>
  <c r="AP9" i="13"/>
  <c r="BJ9" i="13"/>
  <c r="BS9" i="13"/>
  <c r="AP11" i="13"/>
  <c r="AE54" i="14"/>
  <c r="AD54" i="14" s="1"/>
  <c r="BT10" i="16"/>
  <c r="AQ10" i="16"/>
  <c r="W51" i="10"/>
  <c r="AD8" i="11"/>
  <c r="BQ8" i="11"/>
  <c r="BG6" i="12"/>
  <c r="BL6" i="12" s="1"/>
  <c r="BP6" i="12"/>
  <c r="AD7" i="12"/>
  <c r="BH7" i="12"/>
  <c r="AP7" i="12" s="1"/>
  <c r="BQ7" i="12"/>
  <c r="BK8" i="12"/>
  <c r="BJ6" i="13"/>
  <c r="BS6" i="13"/>
  <c r="BT6" i="13" s="1"/>
  <c r="AQ7" i="13"/>
  <c r="BK7" i="13"/>
  <c r="AQ9" i="13"/>
  <c r="BK9" i="13"/>
  <c r="AQ11" i="13"/>
  <c r="BI8" i="14"/>
  <c r="BL8" i="14" s="1"/>
  <c r="BR8" i="14"/>
  <c r="BT8" i="14" s="1"/>
  <c r="AD6" i="15"/>
  <c r="BH6" i="15"/>
  <c r="BL6" i="15" s="1"/>
  <c r="BQ6" i="15"/>
  <c r="BI7" i="15"/>
  <c r="BL7" i="15" s="1"/>
  <c r="BR7" i="15"/>
  <c r="BR9" i="15"/>
  <c r="BT9" i="15" s="1"/>
  <c r="AD10" i="15"/>
  <c r="BI6" i="16"/>
  <c r="AD6" i="16"/>
  <c r="BQ6" i="16"/>
  <c r="AQ6" i="16" s="1"/>
  <c r="BD8" i="17"/>
  <c r="AE36" i="17"/>
  <c r="AD36" i="17" s="1"/>
  <c r="AE27" i="17"/>
  <c r="AD27" i="17" s="1"/>
  <c r="AE54" i="17"/>
  <c r="AD54" i="17" s="1"/>
  <c r="AE45" i="17"/>
  <c r="AD45" i="17" s="1"/>
  <c r="AD6" i="12"/>
  <c r="BH6" i="12"/>
  <c r="BQ6" i="12"/>
  <c r="BI7" i="12"/>
  <c r="BR7" i="12"/>
  <c r="BR9" i="12"/>
  <c r="AQ6" i="13"/>
  <c r="AQ10" i="13"/>
  <c r="BK10" i="13"/>
  <c r="BL10" i="13" s="1"/>
  <c r="BS8" i="14"/>
  <c r="BR6" i="15"/>
  <c r="BG6" i="16"/>
  <c r="BT9" i="17"/>
  <c r="R50" i="10"/>
  <c r="AA51" i="10"/>
  <c r="AD7" i="14"/>
  <c r="AQ7" i="15"/>
  <c r="AQ9" i="15"/>
  <c r="AQ11" i="15"/>
  <c r="BD9" i="16"/>
  <c r="AE9" i="16"/>
  <c r="AE35" i="18"/>
  <c r="AD35" i="18" s="1"/>
  <c r="AE26" i="18"/>
  <c r="AD26" i="18" s="1"/>
  <c r="AE53" i="18"/>
  <c r="AD53" i="18" s="1"/>
  <c r="AE44" i="18"/>
  <c r="AD44" i="18" s="1"/>
  <c r="BK8" i="16"/>
  <c r="AD9" i="16"/>
  <c r="BA6" i="17"/>
  <c r="BD6" i="17" s="1"/>
  <c r="BJ6" i="17"/>
  <c r="BS6" i="17"/>
  <c r="BB7" i="17"/>
  <c r="AE7" i="17" s="1"/>
  <c r="BK7" i="17"/>
  <c r="BB9" i="17"/>
  <c r="AE9" i="17" s="1"/>
  <c r="AP10" i="17"/>
  <c r="BS10" i="17"/>
  <c r="AQ10" i="17" s="1"/>
  <c r="AQ11" i="17"/>
  <c r="BI8" i="18"/>
  <c r="BR8" i="18"/>
  <c r="BT8" i="18" s="1"/>
  <c r="BC6" i="19"/>
  <c r="AP8" i="19"/>
  <c r="BC9" i="19"/>
  <c r="BK9" i="19"/>
  <c r="BS9" i="19"/>
  <c r="BC8" i="20"/>
  <c r="BK8" i="20"/>
  <c r="BS8" i="20"/>
  <c r="BC8" i="16"/>
  <c r="AE8" i="16" s="1"/>
  <c r="AD10" i="16"/>
  <c r="BK6" i="17"/>
  <c r="BK10" i="17"/>
  <c r="BL10" i="17" s="1"/>
  <c r="BO6" i="18"/>
  <c r="BP7" i="18"/>
  <c r="BA8" i="18"/>
  <c r="BD8" i="18" s="1"/>
  <c r="BJ8" i="18"/>
  <c r="BS8" i="18"/>
  <c r="AQ6" i="19"/>
  <c r="AE10" i="16"/>
  <c r="AP11" i="16"/>
  <c r="BD7" i="17"/>
  <c r="AD8" i="17"/>
  <c r="BQ8" i="17"/>
  <c r="BD9" i="17"/>
  <c r="BC10" i="17"/>
  <c r="AE10" i="17" s="1"/>
  <c r="BD11" i="17"/>
  <c r="BG6" i="18"/>
  <c r="BP6" i="18"/>
  <c r="AD7" i="18"/>
  <c r="BH7" i="18"/>
  <c r="BL7" i="18" s="1"/>
  <c r="AQ8" i="18"/>
  <c r="BK8" i="18"/>
  <c r="AD9" i="18"/>
  <c r="BA7" i="19"/>
  <c r="BI7" i="19"/>
  <c r="BL7" i="19" s="1"/>
  <c r="AD9" i="19"/>
  <c r="BL10" i="19"/>
  <c r="BT11" i="19"/>
  <c r="AQ11" i="19"/>
  <c r="AZ6" i="20"/>
  <c r="BH6" i="20"/>
  <c r="BL6" i="20" s="1"/>
  <c r="AD6" i="20"/>
  <c r="BP6" i="20"/>
  <c r="AP7" i="20"/>
  <c r="Z39" i="21"/>
  <c r="AA39" i="21"/>
  <c r="AQ9" i="16"/>
  <c r="AQ11" i="16"/>
  <c r="AE8" i="17"/>
  <c r="BR8" i="17"/>
  <c r="BD10" i="17"/>
  <c r="AD6" i="18"/>
  <c r="BH6" i="18"/>
  <c r="BQ6" i="18"/>
  <c r="AE7" i="18"/>
  <c r="BI7" i="18"/>
  <c r="BR7" i="18"/>
  <c r="AE9" i="18"/>
  <c r="BR9" i="18"/>
  <c r="AQ9" i="18" s="1"/>
  <c r="AD10" i="18"/>
  <c r="AE11" i="18"/>
  <c r="BA6" i="19"/>
  <c r="AP10" i="19"/>
  <c r="BL11" i="19"/>
  <c r="AP11" i="19"/>
  <c r="AE8" i="22"/>
  <c r="BO6" i="17"/>
  <c r="BP7" i="17"/>
  <c r="BI6" i="18"/>
  <c r="BR6" i="18"/>
  <c r="AQ6" i="18" s="1"/>
  <c r="BJ9" i="18"/>
  <c r="AP9" i="18" s="1"/>
  <c r="BD8" i="19"/>
  <c r="AE6" i="20"/>
  <c r="BA8" i="20"/>
  <c r="BI8" i="20"/>
  <c r="BQ8" i="20"/>
  <c r="AD8" i="20"/>
  <c r="BD8" i="20"/>
  <c r="AQ9" i="20"/>
  <c r="BD10" i="20"/>
  <c r="BJ6" i="18"/>
  <c r="BS6" i="18"/>
  <c r="BS10" i="18"/>
  <c r="AE6" i="19"/>
  <c r="AE8" i="20"/>
  <c r="AE44" i="20"/>
  <c r="AD44" i="20" s="1"/>
  <c r="AE26" i="20"/>
  <c r="AD26" i="20" s="1"/>
  <c r="AE53" i="20"/>
  <c r="AD53" i="20" s="1"/>
  <c r="AE35" i="20"/>
  <c r="AD35" i="20" s="1"/>
  <c r="AE54" i="20"/>
  <c r="AD54" i="20" s="1"/>
  <c r="AE45" i="20"/>
  <c r="AD45" i="20" s="1"/>
  <c r="AE36" i="20"/>
  <c r="AD36" i="20" s="1"/>
  <c r="AE27" i="20"/>
  <c r="AD27" i="20" s="1"/>
  <c r="R21" i="21"/>
  <c r="S21" i="21"/>
  <c r="BI8" i="16"/>
  <c r="AP8" i="16" s="1"/>
  <c r="BR8" i="16"/>
  <c r="BT8" i="16" s="1"/>
  <c r="AD6" i="17"/>
  <c r="BH6" i="17"/>
  <c r="BL6" i="17" s="1"/>
  <c r="BQ6" i="17"/>
  <c r="BI7" i="17"/>
  <c r="AP7" i="17" s="1"/>
  <c r="BR7" i="17"/>
  <c r="BR9" i="17"/>
  <c r="AQ9" i="17" s="1"/>
  <c r="BK6" i="18"/>
  <c r="AQ10" i="18"/>
  <c r="BK10" i="18"/>
  <c r="BL10" i="18" s="1"/>
  <c r="BD9" i="19"/>
  <c r="AE27" i="19"/>
  <c r="AD27" i="19" s="1"/>
  <c r="AE54" i="19"/>
  <c r="AD54" i="19" s="1"/>
  <c r="AE45" i="19"/>
  <c r="AD45" i="19" s="1"/>
  <c r="AE36" i="19"/>
  <c r="AD36" i="19" s="1"/>
  <c r="BR6" i="20"/>
  <c r="BB6" i="20"/>
  <c r="AZ7" i="20"/>
  <c r="AD7" i="20"/>
  <c r="AD8" i="18"/>
  <c r="BL6" i="19"/>
  <c r="BC7" i="19"/>
  <c r="AE7" i="19" s="1"/>
  <c r="BK7" i="19"/>
  <c r="BS7" i="19"/>
  <c r="AP7" i="19"/>
  <c r="AE9" i="19"/>
  <c r="BC10" i="19"/>
  <c r="BD10" i="19" s="1"/>
  <c r="BD7" i="20"/>
  <c r="BJ9" i="20"/>
  <c r="AP9" i="20" s="1"/>
  <c r="BT10" i="20"/>
  <c r="BL11" i="20"/>
  <c r="BA8" i="21"/>
  <c r="BD8" i="21" s="1"/>
  <c r="BI8" i="21"/>
  <c r="BL8" i="21" s="1"/>
  <c r="BL11" i="22"/>
  <c r="AP11" i="22"/>
  <c r="AD6" i="19"/>
  <c r="AY6" i="19"/>
  <c r="BD6" i="19" s="1"/>
  <c r="BQ6" i="19"/>
  <c r="BT6" i="19" s="1"/>
  <c r="AZ7" i="19"/>
  <c r="BD7" i="19" s="1"/>
  <c r="BR7" i="19"/>
  <c r="BT7" i="19" s="1"/>
  <c r="BC8" i="19"/>
  <c r="AE8" i="19" s="1"/>
  <c r="BL8" i="19"/>
  <c r="BR9" i="19"/>
  <c r="AQ9" i="19" s="1"/>
  <c r="AD10" i="19"/>
  <c r="BK6" i="20"/>
  <c r="BC7" i="20"/>
  <c r="BL7" i="20"/>
  <c r="BC9" i="20"/>
  <c r="AE9" i="20" s="1"/>
  <c r="AQ10" i="20"/>
  <c r="BK10" i="20"/>
  <c r="AP10" i="20" s="1"/>
  <c r="AE7" i="21"/>
  <c r="BJ9" i="21"/>
  <c r="AP9" i="21" s="1"/>
  <c r="BL10" i="21"/>
  <c r="BL11" i="21"/>
  <c r="AE6" i="22"/>
  <c r="BJ7" i="19"/>
  <c r="BJ9" i="19"/>
  <c r="AP9" i="19" s="1"/>
  <c r="AZ6" i="21"/>
  <c r="AE6" i="21" s="1"/>
  <c r="BH6" i="21"/>
  <c r="BP6" i="21"/>
  <c r="AQ8" i="21"/>
  <c r="AP11" i="21"/>
  <c r="BA7" i="22"/>
  <c r="BI7" i="22"/>
  <c r="BQ7" i="22"/>
  <c r="BT7" i="22" s="1"/>
  <c r="AD7" i="22"/>
  <c r="BD7" i="22"/>
  <c r="AQ9" i="22"/>
  <c r="BS6" i="19"/>
  <c r="BS10" i="19"/>
  <c r="BT10" i="19" s="1"/>
  <c r="BD6" i="20"/>
  <c r="BR8" i="20"/>
  <c r="BT8" i="20" s="1"/>
  <c r="AZ7" i="21"/>
  <c r="BD7" i="21" s="1"/>
  <c r="BL9" i="21"/>
  <c r="BL6" i="22"/>
  <c r="AP10" i="22"/>
  <c r="AE54" i="22"/>
  <c r="AD54" i="22" s="1"/>
  <c r="AE45" i="22"/>
  <c r="AD45" i="22" s="1"/>
  <c r="AE36" i="22"/>
  <c r="AD36" i="22" s="1"/>
  <c r="AE27" i="22"/>
  <c r="AD27" i="22" s="1"/>
  <c r="AP11" i="23"/>
  <c r="BO6" i="20"/>
  <c r="BJ8" i="20"/>
  <c r="BL8" i="20" s="1"/>
  <c r="BH7" i="21"/>
  <c r="AD7" i="21"/>
  <c r="BQ8" i="21"/>
  <c r="BT8" i="21" s="1"/>
  <c r="AP6" i="22"/>
  <c r="BL7" i="22"/>
  <c r="AP7" i="22"/>
  <c r="BT8" i="22"/>
  <c r="AQ8" i="22"/>
  <c r="AE10" i="22"/>
  <c r="BD6" i="23"/>
  <c r="AD8" i="19"/>
  <c r="BQ8" i="19"/>
  <c r="BQ7" i="20"/>
  <c r="AD9" i="20"/>
  <c r="BC8" i="21"/>
  <c r="BK8" i="21"/>
  <c r="BS8" i="21"/>
  <c r="BD8" i="22"/>
  <c r="BC9" i="22"/>
  <c r="BD9" i="22" s="1"/>
  <c r="BK9" i="22"/>
  <c r="BS9" i="22"/>
  <c r="AD9" i="22"/>
  <c r="BL9" i="22"/>
  <c r="AP7" i="21"/>
  <c r="AE43" i="21"/>
  <c r="AD43" i="21" s="1"/>
  <c r="AE34" i="21"/>
  <c r="AD34" i="21" s="1"/>
  <c r="AE26" i="21"/>
  <c r="AD26" i="21" s="1"/>
  <c r="AE53" i="21"/>
  <c r="AD53" i="21" s="1"/>
  <c r="AE44" i="21"/>
  <c r="AD44" i="21" s="1"/>
  <c r="AE35" i="21"/>
  <c r="AD35" i="21" s="1"/>
  <c r="AE36" i="21"/>
  <c r="AD36" i="21" s="1"/>
  <c r="AE27" i="21"/>
  <c r="AD27" i="21" s="1"/>
  <c r="AE54" i="21"/>
  <c r="AD54" i="21" s="1"/>
  <c r="AE52" i="21"/>
  <c r="AD52" i="21" s="1"/>
  <c r="BC7" i="22"/>
  <c r="BK7" i="22"/>
  <c r="BS7" i="22"/>
  <c r="BR6" i="21"/>
  <c r="BB6" i="21"/>
  <c r="AD8" i="21"/>
  <c r="BT10" i="21"/>
  <c r="AQ10" i="21"/>
  <c r="BO6" i="22"/>
  <c r="BT6" i="22" s="1"/>
  <c r="AP8" i="22"/>
  <c r="BA8" i="22"/>
  <c r="BS8" i="22"/>
  <c r="AZ6" i="23"/>
  <c r="AE6" i="23" s="1"/>
  <c r="BR6" i="23"/>
  <c r="AZ7" i="23"/>
  <c r="BS7" i="23"/>
  <c r="BC8" i="23"/>
  <c r="BD8" i="23" s="1"/>
  <c r="BK8" i="23"/>
  <c r="BS8" i="23"/>
  <c r="BR9" i="23"/>
  <c r="AD9" i="23"/>
  <c r="AD10" i="23"/>
  <c r="BC10" i="23"/>
  <c r="AE10" i="23" s="1"/>
  <c r="BK10" i="23"/>
  <c r="BD9" i="24"/>
  <c r="BD10" i="24"/>
  <c r="BJ6" i="23"/>
  <c r="AP6" i="23" s="1"/>
  <c r="AE7" i="24"/>
  <c r="BT9" i="24"/>
  <c r="AE51" i="25"/>
  <c r="AD51" i="25" s="1"/>
  <c r="AE42" i="25"/>
  <c r="AD42" i="25" s="1"/>
  <c r="AE33" i="25"/>
  <c r="AD33" i="25" s="1"/>
  <c r="AE24" i="25"/>
  <c r="AD24" i="25" s="1"/>
  <c r="BT9" i="25"/>
  <c r="K30" i="26"/>
  <c r="J30" i="26"/>
  <c r="BD6" i="21"/>
  <c r="AE8" i="21"/>
  <c r="BR8" i="21"/>
  <c r="BD10" i="21"/>
  <c r="AD6" i="22"/>
  <c r="BH6" i="22"/>
  <c r="BQ6" i="22"/>
  <c r="AE7" i="22"/>
  <c r="BR7" i="22"/>
  <c r="BR9" i="22"/>
  <c r="BT9" i="22" s="1"/>
  <c r="AD10" i="22"/>
  <c r="BK6" i="23"/>
  <c r="BL6" i="23" s="1"/>
  <c r="BD7" i="23"/>
  <c r="BJ7" i="23"/>
  <c r="BL7" i="23" s="1"/>
  <c r="BQ8" i="23"/>
  <c r="AD8" i="23"/>
  <c r="BI8" i="23"/>
  <c r="BL8" i="23" s="1"/>
  <c r="BC9" i="23"/>
  <c r="BJ9" i="23"/>
  <c r="AP9" i="23" s="1"/>
  <c r="BD10" i="23"/>
  <c r="BT10" i="23"/>
  <c r="AE54" i="24"/>
  <c r="AD54" i="24" s="1"/>
  <c r="AE45" i="24"/>
  <c r="AD45" i="24" s="1"/>
  <c r="AE36" i="24"/>
  <c r="AD36" i="24" s="1"/>
  <c r="AE27" i="24"/>
  <c r="AD27" i="24" s="1"/>
  <c r="BL8" i="25"/>
  <c r="AE44" i="25"/>
  <c r="AD44" i="25" s="1"/>
  <c r="AE35" i="25"/>
  <c r="AD35" i="25" s="1"/>
  <c r="AE53" i="25"/>
  <c r="AD53" i="25" s="1"/>
  <c r="AE26" i="25"/>
  <c r="AD26" i="25" s="1"/>
  <c r="BO6" i="21"/>
  <c r="BP7" i="21"/>
  <c r="BI6" i="22"/>
  <c r="BR6" i="22"/>
  <c r="BJ9" i="22"/>
  <c r="AP9" i="22" s="1"/>
  <c r="BK7" i="23"/>
  <c r="BJ8" i="23"/>
  <c r="AP8" i="23" s="1"/>
  <c r="BL11" i="23"/>
  <c r="AE9" i="24"/>
  <c r="AE36" i="25"/>
  <c r="AD36" i="25" s="1"/>
  <c r="AE27" i="25"/>
  <c r="AD27" i="25" s="1"/>
  <c r="AE45" i="25"/>
  <c r="AD45" i="25" s="1"/>
  <c r="AE54" i="25"/>
  <c r="AD54" i="25" s="1"/>
  <c r="BG6" i="21"/>
  <c r="BJ6" i="22"/>
  <c r="BS6" i="22"/>
  <c r="BS10" i="22"/>
  <c r="AQ10" i="22" s="1"/>
  <c r="BA7" i="23"/>
  <c r="BT8" i="23"/>
  <c r="AQ8" i="23"/>
  <c r="BD6" i="24"/>
  <c r="AE6" i="24"/>
  <c r="AE44" i="24"/>
  <c r="AD44" i="24" s="1"/>
  <c r="AE35" i="24"/>
  <c r="AD35" i="24" s="1"/>
  <c r="AE26" i="24"/>
  <c r="AD26" i="24" s="1"/>
  <c r="AE53" i="24"/>
  <c r="AD53" i="24" s="1"/>
  <c r="AD6" i="21"/>
  <c r="BQ6" i="21"/>
  <c r="BI7" i="21"/>
  <c r="BR7" i="21"/>
  <c r="BR9" i="21"/>
  <c r="AQ9" i="21" s="1"/>
  <c r="BK6" i="22"/>
  <c r="BO6" i="23"/>
  <c r="AQ6" i="23" s="1"/>
  <c r="BB9" i="23"/>
  <c r="AE9" i="23" s="1"/>
  <c r="BL10" i="23"/>
  <c r="AE11" i="23"/>
  <c r="BD11" i="23"/>
  <c r="BL6" i="25"/>
  <c r="AD8" i="22"/>
  <c r="AD7" i="23"/>
  <c r="BP7" i="23"/>
  <c r="AP10" i="23"/>
  <c r="AQ10" i="23"/>
  <c r="BO6" i="24"/>
  <c r="BT6" i="24" s="1"/>
  <c r="BP7" i="24"/>
  <c r="AQ7" i="24" s="1"/>
  <c r="BA8" i="24"/>
  <c r="BS8" i="24"/>
  <c r="BT8" i="24" s="1"/>
  <c r="AZ6" i="25"/>
  <c r="BD6" i="25" s="1"/>
  <c r="BI6" i="25"/>
  <c r="AP6" i="25" s="1"/>
  <c r="BR6" i="25"/>
  <c r="BA7" i="25"/>
  <c r="AE7" i="25" s="1"/>
  <c r="BJ7" i="25"/>
  <c r="BL7" i="25" s="1"/>
  <c r="BS7" i="25"/>
  <c r="BT7" i="25" s="1"/>
  <c r="BD8" i="25"/>
  <c r="BJ9" i="25"/>
  <c r="AP9" i="25" s="1"/>
  <c r="BS9" i="25"/>
  <c r="BT10" i="25"/>
  <c r="AQ8" i="26"/>
  <c r="AP9" i="26"/>
  <c r="BT9" i="26"/>
  <c r="BG6" i="24"/>
  <c r="BP6" i="24"/>
  <c r="AD7" i="24"/>
  <c r="BH7" i="24"/>
  <c r="BL7" i="24" s="1"/>
  <c r="BQ7" i="24"/>
  <c r="AQ8" i="24"/>
  <c r="BK8" i="24"/>
  <c r="BL8" i="24" s="1"/>
  <c r="AD9" i="24"/>
  <c r="BS6" i="25"/>
  <c r="AQ7" i="25"/>
  <c r="BK7" i="25"/>
  <c r="AQ9" i="25"/>
  <c r="BB9" i="25"/>
  <c r="AE9" i="25" s="1"/>
  <c r="BK9" i="25"/>
  <c r="AP10" i="25"/>
  <c r="BK10" i="25"/>
  <c r="BL10" i="25" s="1"/>
  <c r="BH7" i="26"/>
  <c r="AP7" i="26" s="1"/>
  <c r="AD7" i="26"/>
  <c r="AE9" i="26"/>
  <c r="BT10" i="26"/>
  <c r="AE11" i="26"/>
  <c r="AP9" i="27"/>
  <c r="BT9" i="27"/>
  <c r="AQ9" i="27"/>
  <c r="AD6" i="24"/>
  <c r="BQ6" i="24"/>
  <c r="AQ6" i="24" s="1"/>
  <c r="BI7" i="24"/>
  <c r="BR7" i="24"/>
  <c r="BR9" i="24"/>
  <c r="BT11" i="25"/>
  <c r="AQ11" i="25"/>
  <c r="AQ10" i="26"/>
  <c r="BJ8" i="27"/>
  <c r="BL11" i="27"/>
  <c r="BJ7" i="24"/>
  <c r="BS7" i="24"/>
  <c r="BT7" i="24" s="1"/>
  <c r="BJ9" i="24"/>
  <c r="BS9" i="24"/>
  <c r="BB6" i="26"/>
  <c r="BR6" i="26"/>
  <c r="BL7" i="26"/>
  <c r="BC8" i="26"/>
  <c r="BK8" i="26"/>
  <c r="BS8" i="26"/>
  <c r="AQ6" i="27"/>
  <c r="BD7" i="27"/>
  <c r="AE7" i="27"/>
  <c r="BT11" i="27"/>
  <c r="AQ11" i="27"/>
  <c r="BJ6" i="24"/>
  <c r="BS6" i="24"/>
  <c r="BK7" i="24"/>
  <c r="AQ9" i="24"/>
  <c r="BK9" i="24"/>
  <c r="BL9" i="24" s="1"/>
  <c r="BS10" i="24"/>
  <c r="BT10" i="24" s="1"/>
  <c r="BR8" i="25"/>
  <c r="BT8" i="25" s="1"/>
  <c r="AE10" i="26"/>
  <c r="AY6" i="27"/>
  <c r="BD6" i="27" s="1"/>
  <c r="AD6" i="27"/>
  <c r="BC6" i="27"/>
  <c r="AE6" i="27" s="1"/>
  <c r="BK6" i="27"/>
  <c r="BT10" i="27"/>
  <c r="AQ10" i="27"/>
  <c r="AQ10" i="24"/>
  <c r="BK10" i="24"/>
  <c r="AP10" i="24" s="1"/>
  <c r="BO6" i="25"/>
  <c r="AQ6" i="25" s="1"/>
  <c r="BJ8" i="25"/>
  <c r="AP8" i="25" s="1"/>
  <c r="AE6" i="26"/>
  <c r="AD8" i="26"/>
  <c r="AP7" i="27"/>
  <c r="BD9" i="27"/>
  <c r="AE9" i="27"/>
  <c r="BD11" i="27"/>
  <c r="AE11" i="27"/>
  <c r="AD7" i="25"/>
  <c r="AQ8" i="25"/>
  <c r="BD10" i="25"/>
  <c r="AZ6" i="26"/>
  <c r="BH6" i="26"/>
  <c r="BP6" i="26"/>
  <c r="BK6" i="26"/>
  <c r="BA6" i="26"/>
  <c r="BA8" i="26"/>
  <c r="BD8" i="26" s="1"/>
  <c r="BI8" i="26"/>
  <c r="BL8" i="26" s="1"/>
  <c r="AQ11" i="26"/>
  <c r="BC10" i="27"/>
  <c r="BD10" i="27" s="1"/>
  <c r="BK10" i="27"/>
  <c r="BL10" i="27" s="1"/>
  <c r="AD10" i="27"/>
  <c r="AE23" i="26"/>
  <c r="AD23" i="26" s="1"/>
  <c r="AE50" i="26"/>
  <c r="AD50" i="26" s="1"/>
  <c r="AE41" i="26"/>
  <c r="AD41" i="26" s="1"/>
  <c r="BL9" i="26"/>
  <c r="BT7" i="27"/>
  <c r="AQ7" i="27"/>
  <c r="BT9" i="28"/>
  <c r="BD6" i="29"/>
  <c r="AP7" i="29"/>
  <c r="BL7" i="29"/>
  <c r="BD9" i="29"/>
  <c r="BD6" i="26"/>
  <c r="BR8" i="26"/>
  <c r="BT8" i="26" s="1"/>
  <c r="BD10" i="26"/>
  <c r="BH6" i="27"/>
  <c r="AP6" i="27" s="1"/>
  <c r="BC8" i="27"/>
  <c r="AE8" i="27" s="1"/>
  <c r="AE6" i="28"/>
  <c r="AE8" i="28"/>
  <c r="AE6" i="29"/>
  <c r="Z48" i="30"/>
  <c r="AA48" i="30"/>
  <c r="BO6" i="26"/>
  <c r="BP7" i="26"/>
  <c r="BR6" i="27"/>
  <c r="BT6" i="27" s="1"/>
  <c r="BD8" i="27"/>
  <c r="AP11" i="27"/>
  <c r="BD6" i="28"/>
  <c r="AE7" i="28"/>
  <c r="BJ6" i="27"/>
  <c r="BL6" i="27" s="1"/>
  <c r="BD8" i="29"/>
  <c r="AE49" i="30"/>
  <c r="AD49" i="30" s="1"/>
  <c r="AE40" i="30"/>
  <c r="AD40" i="30" s="1"/>
  <c r="AE31" i="30"/>
  <c r="AD31" i="30" s="1"/>
  <c r="AE22" i="30"/>
  <c r="AD22" i="30" s="1"/>
  <c r="AE27" i="31"/>
  <c r="AD27" i="31" s="1"/>
  <c r="AE54" i="31"/>
  <c r="AD54" i="31" s="1"/>
  <c r="AE45" i="31"/>
  <c r="AD45" i="31" s="1"/>
  <c r="AE36" i="31"/>
  <c r="AD36" i="31" s="1"/>
  <c r="AD6" i="26"/>
  <c r="BR7" i="26"/>
  <c r="BR9" i="26"/>
  <c r="AQ9" i="26" s="1"/>
  <c r="AE34" i="28"/>
  <c r="AD34" i="28" s="1"/>
  <c r="AE25" i="28"/>
  <c r="AD25" i="28" s="1"/>
  <c r="AE52" i="28"/>
  <c r="AD52" i="28" s="1"/>
  <c r="AE43" i="28"/>
  <c r="AD43" i="28" s="1"/>
  <c r="BL10" i="28"/>
  <c r="AE54" i="29"/>
  <c r="AD54" i="29" s="1"/>
  <c r="AE36" i="29"/>
  <c r="AD36" i="29" s="1"/>
  <c r="AE27" i="29"/>
  <c r="AD27" i="29" s="1"/>
  <c r="AE45" i="29"/>
  <c r="AD45" i="29" s="1"/>
  <c r="AD8" i="27"/>
  <c r="BQ8" i="27"/>
  <c r="AE50" i="29"/>
  <c r="AD50" i="29" s="1"/>
  <c r="AE41" i="29"/>
  <c r="AD41" i="29" s="1"/>
  <c r="AE32" i="29"/>
  <c r="AD32" i="29" s="1"/>
  <c r="AE23" i="29"/>
  <c r="AD23" i="29" s="1"/>
  <c r="AE10" i="29"/>
  <c r="AE42" i="30"/>
  <c r="AD42" i="30" s="1"/>
  <c r="AE33" i="30"/>
  <c r="AD33" i="30" s="1"/>
  <c r="AE24" i="30"/>
  <c r="AD24" i="30" s="1"/>
  <c r="AE51" i="30"/>
  <c r="AD51" i="30" s="1"/>
  <c r="BI8" i="27"/>
  <c r="BL8" i="27" s="1"/>
  <c r="BR8" i="27"/>
  <c r="AP6" i="29"/>
  <c r="W39" i="30"/>
  <c r="V39" i="30"/>
  <c r="BD8" i="28"/>
  <c r="BD9" i="28"/>
  <c r="AE10" i="28"/>
  <c r="AA21" i="28"/>
  <c r="Z21" i="28"/>
  <c r="AP6" i="31"/>
  <c r="AE34" i="31"/>
  <c r="AD34" i="31" s="1"/>
  <c r="AE25" i="31"/>
  <c r="AD25" i="31" s="1"/>
  <c r="AE52" i="31"/>
  <c r="AD52" i="31" s="1"/>
  <c r="AE43" i="31"/>
  <c r="AD43" i="31" s="1"/>
  <c r="BP6" i="28"/>
  <c r="AD7" i="28"/>
  <c r="BQ7" i="28"/>
  <c r="AQ7" i="28" s="1"/>
  <c r="BK8" i="28"/>
  <c r="BL8" i="28" s="1"/>
  <c r="AD9" i="28"/>
  <c r="BJ6" i="29"/>
  <c r="BL6" i="29" s="1"/>
  <c r="AQ9" i="29"/>
  <c r="BB9" i="29"/>
  <c r="AE9" i="29" s="1"/>
  <c r="AQ11" i="29"/>
  <c r="AP8" i="30"/>
  <c r="BL9" i="30"/>
  <c r="BJ8" i="31"/>
  <c r="BL10" i="31"/>
  <c r="AE36" i="28"/>
  <c r="AD36" i="28" s="1"/>
  <c r="BH7" i="30"/>
  <c r="AD7" i="30"/>
  <c r="BP7" i="30"/>
  <c r="AQ7" i="30" s="1"/>
  <c r="BL11" i="30"/>
  <c r="AP11" i="30"/>
  <c r="AE41" i="31"/>
  <c r="AD41" i="31" s="1"/>
  <c r="AE32" i="31"/>
  <c r="AD32" i="31" s="1"/>
  <c r="AE23" i="31"/>
  <c r="AD23" i="31" s="1"/>
  <c r="AE50" i="32"/>
  <c r="AD50" i="32" s="1"/>
  <c r="AE41" i="32"/>
  <c r="AD41" i="32" s="1"/>
  <c r="AE32" i="32"/>
  <c r="AD32" i="32" s="1"/>
  <c r="AE23" i="32"/>
  <c r="AD23" i="32" s="1"/>
  <c r="BL10" i="34"/>
  <c r="BR6" i="28"/>
  <c r="BT6" i="28" s="1"/>
  <c r="BS7" i="28"/>
  <c r="AP9" i="28"/>
  <c r="BS9" i="28"/>
  <c r="AP11" i="28"/>
  <c r="AD8" i="29"/>
  <c r="BQ8" i="29"/>
  <c r="BC7" i="30"/>
  <c r="BK7" i="30"/>
  <c r="BL7" i="30" s="1"/>
  <c r="AE9" i="30"/>
  <c r="AE35" i="30"/>
  <c r="AD35" i="30" s="1"/>
  <c r="AE26" i="30"/>
  <c r="AD26" i="30" s="1"/>
  <c r="AE53" i="30"/>
  <c r="AD53" i="30" s="1"/>
  <c r="AQ6" i="31"/>
  <c r="AY6" i="31"/>
  <c r="BD6" i="31" s="1"/>
  <c r="BL7" i="31"/>
  <c r="BD10" i="31"/>
  <c r="BT11" i="31"/>
  <c r="AE50" i="31"/>
  <c r="AD50" i="31" s="1"/>
  <c r="AZ6" i="32"/>
  <c r="BC8" i="32"/>
  <c r="BL10" i="32"/>
  <c r="BJ6" i="28"/>
  <c r="BL6" i="28" s="1"/>
  <c r="BK7" i="28"/>
  <c r="AP7" i="28" s="1"/>
  <c r="AQ9" i="28"/>
  <c r="BK9" i="28"/>
  <c r="BL9" i="28" s="1"/>
  <c r="BS10" i="28"/>
  <c r="BT10" i="28" s="1"/>
  <c r="AE45" i="28"/>
  <c r="AD45" i="28" s="1"/>
  <c r="AE8" i="29"/>
  <c r="BI8" i="29"/>
  <c r="AP8" i="29" s="1"/>
  <c r="BR8" i="29"/>
  <c r="BD10" i="29"/>
  <c r="AE36" i="32"/>
  <c r="AD36" i="32" s="1"/>
  <c r="AE54" i="32"/>
  <c r="AD54" i="32" s="1"/>
  <c r="AE45" i="32"/>
  <c r="AD45" i="32" s="1"/>
  <c r="AE27" i="32"/>
  <c r="AD27" i="32" s="1"/>
  <c r="AQ6" i="28"/>
  <c r="AQ10" i="28"/>
  <c r="BK10" i="28"/>
  <c r="AP10" i="28" s="1"/>
  <c r="BO6" i="29"/>
  <c r="BP7" i="29"/>
  <c r="BS8" i="29"/>
  <c r="BT8" i="29" s="1"/>
  <c r="AP6" i="30"/>
  <c r="BJ7" i="30"/>
  <c r="BB8" i="31"/>
  <c r="AE8" i="31" s="1"/>
  <c r="BL9" i="31"/>
  <c r="AE6" i="32"/>
  <c r="AD8" i="28"/>
  <c r="BQ8" i="28"/>
  <c r="AE54" i="28"/>
  <c r="AD54" i="28" s="1"/>
  <c r="BP6" i="29"/>
  <c r="AD7" i="29"/>
  <c r="AD9" i="29"/>
  <c r="BC9" i="30"/>
  <c r="BD9" i="30" s="1"/>
  <c r="BK9" i="30"/>
  <c r="BS9" i="30"/>
  <c r="AP10" i="30"/>
  <c r="AE45" i="30"/>
  <c r="AD45" i="30" s="1"/>
  <c r="AE36" i="30"/>
  <c r="AD36" i="30" s="1"/>
  <c r="AE27" i="30"/>
  <c r="AD27" i="30" s="1"/>
  <c r="BC6" i="31"/>
  <c r="BK6" i="31"/>
  <c r="BD7" i="31"/>
  <c r="BT7" i="31"/>
  <c r="BL11" i="31"/>
  <c r="AP7" i="32"/>
  <c r="BD8" i="32"/>
  <c r="AE8" i="32"/>
  <c r="AE10" i="32"/>
  <c r="AD6" i="29"/>
  <c r="AZ7" i="30"/>
  <c r="BD9" i="31"/>
  <c r="BT10" i="31"/>
  <c r="BR7" i="30"/>
  <c r="BT7" i="30" s="1"/>
  <c r="BT11" i="30"/>
  <c r="AQ11" i="30"/>
  <c r="BI6" i="31"/>
  <c r="BL6" i="31" s="1"/>
  <c r="BT9" i="31"/>
  <c r="BJ6" i="32"/>
  <c r="BB9" i="32"/>
  <c r="AE9" i="32" s="1"/>
  <c r="BS10" i="32"/>
  <c r="AQ11" i="32"/>
  <c r="AP8" i="33"/>
  <c r="BT7" i="34"/>
  <c r="AQ7" i="34"/>
  <c r="BL9" i="34"/>
  <c r="BO6" i="30"/>
  <c r="AQ6" i="30" s="1"/>
  <c r="BS8" i="30"/>
  <c r="BT8" i="30" s="1"/>
  <c r="BR6" i="31"/>
  <c r="BT6" i="31" s="1"/>
  <c r="BD8" i="31"/>
  <c r="AE10" i="31"/>
  <c r="AP11" i="31"/>
  <c r="BD7" i="32"/>
  <c r="AD8" i="32"/>
  <c r="BQ8" i="32"/>
  <c r="BC10" i="32"/>
  <c r="BD11" i="32"/>
  <c r="AP10" i="33"/>
  <c r="AQ6" i="34"/>
  <c r="BD7" i="34"/>
  <c r="BT6" i="35"/>
  <c r="AE53" i="35"/>
  <c r="AD53" i="35" s="1"/>
  <c r="AE44" i="35"/>
  <c r="AD44" i="35" s="1"/>
  <c r="AE35" i="35"/>
  <c r="AD35" i="35" s="1"/>
  <c r="AE26" i="35"/>
  <c r="AD26" i="35" s="1"/>
  <c r="AD9" i="30"/>
  <c r="BJ6" i="31"/>
  <c r="AQ7" i="31"/>
  <c r="AQ9" i="31"/>
  <c r="AP10" i="31"/>
  <c r="BS10" i="31"/>
  <c r="AQ11" i="31"/>
  <c r="BD6" i="32"/>
  <c r="BI8" i="32"/>
  <c r="AP8" i="32" s="1"/>
  <c r="BR8" i="32"/>
  <c r="BD10" i="32"/>
  <c r="AE7" i="34"/>
  <c r="BT8" i="34"/>
  <c r="BD10" i="34"/>
  <c r="AA21" i="34"/>
  <c r="Z21" i="34"/>
  <c r="BR9" i="30"/>
  <c r="BT9" i="30" s="1"/>
  <c r="AQ10" i="31"/>
  <c r="BO6" i="32"/>
  <c r="BS8" i="32"/>
  <c r="BT8" i="32" s="1"/>
  <c r="AE10" i="33"/>
  <c r="BD6" i="34"/>
  <c r="BJ9" i="30"/>
  <c r="AP9" i="30" s="1"/>
  <c r="BP6" i="32"/>
  <c r="AD7" i="32"/>
  <c r="AQ8" i="32"/>
  <c r="BK8" i="32"/>
  <c r="BD7" i="33"/>
  <c r="AE52" i="33"/>
  <c r="AD52" i="33" s="1"/>
  <c r="AE43" i="33"/>
  <c r="AD43" i="33" s="1"/>
  <c r="AE34" i="33"/>
  <c r="AD34" i="33" s="1"/>
  <c r="AE25" i="33"/>
  <c r="AD25" i="33" s="1"/>
  <c r="AE45" i="33"/>
  <c r="AD45" i="33" s="1"/>
  <c r="AE36" i="33"/>
  <c r="AD36" i="33" s="1"/>
  <c r="AE27" i="33"/>
  <c r="AD27" i="33" s="1"/>
  <c r="AE54" i="33"/>
  <c r="AD54" i="33" s="1"/>
  <c r="BJ6" i="30"/>
  <c r="BL6" i="30" s="1"/>
  <c r="BS6" i="30"/>
  <c r="BS10" i="30"/>
  <c r="BT10" i="30" s="1"/>
  <c r="BI8" i="31"/>
  <c r="BL8" i="31" s="1"/>
  <c r="BR8" i="31"/>
  <c r="AD6" i="32"/>
  <c r="BH6" i="32"/>
  <c r="AP6" i="32" s="1"/>
  <c r="BQ6" i="32"/>
  <c r="BI7" i="32"/>
  <c r="BL7" i="32" s="1"/>
  <c r="BR7" i="32"/>
  <c r="BR9" i="32"/>
  <c r="AE7" i="33"/>
  <c r="AP7" i="34"/>
  <c r="AE34" i="34"/>
  <c r="AD34" i="34" s="1"/>
  <c r="AE25" i="34"/>
  <c r="AD25" i="34" s="1"/>
  <c r="AE52" i="34"/>
  <c r="AD52" i="34" s="1"/>
  <c r="AE43" i="34"/>
  <c r="AD43" i="34" s="1"/>
  <c r="AE6" i="33"/>
  <c r="AP9" i="34"/>
  <c r="BT9" i="34"/>
  <c r="AD8" i="33"/>
  <c r="BQ8" i="33"/>
  <c r="BC10" i="33"/>
  <c r="BL10" i="33"/>
  <c r="BD11" i="33"/>
  <c r="BG6" i="34"/>
  <c r="AP6" i="34" s="1"/>
  <c r="BP6" i="34"/>
  <c r="BT6" i="34" s="1"/>
  <c r="AD7" i="34"/>
  <c r="BH7" i="34"/>
  <c r="BL7" i="34" s="1"/>
  <c r="BK8" i="34"/>
  <c r="AD9" i="34"/>
  <c r="BD8" i="36"/>
  <c r="BT8" i="36"/>
  <c r="BD6" i="33"/>
  <c r="AE8" i="33"/>
  <c r="BI8" i="33"/>
  <c r="BL8" i="33" s="1"/>
  <c r="BR8" i="33"/>
  <c r="BD10" i="33"/>
  <c r="AD6" i="34"/>
  <c r="BH6" i="34"/>
  <c r="BC8" i="34"/>
  <c r="AE8" i="34" s="1"/>
  <c r="AE36" i="34"/>
  <c r="AD36" i="34" s="1"/>
  <c r="AD9" i="35"/>
  <c r="BB9" i="35"/>
  <c r="AE9" i="35" s="1"/>
  <c r="BR9" i="35"/>
  <c r="AE53" i="36"/>
  <c r="AD53" i="36" s="1"/>
  <c r="AE44" i="36"/>
  <c r="AD44" i="36" s="1"/>
  <c r="AE26" i="36"/>
  <c r="AD26" i="36" s="1"/>
  <c r="AE35" i="36"/>
  <c r="AD35" i="36" s="1"/>
  <c r="BO6" i="33"/>
  <c r="BP7" i="33"/>
  <c r="AE6" i="34"/>
  <c r="BR6" i="34"/>
  <c r="AE10" i="34"/>
  <c r="AP11" i="34"/>
  <c r="AE54" i="34"/>
  <c r="AD54" i="34" s="1"/>
  <c r="AY6" i="35"/>
  <c r="BD6" i="35" s="1"/>
  <c r="AD6" i="35"/>
  <c r="BB6" i="35"/>
  <c r="BJ7" i="35"/>
  <c r="BL7" i="35" s="1"/>
  <c r="BD7" i="36"/>
  <c r="AE50" i="38"/>
  <c r="AD50" i="38" s="1"/>
  <c r="AE41" i="38"/>
  <c r="AD41" i="38" s="1"/>
  <c r="AE32" i="38"/>
  <c r="AD32" i="38" s="1"/>
  <c r="AE23" i="38"/>
  <c r="AD23" i="38" s="1"/>
  <c r="BJ6" i="34"/>
  <c r="AP10" i="34"/>
  <c r="BS10" i="34"/>
  <c r="AQ10" i="34" s="1"/>
  <c r="AE45" i="34"/>
  <c r="AD45" i="34" s="1"/>
  <c r="BK7" i="35"/>
  <c r="BT10" i="36"/>
  <c r="AD6" i="33"/>
  <c r="BH6" i="33"/>
  <c r="BL6" i="33" s="1"/>
  <c r="BQ6" i="33"/>
  <c r="BI7" i="33"/>
  <c r="BL7" i="33" s="1"/>
  <c r="BR7" i="33"/>
  <c r="AD10" i="33"/>
  <c r="BG6" i="35"/>
  <c r="BS6" i="35"/>
  <c r="BP7" i="35"/>
  <c r="AZ7" i="35"/>
  <c r="BD7" i="35" s="1"/>
  <c r="BL9" i="35"/>
  <c r="BD10" i="35"/>
  <c r="AP9" i="36"/>
  <c r="BR6" i="33"/>
  <c r="AP7" i="33"/>
  <c r="BJ9" i="33"/>
  <c r="AP9" i="33" s="1"/>
  <c r="BS9" i="33"/>
  <c r="BT9" i="33" s="1"/>
  <c r="AP11" i="33"/>
  <c r="AD8" i="34"/>
  <c r="BQ8" i="34"/>
  <c r="AQ8" i="34" s="1"/>
  <c r="BH6" i="35"/>
  <c r="AQ6" i="35"/>
  <c r="AD7" i="35"/>
  <c r="BL8" i="36"/>
  <c r="AE42" i="37"/>
  <c r="AD42" i="37" s="1"/>
  <c r="AE33" i="37"/>
  <c r="AD33" i="37" s="1"/>
  <c r="AE24" i="37"/>
  <c r="AD24" i="37" s="1"/>
  <c r="AE51" i="37"/>
  <c r="AD51" i="37" s="1"/>
  <c r="AQ9" i="33"/>
  <c r="AQ11" i="33"/>
  <c r="BI8" i="34"/>
  <c r="AP8" i="34" s="1"/>
  <c r="BR8" i="34"/>
  <c r="BB7" i="35"/>
  <c r="BT11" i="35"/>
  <c r="AQ10" i="33"/>
  <c r="BK6" i="35"/>
  <c r="BL6" i="35" s="1"/>
  <c r="BJ9" i="35"/>
  <c r="AP9" i="35" s="1"/>
  <c r="AE7" i="35"/>
  <c r="BC8" i="35"/>
  <c r="BD8" i="35" s="1"/>
  <c r="AD10" i="35"/>
  <c r="AE11" i="35"/>
  <c r="BB6" i="36"/>
  <c r="AE6" i="36" s="1"/>
  <c r="BK6" i="36"/>
  <c r="BC7" i="36"/>
  <c r="AE7" i="36" s="1"/>
  <c r="BC9" i="36"/>
  <c r="AE9" i="36" s="1"/>
  <c r="BL9" i="36"/>
  <c r="AQ10" i="36"/>
  <c r="BK10" i="36"/>
  <c r="BL10" i="36" s="1"/>
  <c r="BL11" i="36"/>
  <c r="BT6" i="37"/>
  <c r="AQ6" i="37"/>
  <c r="AE7" i="37"/>
  <c r="BC7" i="37"/>
  <c r="BK7" i="37"/>
  <c r="BS7" i="37"/>
  <c r="BD7" i="37"/>
  <c r="BT11" i="38"/>
  <c r="AQ9" i="37"/>
  <c r="BL7" i="38"/>
  <c r="AE43" i="38"/>
  <c r="AD43" i="38" s="1"/>
  <c r="AE34" i="38"/>
  <c r="AD34" i="38" s="1"/>
  <c r="AE25" i="38"/>
  <c r="AD25" i="38" s="1"/>
  <c r="AE52" i="38"/>
  <c r="AD52" i="38" s="1"/>
  <c r="BS10" i="35"/>
  <c r="BT10" i="35" s="1"/>
  <c r="BD6" i="36"/>
  <c r="AE8" i="36"/>
  <c r="AE49" i="37"/>
  <c r="AD49" i="37" s="1"/>
  <c r="AE40" i="37"/>
  <c r="AD40" i="37" s="1"/>
  <c r="AE31" i="37"/>
  <c r="AD31" i="37" s="1"/>
  <c r="BC9" i="37"/>
  <c r="BD9" i="37" s="1"/>
  <c r="BK9" i="37"/>
  <c r="BS9" i="37"/>
  <c r="AE45" i="37"/>
  <c r="AD45" i="37" s="1"/>
  <c r="AE36" i="37"/>
  <c r="AD36" i="37" s="1"/>
  <c r="AE27" i="37"/>
  <c r="AD27" i="37" s="1"/>
  <c r="AE54" i="37"/>
  <c r="AD54" i="37" s="1"/>
  <c r="AE36" i="38"/>
  <c r="AD36" i="38" s="1"/>
  <c r="AE27" i="38"/>
  <c r="AD27" i="38" s="1"/>
  <c r="AE54" i="38"/>
  <c r="AD54" i="38" s="1"/>
  <c r="AE45" i="38"/>
  <c r="AD45" i="38" s="1"/>
  <c r="AQ10" i="35"/>
  <c r="BK10" i="35"/>
  <c r="BL10" i="35" s="1"/>
  <c r="BO6" i="36"/>
  <c r="AQ6" i="36" s="1"/>
  <c r="BP7" i="36"/>
  <c r="BJ8" i="36"/>
  <c r="AP8" i="36" s="1"/>
  <c r="BS8" i="36"/>
  <c r="AE27" i="36"/>
  <c r="AD27" i="36" s="1"/>
  <c r="BD6" i="37"/>
  <c r="BA7" i="37"/>
  <c r="BI7" i="37"/>
  <c r="BQ7" i="37"/>
  <c r="BL8" i="37"/>
  <c r="BL9" i="38"/>
  <c r="BL11" i="38"/>
  <c r="AD8" i="35"/>
  <c r="BQ8" i="35"/>
  <c r="BT8" i="35" s="1"/>
  <c r="BP6" i="36"/>
  <c r="BT6" i="36" s="1"/>
  <c r="AD7" i="36"/>
  <c r="BQ7" i="36"/>
  <c r="AQ7" i="36" s="1"/>
  <c r="AQ8" i="36"/>
  <c r="AD9" i="36"/>
  <c r="BT11" i="37"/>
  <c r="AE22" i="37"/>
  <c r="AD22" i="37" s="1"/>
  <c r="BT7" i="38"/>
  <c r="AE8" i="38"/>
  <c r="BT9" i="38"/>
  <c r="BI8" i="35"/>
  <c r="AP8" i="35" s="1"/>
  <c r="BR8" i="35"/>
  <c r="BI7" i="36"/>
  <c r="BL7" i="36" s="1"/>
  <c r="AA48" i="36"/>
  <c r="Z48" i="36"/>
  <c r="AE36" i="36"/>
  <c r="AD36" i="36" s="1"/>
  <c r="AP6" i="37"/>
  <c r="BD7" i="38"/>
  <c r="BD9" i="38"/>
  <c r="BT10" i="38"/>
  <c r="AQ10" i="38"/>
  <c r="BS8" i="35"/>
  <c r="BI6" i="36"/>
  <c r="BL6" i="36" s="1"/>
  <c r="BR6" i="36"/>
  <c r="BS7" i="36"/>
  <c r="BT7" i="36" s="1"/>
  <c r="BS9" i="36"/>
  <c r="AQ9" i="36" s="1"/>
  <c r="BD8" i="37"/>
  <c r="BT8" i="37"/>
  <c r="BL11" i="37"/>
  <c r="AP11" i="37"/>
  <c r="AQ11" i="36"/>
  <c r="AE45" i="36"/>
  <c r="AD45" i="36" s="1"/>
  <c r="BL6" i="37"/>
  <c r="AE9" i="37"/>
  <c r="AE35" i="37"/>
  <c r="AD35" i="37" s="1"/>
  <c r="AE26" i="37"/>
  <c r="AD26" i="37" s="1"/>
  <c r="AE53" i="37"/>
  <c r="AD53" i="37" s="1"/>
  <c r="BT10" i="37"/>
  <c r="AQ10" i="37"/>
  <c r="AE44" i="37"/>
  <c r="AD44" i="37" s="1"/>
  <c r="BD10" i="38"/>
  <c r="BL10" i="38"/>
  <c r="BG6" i="38"/>
  <c r="BL6" i="38" s="1"/>
  <c r="BB8" i="38"/>
  <c r="BP7" i="37"/>
  <c r="AQ7" i="37" s="1"/>
  <c r="AE6" i="38"/>
  <c r="BI6" i="38"/>
  <c r="AP6" i="38" s="1"/>
  <c r="BR6" i="38"/>
  <c r="AQ6" i="38" s="1"/>
  <c r="AP7" i="38"/>
  <c r="BD8" i="38"/>
  <c r="AE10" i="38"/>
  <c r="AP11" i="38"/>
  <c r="AP9" i="39"/>
  <c r="AD7" i="37"/>
  <c r="BH7" i="37"/>
  <c r="BL7" i="37" s="1"/>
  <c r="AQ8" i="37"/>
  <c r="AD9" i="37"/>
  <c r="BJ6" i="38"/>
  <c r="BS6" i="38"/>
  <c r="BT6" i="38" s="1"/>
  <c r="AQ7" i="38"/>
  <c r="BK7" i="38"/>
  <c r="AQ9" i="38"/>
  <c r="AQ11" i="38"/>
  <c r="BD9" i="39"/>
  <c r="AP10" i="39"/>
  <c r="BR7" i="37"/>
  <c r="BR9" i="37"/>
  <c r="BT9" i="37" s="1"/>
  <c r="BK6" i="38"/>
  <c r="AE7" i="39"/>
  <c r="BJ7" i="37"/>
  <c r="BJ9" i="37"/>
  <c r="BL9" i="37" s="1"/>
  <c r="AD8" i="38"/>
  <c r="AE10" i="39"/>
  <c r="AA21" i="39"/>
  <c r="Z21" i="39"/>
  <c r="AQ11" i="37"/>
  <c r="BI8" i="38"/>
  <c r="BR8" i="38"/>
  <c r="AE6" i="39"/>
  <c r="AE9" i="39"/>
  <c r="BC6" i="39"/>
  <c r="BD7" i="39"/>
  <c r="AD8" i="39"/>
  <c r="BQ8" i="39"/>
  <c r="BC10" i="39"/>
  <c r="BD6" i="39"/>
  <c r="AE8" i="39"/>
  <c r="BI8" i="39"/>
  <c r="BL8" i="39" s="1"/>
  <c r="BR8" i="39"/>
  <c r="BD10" i="39"/>
  <c r="BO6" i="39"/>
  <c r="BS8" i="39"/>
  <c r="BT7" i="40"/>
  <c r="BD10" i="40"/>
  <c r="BP6" i="39"/>
  <c r="AD7" i="39"/>
  <c r="BH7" i="39"/>
  <c r="AP7" i="39" s="1"/>
  <c r="BQ7" i="39"/>
  <c r="AQ7" i="39" s="1"/>
  <c r="BK8" i="39"/>
  <c r="AP8" i="39" s="1"/>
  <c r="AD9" i="39"/>
  <c r="BD7" i="40"/>
  <c r="AE8" i="40"/>
  <c r="BD9" i="40"/>
  <c r="AD6" i="39"/>
  <c r="BH6" i="39"/>
  <c r="AP6" i="39" s="1"/>
  <c r="BQ6" i="39"/>
  <c r="BI7" i="39"/>
  <c r="BR9" i="39"/>
  <c r="AD10" i="39"/>
  <c r="AE45" i="39"/>
  <c r="AD45" i="39" s="1"/>
  <c r="AE36" i="39"/>
  <c r="AD36" i="39" s="1"/>
  <c r="AE54" i="39"/>
  <c r="AD54" i="39" s="1"/>
  <c r="S39" i="41"/>
  <c r="R39" i="41"/>
  <c r="BR6" i="39"/>
  <c r="BS7" i="39"/>
  <c r="BS9" i="39"/>
  <c r="AP11" i="39"/>
  <c r="AP8" i="40"/>
  <c r="BJ6" i="39"/>
  <c r="AQ11" i="39"/>
  <c r="BD8" i="40"/>
  <c r="BD6" i="40"/>
  <c r="BL8" i="40"/>
  <c r="BO6" i="40"/>
  <c r="BJ8" i="40"/>
  <c r="BA6" i="41"/>
  <c r="AE6" i="41" s="1"/>
  <c r="BI6" i="41"/>
  <c r="BL6" i="41" s="1"/>
  <c r="BT9" i="42"/>
  <c r="AQ9" i="42"/>
  <c r="AE53" i="42"/>
  <c r="AD53" i="42" s="1"/>
  <c r="AE44" i="42"/>
  <c r="AD44" i="42" s="1"/>
  <c r="AE35" i="42"/>
  <c r="AD35" i="42" s="1"/>
  <c r="AE26" i="42"/>
  <c r="AD26" i="42" s="1"/>
  <c r="BG6" i="40"/>
  <c r="BL6" i="40" s="1"/>
  <c r="AD7" i="40"/>
  <c r="BB8" i="40"/>
  <c r="AD9" i="40"/>
  <c r="AE52" i="41"/>
  <c r="AD52" i="41" s="1"/>
  <c r="AE34" i="41"/>
  <c r="AD34" i="41" s="1"/>
  <c r="AE25" i="41"/>
  <c r="AD25" i="41" s="1"/>
  <c r="AD6" i="40"/>
  <c r="BH6" i="40"/>
  <c r="BQ6" i="40"/>
  <c r="AE7" i="40"/>
  <c r="BR7" i="40"/>
  <c r="AQ7" i="40" s="1"/>
  <c r="AE9" i="40"/>
  <c r="BR9" i="40"/>
  <c r="BT9" i="40" s="1"/>
  <c r="AD10" i="40"/>
  <c r="AE11" i="40"/>
  <c r="BJ6" i="41"/>
  <c r="AQ6" i="41"/>
  <c r="AP6" i="42"/>
  <c r="AQ8" i="42"/>
  <c r="AE6" i="40"/>
  <c r="BI6" i="40"/>
  <c r="BR6" i="40"/>
  <c r="BJ9" i="40"/>
  <c r="AP9" i="40" s="1"/>
  <c r="AE10" i="40"/>
  <c r="AP11" i="40"/>
  <c r="BT7" i="41"/>
  <c r="BD10" i="41"/>
  <c r="AE10" i="41"/>
  <c r="BD11" i="41"/>
  <c r="AE11" i="41"/>
  <c r="BJ6" i="40"/>
  <c r="BS6" i="40"/>
  <c r="BK7" i="40"/>
  <c r="BL7" i="40" s="1"/>
  <c r="AQ9" i="40"/>
  <c r="BK9" i="40"/>
  <c r="BL9" i="40" s="1"/>
  <c r="BS10" i="40"/>
  <c r="BT10" i="40" s="1"/>
  <c r="AQ11" i="40"/>
  <c r="AY6" i="41"/>
  <c r="BD6" i="41" s="1"/>
  <c r="BK6" i="40"/>
  <c r="AQ10" i="40"/>
  <c r="BK10" i="40"/>
  <c r="AP10" i="40" s="1"/>
  <c r="AQ8" i="41"/>
  <c r="BD9" i="41"/>
  <c r="BT9" i="41"/>
  <c r="BT10" i="41"/>
  <c r="BH6" i="42"/>
  <c r="BL6" i="42" s="1"/>
  <c r="AZ6" i="42"/>
  <c r="BD6" i="42" s="1"/>
  <c r="BP6" i="42"/>
  <c r="AD8" i="40"/>
  <c r="BQ8" i="40"/>
  <c r="AD6" i="41"/>
  <c r="BL8" i="42"/>
  <c r="AP8" i="42"/>
  <c r="AE7" i="41"/>
  <c r="AE8" i="41"/>
  <c r="AQ10" i="41"/>
  <c r="BL11" i="41"/>
  <c r="BJ7" i="41"/>
  <c r="BL7" i="41" s="1"/>
  <c r="BD8" i="41"/>
  <c r="BJ9" i="41"/>
  <c r="AP9" i="41" s="1"/>
  <c r="AP11" i="41"/>
  <c r="BA8" i="42"/>
  <c r="BD8" i="42" s="1"/>
  <c r="BI8" i="42"/>
  <c r="BQ8" i="42"/>
  <c r="AD8" i="42"/>
  <c r="AE43" i="42"/>
  <c r="AD43" i="42" s="1"/>
  <c r="AE34" i="42"/>
  <c r="AD34" i="42" s="1"/>
  <c r="AE25" i="42"/>
  <c r="AD25" i="42" s="1"/>
  <c r="AE52" i="42"/>
  <c r="AD52" i="42" s="1"/>
  <c r="AA30" i="42"/>
  <c r="Z30" i="42"/>
  <c r="AQ7" i="41"/>
  <c r="AQ9" i="41"/>
  <c r="AQ7" i="42"/>
  <c r="BH7" i="42"/>
  <c r="BL7" i="42" s="1"/>
  <c r="BK10" i="41"/>
  <c r="BL10" i="41" s="1"/>
  <c r="BT11" i="41"/>
  <c r="AQ11" i="41"/>
  <c r="BJ8" i="42"/>
  <c r="AP9" i="42"/>
  <c r="AD8" i="41"/>
  <c r="AD10" i="41"/>
  <c r="AE7" i="42"/>
  <c r="BD7" i="42"/>
  <c r="BC8" i="42"/>
  <c r="AE8" i="42" s="1"/>
  <c r="BS8" i="42"/>
  <c r="AP10" i="41"/>
  <c r="AD7" i="42"/>
  <c r="BL10" i="42"/>
  <c r="BI6" i="42"/>
  <c r="AP11" i="42"/>
  <c r="AE45" i="42"/>
  <c r="AD45" i="42" s="1"/>
  <c r="BS10" i="42"/>
  <c r="BR8" i="42"/>
  <c r="BO6" i="42"/>
  <c r="AE27" i="42"/>
  <c r="AD27" i="42" s="1"/>
  <c r="AE54" i="42"/>
  <c r="AD54" i="42" s="1"/>
  <c r="AD6" i="42"/>
  <c r="E35" i="45"/>
  <c r="F58" i="47"/>
  <c r="E13" i="45"/>
  <c r="E22" i="45"/>
  <c r="E31" i="45"/>
  <c r="E27" i="45"/>
  <c r="F130" i="46"/>
  <c r="F34" i="47"/>
  <c r="E37" i="45"/>
  <c r="E41" i="45"/>
  <c r="E40" i="45"/>
  <c r="E36" i="45"/>
  <c r="E32" i="45"/>
  <c r="E28" i="45"/>
  <c r="E24" i="45"/>
  <c r="E20" i="45"/>
  <c r="E16" i="45"/>
  <c r="E12" i="45"/>
  <c r="E19" i="45"/>
  <c r="E33" i="45"/>
  <c r="E15" i="45"/>
  <c r="E29" i="45"/>
  <c r="E38" i="45"/>
  <c r="E25" i="45"/>
  <c r="E34" i="45"/>
  <c r="F18" i="47"/>
  <c r="F66" i="47"/>
  <c r="E39" i="45"/>
  <c r="G48" i="55"/>
  <c r="G50" i="55"/>
  <c r="G52" i="55"/>
  <c r="G54" i="55"/>
  <c r="G56" i="55"/>
  <c r="G58" i="55"/>
  <c r="G60" i="55"/>
  <c r="H62" i="55"/>
  <c r="G64" i="55"/>
  <c r="G66" i="55"/>
  <c r="G68" i="55"/>
  <c r="G70" i="55"/>
  <c r="G72" i="55"/>
  <c r="G74" i="55"/>
  <c r="G76" i="55"/>
  <c r="G78" i="55"/>
  <c r="G80" i="55"/>
  <c r="G82" i="55"/>
  <c r="G84" i="55"/>
  <c r="G86" i="55"/>
  <c r="G88" i="55"/>
  <c r="G90" i="55"/>
  <c r="G92" i="55"/>
  <c r="G94" i="55"/>
  <c r="G96" i="55"/>
  <c r="G98" i="55"/>
  <c r="G100" i="55"/>
  <c r="G102" i="55"/>
  <c r="G104" i="55"/>
  <c r="G106" i="55"/>
  <c r="G108" i="55"/>
  <c r="G110" i="55"/>
  <c r="G112" i="55"/>
  <c r="G114" i="55"/>
  <c r="G116" i="55"/>
  <c r="G118" i="55"/>
  <c r="G120" i="55"/>
  <c r="G1021" i="61"/>
  <c r="AE49" i="36" l="1"/>
  <c r="AD49" i="36" s="1"/>
  <c r="AE40" i="36"/>
  <c r="AD40" i="36" s="1"/>
  <c r="AE31" i="36"/>
  <c r="AD31" i="36" s="1"/>
  <c r="AE22" i="36"/>
  <c r="AD22" i="36" s="1"/>
  <c r="AE49" i="41"/>
  <c r="AD49" i="41" s="1"/>
  <c r="AE40" i="41"/>
  <c r="AD40" i="41" s="1"/>
  <c r="AE22" i="41"/>
  <c r="AD22" i="41" s="1"/>
  <c r="AE31" i="41"/>
  <c r="AD31" i="41" s="1"/>
  <c r="AE53" i="23"/>
  <c r="AD53" i="23" s="1"/>
  <c r="AE44" i="23"/>
  <c r="AD44" i="23" s="1"/>
  <c r="AE35" i="23"/>
  <c r="AD35" i="23" s="1"/>
  <c r="AE26" i="23"/>
  <c r="AD26" i="23" s="1"/>
  <c r="AE42" i="13"/>
  <c r="AD42" i="13" s="1"/>
  <c r="AE33" i="13"/>
  <c r="AD33" i="13" s="1"/>
  <c r="AE24" i="13"/>
  <c r="AD24" i="13" s="1"/>
  <c r="AE51" i="13"/>
  <c r="AD51" i="13" s="1"/>
  <c r="AE26" i="15"/>
  <c r="AD26" i="15" s="1"/>
  <c r="AE53" i="15"/>
  <c r="AD53" i="15" s="1"/>
  <c r="AE44" i="15"/>
  <c r="AD44" i="15" s="1"/>
  <c r="AE35" i="15"/>
  <c r="AD35" i="15" s="1"/>
  <c r="AE40" i="12"/>
  <c r="AD40" i="12" s="1"/>
  <c r="AE31" i="12"/>
  <c r="AD31" i="12" s="1"/>
  <c r="AE22" i="12"/>
  <c r="AD22" i="12" s="1"/>
  <c r="AE49" i="12"/>
  <c r="AD49" i="12" s="1"/>
  <c r="AE34" i="35"/>
  <c r="AD34" i="35" s="1"/>
  <c r="AE25" i="35"/>
  <c r="AD25" i="35" s="1"/>
  <c r="AE52" i="35"/>
  <c r="AD52" i="35" s="1"/>
  <c r="AE43" i="35"/>
  <c r="AD43" i="35" s="1"/>
  <c r="AE42" i="27"/>
  <c r="AD42" i="27" s="1"/>
  <c r="AE51" i="27"/>
  <c r="AD51" i="27" s="1"/>
  <c r="AE33" i="27"/>
  <c r="AD33" i="27" s="1"/>
  <c r="AE24" i="27"/>
  <c r="AD24" i="27" s="1"/>
  <c r="AE43" i="17"/>
  <c r="AD43" i="17" s="1"/>
  <c r="AE34" i="17"/>
  <c r="AD34" i="17" s="1"/>
  <c r="AE25" i="17"/>
  <c r="AD25" i="17" s="1"/>
  <c r="AE52" i="17"/>
  <c r="AD52" i="17" s="1"/>
  <c r="AE43" i="12"/>
  <c r="AD43" i="12" s="1"/>
  <c r="AE34" i="12"/>
  <c r="AD34" i="12" s="1"/>
  <c r="AE25" i="12"/>
  <c r="AD25" i="12" s="1"/>
  <c r="AE52" i="12"/>
  <c r="AD52" i="12" s="1"/>
  <c r="AE50" i="36"/>
  <c r="AD50" i="36" s="1"/>
  <c r="AE23" i="36"/>
  <c r="AD23" i="36" s="1"/>
  <c r="AE41" i="36"/>
  <c r="AD41" i="36" s="1"/>
  <c r="AE32" i="36"/>
  <c r="AD32" i="36" s="1"/>
  <c r="AE31" i="23"/>
  <c r="AD31" i="23" s="1"/>
  <c r="AE22" i="23"/>
  <c r="AD22" i="23" s="1"/>
  <c r="AE49" i="23"/>
  <c r="AD49" i="23" s="1"/>
  <c r="AE40" i="23"/>
  <c r="AD40" i="23" s="1"/>
  <c r="AE40" i="21"/>
  <c r="AD40" i="21" s="1"/>
  <c r="AE31" i="21"/>
  <c r="AD31" i="21" s="1"/>
  <c r="AE22" i="21"/>
  <c r="AD22" i="21" s="1"/>
  <c r="AE49" i="21"/>
  <c r="AD49" i="21" s="1"/>
  <c r="AE34" i="36"/>
  <c r="AD34" i="36" s="1"/>
  <c r="AE52" i="36"/>
  <c r="AD52" i="36" s="1"/>
  <c r="AE25" i="36"/>
  <c r="AD25" i="36" s="1"/>
  <c r="AE43" i="36"/>
  <c r="AD43" i="36" s="1"/>
  <c r="AE42" i="42"/>
  <c r="AD42" i="42" s="1"/>
  <c r="AE51" i="42"/>
  <c r="AD51" i="42" s="1"/>
  <c r="AE24" i="42"/>
  <c r="AD24" i="42" s="1"/>
  <c r="AE33" i="42"/>
  <c r="AD33" i="42" s="1"/>
  <c r="AE43" i="32"/>
  <c r="AD43" i="32" s="1"/>
  <c r="AE34" i="32"/>
  <c r="AD34" i="32" s="1"/>
  <c r="AE52" i="32"/>
  <c r="AD52" i="32" s="1"/>
  <c r="AE25" i="32"/>
  <c r="AD25" i="32" s="1"/>
  <c r="AE52" i="23"/>
  <c r="AD52" i="23" s="1"/>
  <c r="AE43" i="23"/>
  <c r="AD43" i="23" s="1"/>
  <c r="AE25" i="23"/>
  <c r="AD25" i="23" s="1"/>
  <c r="AE34" i="23"/>
  <c r="AD34" i="23" s="1"/>
  <c r="AE51" i="19"/>
  <c r="AD51" i="19" s="1"/>
  <c r="AE42" i="19"/>
  <c r="AD42" i="19" s="1"/>
  <c r="AE33" i="19"/>
  <c r="AD33" i="19" s="1"/>
  <c r="AE24" i="19"/>
  <c r="AD24" i="19" s="1"/>
  <c r="AE26" i="17"/>
  <c r="AD26" i="17" s="1"/>
  <c r="AE53" i="17"/>
  <c r="AD53" i="17" s="1"/>
  <c r="AE44" i="17"/>
  <c r="AD44" i="17" s="1"/>
  <c r="AE35" i="17"/>
  <c r="AD35" i="17" s="1"/>
  <c r="AE51" i="16"/>
  <c r="AD51" i="16" s="1"/>
  <c r="AE42" i="16"/>
  <c r="AD42" i="16" s="1"/>
  <c r="AE33" i="16"/>
  <c r="AD33" i="16" s="1"/>
  <c r="AE24" i="16"/>
  <c r="AD24" i="16" s="1"/>
  <c r="AE50" i="17"/>
  <c r="AD50" i="17" s="1"/>
  <c r="AE41" i="17"/>
  <c r="AD41" i="17" s="1"/>
  <c r="AE32" i="17"/>
  <c r="AD32" i="17" s="1"/>
  <c r="AE23" i="17"/>
  <c r="AD23" i="17" s="1"/>
  <c r="AE51" i="34"/>
  <c r="AD51" i="34" s="1"/>
  <c r="AE42" i="34"/>
  <c r="AD42" i="34" s="1"/>
  <c r="AE33" i="34"/>
  <c r="AD33" i="34" s="1"/>
  <c r="AE24" i="34"/>
  <c r="AD24" i="34" s="1"/>
  <c r="AE52" i="20"/>
  <c r="AD52" i="20" s="1"/>
  <c r="AE43" i="20"/>
  <c r="AD43" i="20" s="1"/>
  <c r="AE34" i="20"/>
  <c r="AD34" i="20" s="1"/>
  <c r="AE25" i="20"/>
  <c r="AD25" i="20" s="1"/>
  <c r="AE51" i="11"/>
  <c r="AD51" i="11" s="1"/>
  <c r="AE42" i="11"/>
  <c r="AD42" i="11" s="1"/>
  <c r="AE33" i="11"/>
  <c r="AD33" i="11" s="1"/>
  <c r="AE24" i="11"/>
  <c r="AD24" i="11" s="1"/>
  <c r="BC32" i="10"/>
  <c r="BK32" i="10"/>
  <c r="AE51" i="31"/>
  <c r="AD51" i="31" s="1"/>
  <c r="AE42" i="31"/>
  <c r="AD42" i="31" s="1"/>
  <c r="AE33" i="31"/>
  <c r="AD33" i="31" s="1"/>
  <c r="AE24" i="31"/>
  <c r="AD24" i="31" s="1"/>
  <c r="AE22" i="27"/>
  <c r="AD22" i="27" s="1"/>
  <c r="AE49" i="27"/>
  <c r="AD49" i="27" s="1"/>
  <c r="AE40" i="27"/>
  <c r="AD40" i="27" s="1"/>
  <c r="AE31" i="27"/>
  <c r="AD31" i="27" s="1"/>
  <c r="AE41" i="19"/>
  <c r="AD41" i="19" s="1"/>
  <c r="AE32" i="19"/>
  <c r="AD32" i="19" s="1"/>
  <c r="AE23" i="19"/>
  <c r="AD23" i="19" s="1"/>
  <c r="AE50" i="19"/>
  <c r="AD50" i="19" s="1"/>
  <c r="AE50" i="12"/>
  <c r="AD50" i="12" s="1"/>
  <c r="AE41" i="12"/>
  <c r="AD41" i="12" s="1"/>
  <c r="AE32" i="12"/>
  <c r="AD32" i="12" s="1"/>
  <c r="AE23" i="12"/>
  <c r="AD23" i="12" s="1"/>
  <c r="Z30" i="31"/>
  <c r="AA30" i="31"/>
  <c r="K39" i="26"/>
  <c r="J39" i="26"/>
  <c r="AA48" i="20"/>
  <c r="Z48" i="20"/>
  <c r="BT6" i="42"/>
  <c r="AQ6" i="42"/>
  <c r="BT8" i="42"/>
  <c r="AP7" i="42"/>
  <c r="BL9" i="41"/>
  <c r="AP7" i="41"/>
  <c r="V39" i="42"/>
  <c r="W39" i="42"/>
  <c r="BT6" i="40"/>
  <c r="AQ6" i="40"/>
  <c r="AE33" i="39"/>
  <c r="AD33" i="39" s="1"/>
  <c r="AE51" i="39"/>
  <c r="AD51" i="39" s="1"/>
  <c r="AE42" i="39"/>
  <c r="AD42" i="39" s="1"/>
  <c r="AE24" i="39"/>
  <c r="AD24" i="39" s="1"/>
  <c r="Z27" i="39"/>
  <c r="Z24" i="39"/>
  <c r="BT7" i="39"/>
  <c r="W48" i="37"/>
  <c r="V48" i="37"/>
  <c r="Z49" i="36"/>
  <c r="Z52" i="36"/>
  <c r="Z53" i="36"/>
  <c r="Z54" i="36"/>
  <c r="Z50" i="36"/>
  <c r="F21" i="37"/>
  <c r="G21" i="37"/>
  <c r="BT7" i="37"/>
  <c r="AA30" i="38"/>
  <c r="Z30" i="38"/>
  <c r="AE27" i="35"/>
  <c r="AD27" i="35" s="1"/>
  <c r="AE54" i="35"/>
  <c r="AD54" i="35" s="1"/>
  <c r="AE45" i="35"/>
  <c r="AD45" i="35" s="1"/>
  <c r="AE36" i="35"/>
  <c r="AD36" i="35" s="1"/>
  <c r="AP6" i="36"/>
  <c r="O21" i="37"/>
  <c r="N21" i="37"/>
  <c r="AE8" i="35"/>
  <c r="AP10" i="35"/>
  <c r="AP6" i="35"/>
  <c r="AE44" i="34"/>
  <c r="AD44" i="34" s="1"/>
  <c r="AE35" i="34"/>
  <c r="AD35" i="34" s="1"/>
  <c r="AE26" i="34"/>
  <c r="AD26" i="34" s="1"/>
  <c r="AE53" i="34"/>
  <c r="AD53" i="34" s="1"/>
  <c r="W21" i="36"/>
  <c r="V21" i="36"/>
  <c r="AA30" i="34"/>
  <c r="Z30" i="34"/>
  <c r="AE42" i="33"/>
  <c r="AD42" i="33" s="1"/>
  <c r="AE33" i="33"/>
  <c r="AD33" i="33" s="1"/>
  <c r="AE24" i="33"/>
  <c r="AD24" i="33" s="1"/>
  <c r="AE51" i="33"/>
  <c r="AD51" i="33" s="1"/>
  <c r="AE49" i="33"/>
  <c r="AD49" i="33" s="1"/>
  <c r="AE40" i="33"/>
  <c r="AD40" i="33" s="1"/>
  <c r="AE31" i="33"/>
  <c r="AD31" i="33" s="1"/>
  <c r="AE22" i="33"/>
  <c r="AD22" i="33" s="1"/>
  <c r="AP6" i="33"/>
  <c r="S21" i="33"/>
  <c r="R21" i="33"/>
  <c r="BT6" i="32"/>
  <c r="AQ6" i="32"/>
  <c r="V39" i="35"/>
  <c r="W39" i="35"/>
  <c r="BD9" i="32"/>
  <c r="BT6" i="30"/>
  <c r="AQ8" i="29"/>
  <c r="BT6" i="29"/>
  <c r="AQ6" i="29"/>
  <c r="AQ10" i="30"/>
  <c r="K48" i="32"/>
  <c r="J48" i="32"/>
  <c r="K39" i="31"/>
  <c r="J39" i="31"/>
  <c r="AP7" i="30"/>
  <c r="BL8" i="29"/>
  <c r="K30" i="29"/>
  <c r="J30" i="29"/>
  <c r="Z39" i="29"/>
  <c r="AA39" i="29"/>
  <c r="S21" i="28"/>
  <c r="R21" i="28"/>
  <c r="AA48" i="31"/>
  <c r="Z48" i="31"/>
  <c r="AE41" i="28"/>
  <c r="AD41" i="28" s="1"/>
  <c r="AE32" i="28"/>
  <c r="AD32" i="28" s="1"/>
  <c r="AE23" i="28"/>
  <c r="AD23" i="28" s="1"/>
  <c r="AE50" i="28"/>
  <c r="AD50" i="28" s="1"/>
  <c r="AA51" i="30"/>
  <c r="AA54" i="30"/>
  <c r="AA49" i="30"/>
  <c r="AA53" i="30"/>
  <c r="K21" i="26"/>
  <c r="J21" i="26"/>
  <c r="AE35" i="26"/>
  <c r="AD35" i="26" s="1"/>
  <c r="AE26" i="26"/>
  <c r="AD26" i="26" s="1"/>
  <c r="AE53" i="26"/>
  <c r="AD53" i="26" s="1"/>
  <c r="AE44" i="26"/>
  <c r="AD44" i="26" s="1"/>
  <c r="BL9" i="25"/>
  <c r="V30" i="24"/>
  <c r="W30" i="24"/>
  <c r="AA39" i="25"/>
  <c r="Z39" i="25"/>
  <c r="AQ7" i="21"/>
  <c r="BT7" i="21"/>
  <c r="Z21" i="24"/>
  <c r="AA21" i="24"/>
  <c r="O30" i="25"/>
  <c r="N30" i="25"/>
  <c r="BD9" i="23"/>
  <c r="BT9" i="23"/>
  <c r="AQ9" i="23"/>
  <c r="BT10" i="22"/>
  <c r="V48" i="21"/>
  <c r="W48" i="21"/>
  <c r="AQ6" i="22"/>
  <c r="AP7" i="23"/>
  <c r="AE49" i="22"/>
  <c r="AD49" i="22" s="1"/>
  <c r="AE40" i="22"/>
  <c r="AD40" i="22" s="1"/>
  <c r="AE31" i="22"/>
  <c r="AD31" i="22" s="1"/>
  <c r="AE22" i="22"/>
  <c r="AD22" i="22" s="1"/>
  <c r="AQ7" i="22"/>
  <c r="AP8" i="20"/>
  <c r="BT9" i="19"/>
  <c r="AA48" i="19"/>
  <c r="Z48" i="19"/>
  <c r="BT9" i="21"/>
  <c r="W48" i="20"/>
  <c r="V48" i="20"/>
  <c r="AP10" i="18"/>
  <c r="BT7" i="17"/>
  <c r="AQ7" i="17"/>
  <c r="AE33" i="17"/>
  <c r="AD33" i="17" s="1"/>
  <c r="AE24" i="17"/>
  <c r="AD24" i="17" s="1"/>
  <c r="AE51" i="17"/>
  <c r="AD51" i="17" s="1"/>
  <c r="AE42" i="17"/>
  <c r="AD42" i="17" s="1"/>
  <c r="BL9" i="19"/>
  <c r="BL8" i="16"/>
  <c r="AQ8" i="12"/>
  <c r="BJ51" i="10"/>
  <c r="BB51" i="10"/>
  <c r="AA48" i="14"/>
  <c r="Z48" i="14"/>
  <c r="AP7" i="18"/>
  <c r="AE6" i="17"/>
  <c r="AE33" i="15"/>
  <c r="AD33" i="15" s="1"/>
  <c r="AE24" i="15"/>
  <c r="AD24" i="15" s="1"/>
  <c r="AE51" i="15"/>
  <c r="AD51" i="15" s="1"/>
  <c r="AE42" i="15"/>
  <c r="AD42" i="15" s="1"/>
  <c r="BD7" i="12"/>
  <c r="AA30" i="16"/>
  <c r="Z30" i="16"/>
  <c r="AE34" i="11"/>
  <c r="AD34" i="11" s="1"/>
  <c r="AE25" i="11"/>
  <c r="AD25" i="11" s="1"/>
  <c r="AE52" i="11"/>
  <c r="AD52" i="11" s="1"/>
  <c r="AE43" i="11"/>
  <c r="AD43" i="11" s="1"/>
  <c r="BT10" i="14"/>
  <c r="BT10" i="11"/>
  <c r="BL6" i="11"/>
  <c r="AA48" i="11"/>
  <c r="Z48" i="11"/>
  <c r="AA39" i="15"/>
  <c r="Z39" i="15"/>
  <c r="N30" i="12"/>
  <c r="O30" i="12"/>
  <c r="AE24" i="14"/>
  <c r="AD24" i="14" s="1"/>
  <c r="AE51" i="14"/>
  <c r="AD51" i="14" s="1"/>
  <c r="AE42" i="14"/>
  <c r="AD42" i="14" s="1"/>
  <c r="AE33" i="14"/>
  <c r="AD33" i="14" s="1"/>
  <c r="Y54" i="10"/>
  <c r="AA35" i="10"/>
  <c r="N48" i="10"/>
  <c r="Y51" i="10"/>
  <c r="O48" i="10"/>
  <c r="S39" i="42"/>
  <c r="R39" i="42"/>
  <c r="W30" i="36"/>
  <c r="V30" i="36"/>
  <c r="BL6" i="34"/>
  <c r="S39" i="28"/>
  <c r="R39" i="28"/>
  <c r="AP8" i="24"/>
  <c r="BL10" i="24"/>
  <c r="Z35" i="42"/>
  <c r="Z33" i="42"/>
  <c r="Z36" i="42"/>
  <c r="Z34" i="42"/>
  <c r="AP7" i="40"/>
  <c r="AE45" i="40"/>
  <c r="AD45" i="40" s="1"/>
  <c r="AE27" i="40"/>
  <c r="AD27" i="40" s="1"/>
  <c r="AE36" i="40"/>
  <c r="AD36" i="40" s="1"/>
  <c r="AE54" i="40"/>
  <c r="AD54" i="40" s="1"/>
  <c r="W48" i="42"/>
  <c r="V48" i="42"/>
  <c r="BL10" i="40"/>
  <c r="R40" i="41"/>
  <c r="R43" i="41"/>
  <c r="BT6" i="39"/>
  <c r="AQ6" i="39"/>
  <c r="AE52" i="39"/>
  <c r="AD52" i="39" s="1"/>
  <c r="AE43" i="39"/>
  <c r="AD43" i="39" s="1"/>
  <c r="AE34" i="39"/>
  <c r="AD34" i="39" s="1"/>
  <c r="AE25" i="39"/>
  <c r="AD25" i="39" s="1"/>
  <c r="AA25" i="39"/>
  <c r="AA23" i="39"/>
  <c r="AA24" i="39"/>
  <c r="AA27" i="39"/>
  <c r="AE50" i="39"/>
  <c r="AD50" i="39" s="1"/>
  <c r="AE41" i="39"/>
  <c r="AD41" i="39" s="1"/>
  <c r="AE23" i="39"/>
  <c r="AD23" i="39" s="1"/>
  <c r="AE32" i="39"/>
  <c r="AD32" i="39" s="1"/>
  <c r="V21" i="37"/>
  <c r="W21" i="37"/>
  <c r="AA52" i="36"/>
  <c r="AA53" i="36"/>
  <c r="AA54" i="36"/>
  <c r="AA49" i="36"/>
  <c r="AA50" i="36"/>
  <c r="Z48" i="37"/>
  <c r="AA48" i="37"/>
  <c r="S48" i="38"/>
  <c r="R48" i="38"/>
  <c r="BD9" i="35"/>
  <c r="O30" i="37"/>
  <c r="N30" i="37"/>
  <c r="AP7" i="36"/>
  <c r="AP7" i="35"/>
  <c r="BD8" i="34"/>
  <c r="W39" i="36"/>
  <c r="V39" i="36"/>
  <c r="BL8" i="34"/>
  <c r="S39" i="34"/>
  <c r="R39" i="34"/>
  <c r="BT9" i="32"/>
  <c r="AQ9" i="32"/>
  <c r="R30" i="33"/>
  <c r="S30" i="33"/>
  <c r="BL9" i="33"/>
  <c r="W48" i="35"/>
  <c r="V48" i="35"/>
  <c r="AE44" i="31"/>
  <c r="AD44" i="31" s="1"/>
  <c r="AE35" i="31"/>
  <c r="AD35" i="31" s="1"/>
  <c r="AE26" i="31"/>
  <c r="AD26" i="31" s="1"/>
  <c r="AE53" i="31"/>
  <c r="AD53" i="31" s="1"/>
  <c r="BL6" i="32"/>
  <c r="K48" i="31"/>
  <c r="J48" i="31"/>
  <c r="AE6" i="31"/>
  <c r="AA30" i="28"/>
  <c r="Z30" i="28"/>
  <c r="AE43" i="29"/>
  <c r="AD43" i="29" s="1"/>
  <c r="AE34" i="29"/>
  <c r="AD34" i="29" s="1"/>
  <c r="AE52" i="29"/>
  <c r="AD52" i="29" s="1"/>
  <c r="AE25" i="29"/>
  <c r="AD25" i="29" s="1"/>
  <c r="S39" i="31"/>
  <c r="R39" i="31"/>
  <c r="Z27" i="28"/>
  <c r="Z25" i="28"/>
  <c r="Z23" i="28"/>
  <c r="V44" i="30"/>
  <c r="V42" i="30"/>
  <c r="V45" i="30"/>
  <c r="V40" i="30"/>
  <c r="J39" i="29"/>
  <c r="K39" i="29"/>
  <c r="S30" i="28"/>
  <c r="R30" i="28"/>
  <c r="AA21" i="31"/>
  <c r="Z21" i="31"/>
  <c r="Z51" i="30"/>
  <c r="Z54" i="30"/>
  <c r="Z49" i="30"/>
  <c r="Z53" i="30"/>
  <c r="AP8" i="26"/>
  <c r="AP9" i="24"/>
  <c r="AE52" i="26"/>
  <c r="AD52" i="26" s="1"/>
  <c r="AE43" i="26"/>
  <c r="AD43" i="26" s="1"/>
  <c r="AE34" i="26"/>
  <c r="AD34" i="26" s="1"/>
  <c r="AE25" i="26"/>
  <c r="AD25" i="26" s="1"/>
  <c r="AP7" i="24"/>
  <c r="W39" i="24"/>
  <c r="V39" i="24"/>
  <c r="Z21" i="25"/>
  <c r="AA21" i="25"/>
  <c r="BT6" i="21"/>
  <c r="AQ6" i="21"/>
  <c r="AA30" i="24"/>
  <c r="Z30" i="24"/>
  <c r="AE8" i="23"/>
  <c r="AE33" i="21"/>
  <c r="AD33" i="21" s="1"/>
  <c r="AE24" i="21"/>
  <c r="AD24" i="21" s="1"/>
  <c r="AE51" i="21"/>
  <c r="AD51" i="21" s="1"/>
  <c r="AE42" i="21"/>
  <c r="AD42" i="21" s="1"/>
  <c r="V21" i="21"/>
  <c r="W21" i="21"/>
  <c r="AA21" i="22"/>
  <c r="Z21" i="22"/>
  <c r="BL9" i="20"/>
  <c r="AE34" i="19"/>
  <c r="AD34" i="19" s="1"/>
  <c r="AE25" i="19"/>
  <c r="AD25" i="19" s="1"/>
  <c r="AE52" i="19"/>
  <c r="AD52" i="19" s="1"/>
  <c r="AE43" i="19"/>
  <c r="AD43" i="19" s="1"/>
  <c r="AA21" i="19"/>
  <c r="Z21" i="19"/>
  <c r="S24" i="21"/>
  <c r="S27" i="21"/>
  <c r="S22" i="21"/>
  <c r="S25" i="21"/>
  <c r="S26" i="21"/>
  <c r="W21" i="20"/>
  <c r="V21" i="20"/>
  <c r="BT6" i="17"/>
  <c r="AQ6" i="17"/>
  <c r="AQ7" i="19"/>
  <c r="V39" i="18"/>
  <c r="W39" i="18"/>
  <c r="AQ8" i="14"/>
  <c r="BL9" i="18"/>
  <c r="BT7" i="12"/>
  <c r="AQ7" i="12"/>
  <c r="AP8" i="15"/>
  <c r="AQ8" i="16"/>
  <c r="AA39" i="16"/>
  <c r="Z39" i="16"/>
  <c r="BL8" i="11"/>
  <c r="BB54" i="10"/>
  <c r="BJ54" i="10"/>
  <c r="BA54" i="10"/>
  <c r="BI54" i="10"/>
  <c r="AA21" i="11"/>
  <c r="Z21" i="11"/>
  <c r="BC23" i="10"/>
  <c r="BK23" i="10"/>
  <c r="AE6" i="11"/>
  <c r="AE23" i="15"/>
  <c r="AD23" i="15" s="1"/>
  <c r="AE50" i="15"/>
  <c r="AD50" i="15" s="1"/>
  <c r="AE41" i="15"/>
  <c r="AD41" i="15" s="1"/>
  <c r="AE32" i="15"/>
  <c r="AD32" i="15" s="1"/>
  <c r="BC44" i="10"/>
  <c r="BK44" i="10"/>
  <c r="S30" i="13"/>
  <c r="R30" i="13"/>
  <c r="BB41" i="10"/>
  <c r="BJ41" i="10"/>
  <c r="AA24" i="10"/>
  <c r="Y26" i="10"/>
  <c r="AE49" i="13"/>
  <c r="AD49" i="13" s="1"/>
  <c r="AE40" i="13"/>
  <c r="AD40" i="13" s="1"/>
  <c r="AE31" i="13"/>
  <c r="AD31" i="13" s="1"/>
  <c r="AE22" i="13"/>
  <c r="AD22" i="13" s="1"/>
  <c r="K21" i="10"/>
  <c r="J21" i="10"/>
  <c r="AE35" i="40"/>
  <c r="AD35" i="40" s="1"/>
  <c r="AE53" i="40"/>
  <c r="AD53" i="40" s="1"/>
  <c r="AE44" i="40"/>
  <c r="AD44" i="40" s="1"/>
  <c r="AE26" i="40"/>
  <c r="AD26" i="40" s="1"/>
  <c r="AP8" i="38"/>
  <c r="BL8" i="38"/>
  <c r="AA48" i="32"/>
  <c r="Z48" i="32"/>
  <c r="K21" i="31"/>
  <c r="J21" i="31"/>
  <c r="G48" i="30"/>
  <c r="F48" i="30"/>
  <c r="AA33" i="42"/>
  <c r="AA36" i="42"/>
  <c r="AA34" i="42"/>
  <c r="AA35" i="42"/>
  <c r="AP6" i="40"/>
  <c r="S43" i="41"/>
  <c r="S40" i="41"/>
  <c r="AP6" i="41"/>
  <c r="AE40" i="39"/>
  <c r="AD40" i="39" s="1"/>
  <c r="AE49" i="39"/>
  <c r="AD49" i="39" s="1"/>
  <c r="AE31" i="39"/>
  <c r="AD31" i="39" s="1"/>
  <c r="AE22" i="39"/>
  <c r="AD22" i="39" s="1"/>
  <c r="AE53" i="39"/>
  <c r="AD53" i="39" s="1"/>
  <c r="AE44" i="39"/>
  <c r="AD44" i="39" s="1"/>
  <c r="AE35" i="39"/>
  <c r="AD35" i="39" s="1"/>
  <c r="AE26" i="39"/>
  <c r="AD26" i="39" s="1"/>
  <c r="Z26" i="39" s="1"/>
  <c r="W30" i="37"/>
  <c r="V30" i="37"/>
  <c r="AA21" i="37"/>
  <c r="Z21" i="37"/>
  <c r="G30" i="37"/>
  <c r="F30" i="37"/>
  <c r="S21" i="38"/>
  <c r="R21" i="38"/>
  <c r="AP7" i="37"/>
  <c r="AE23" i="37"/>
  <c r="AD23" i="37" s="1"/>
  <c r="AE50" i="37"/>
  <c r="AD50" i="37" s="1"/>
  <c r="AE41" i="37"/>
  <c r="AD41" i="37" s="1"/>
  <c r="AE32" i="37"/>
  <c r="AD32" i="37" s="1"/>
  <c r="N39" i="37"/>
  <c r="O39" i="37"/>
  <c r="K21" i="38"/>
  <c r="J21" i="38"/>
  <c r="W48" i="36"/>
  <c r="V48" i="36"/>
  <c r="BT8" i="33"/>
  <c r="AQ8" i="33"/>
  <c r="S48" i="34"/>
  <c r="R48" i="34"/>
  <c r="BT7" i="32"/>
  <c r="AQ7" i="32"/>
  <c r="S39" i="33"/>
  <c r="R39" i="33"/>
  <c r="AE53" i="32"/>
  <c r="AD53" i="32" s="1"/>
  <c r="AE44" i="32"/>
  <c r="AD44" i="32" s="1"/>
  <c r="AE35" i="32"/>
  <c r="AD35" i="32" s="1"/>
  <c r="AE26" i="32"/>
  <c r="AD26" i="32" s="1"/>
  <c r="AQ9" i="30"/>
  <c r="W48" i="30"/>
  <c r="V48" i="30"/>
  <c r="R48" i="31"/>
  <c r="S48" i="31"/>
  <c r="AA27" i="28"/>
  <c r="AA25" i="28"/>
  <c r="AA23" i="28"/>
  <c r="W44" i="30"/>
  <c r="W42" i="30"/>
  <c r="W45" i="30"/>
  <c r="W40" i="30"/>
  <c r="O48" i="30"/>
  <c r="N48" i="30"/>
  <c r="K48" i="29"/>
  <c r="J48" i="29"/>
  <c r="AA21" i="29"/>
  <c r="Z21" i="29"/>
  <c r="AP6" i="28"/>
  <c r="AP8" i="28"/>
  <c r="AP10" i="27"/>
  <c r="AE49" i="26"/>
  <c r="AD49" i="26" s="1"/>
  <c r="AE40" i="26"/>
  <c r="AD40" i="26" s="1"/>
  <c r="AE31" i="26"/>
  <c r="AD31" i="26" s="1"/>
  <c r="AE22" i="26"/>
  <c r="AD22" i="26" s="1"/>
  <c r="AA30" i="25"/>
  <c r="Z30" i="25"/>
  <c r="V21" i="25"/>
  <c r="W21" i="25"/>
  <c r="AA39" i="24"/>
  <c r="Z39" i="24"/>
  <c r="N39" i="25"/>
  <c r="O39" i="25"/>
  <c r="S48" i="21"/>
  <c r="R48" i="21"/>
  <c r="R30" i="21"/>
  <c r="S30" i="21"/>
  <c r="AA30" i="22"/>
  <c r="Z30" i="22"/>
  <c r="R24" i="21"/>
  <c r="R27" i="21"/>
  <c r="R22" i="21"/>
  <c r="R25" i="21"/>
  <c r="R26" i="21"/>
  <c r="W39" i="20"/>
  <c r="V39" i="20"/>
  <c r="AE49" i="20"/>
  <c r="AD49" i="20" s="1"/>
  <c r="AE40" i="20"/>
  <c r="AD40" i="20" s="1"/>
  <c r="AE31" i="20"/>
  <c r="AD31" i="20" s="1"/>
  <c r="AE22" i="20"/>
  <c r="AD22" i="20" s="1"/>
  <c r="AE42" i="22"/>
  <c r="AD42" i="22" s="1"/>
  <c r="AE33" i="22"/>
  <c r="AD33" i="22" s="1"/>
  <c r="AE24" i="22"/>
  <c r="AD24" i="22" s="1"/>
  <c r="AE51" i="22"/>
  <c r="AD51" i="22" s="1"/>
  <c r="AE41" i="18"/>
  <c r="AD41" i="18" s="1"/>
  <c r="AE50" i="18"/>
  <c r="AD50" i="18" s="1"/>
  <c r="AE32" i="18"/>
  <c r="AD32" i="18" s="1"/>
  <c r="AE23" i="18"/>
  <c r="AD23" i="18" s="1"/>
  <c r="AP6" i="18"/>
  <c r="V48" i="18"/>
  <c r="W48" i="18"/>
  <c r="AE34" i="16"/>
  <c r="AD34" i="16" s="1"/>
  <c r="AE25" i="16"/>
  <c r="AD25" i="16" s="1"/>
  <c r="AE52" i="16"/>
  <c r="AD52" i="16" s="1"/>
  <c r="AE43" i="16"/>
  <c r="AD43" i="16" s="1"/>
  <c r="AE8" i="18"/>
  <c r="BT9" i="18"/>
  <c r="AE49" i="18"/>
  <c r="AD49" i="18" s="1"/>
  <c r="AE40" i="18"/>
  <c r="AD40" i="18" s="1"/>
  <c r="AE31" i="18"/>
  <c r="AD31" i="18" s="1"/>
  <c r="AE22" i="18"/>
  <c r="AD22" i="18" s="1"/>
  <c r="BT6" i="15"/>
  <c r="AQ6" i="15"/>
  <c r="AA39" i="14"/>
  <c r="Z39" i="14"/>
  <c r="BL6" i="13"/>
  <c r="AP6" i="13"/>
  <c r="AA48" i="16"/>
  <c r="Z48" i="16"/>
  <c r="BL7" i="12"/>
  <c r="AE22" i="16"/>
  <c r="AD22" i="16" s="1"/>
  <c r="AE49" i="16"/>
  <c r="AD49" i="16" s="1"/>
  <c r="AE40" i="16"/>
  <c r="AD40" i="16" s="1"/>
  <c r="AE31" i="16"/>
  <c r="AD31" i="16" s="1"/>
  <c r="BA42" i="10"/>
  <c r="BI42" i="10"/>
  <c r="AP6" i="15"/>
  <c r="W48" i="11"/>
  <c r="V48" i="11"/>
  <c r="S21" i="15"/>
  <c r="R21" i="15"/>
  <c r="S39" i="13"/>
  <c r="R39" i="13"/>
  <c r="AP10" i="11"/>
  <c r="BB42" i="10"/>
  <c r="BJ42" i="10"/>
  <c r="BA23" i="10"/>
  <c r="BI23" i="10"/>
  <c r="Z39" i="12"/>
  <c r="AA39" i="12"/>
  <c r="BI45" i="10"/>
  <c r="BA45" i="10"/>
  <c r="K30" i="10"/>
  <c r="J30" i="10"/>
  <c r="BI26" i="10"/>
  <c r="BA26" i="10"/>
  <c r="AE49" i="10"/>
  <c r="AD49" i="10" s="1"/>
  <c r="AE31" i="10"/>
  <c r="AD31" i="10" s="1"/>
  <c r="AE22" i="10"/>
  <c r="AD22" i="10" s="1"/>
  <c r="AE40" i="10"/>
  <c r="AD40" i="10" s="1"/>
  <c r="AE41" i="40"/>
  <c r="AD41" i="40" s="1"/>
  <c r="AE23" i="40"/>
  <c r="AD23" i="40" s="1"/>
  <c r="AE50" i="40"/>
  <c r="AD50" i="40" s="1"/>
  <c r="AE32" i="40"/>
  <c r="AD32" i="40" s="1"/>
  <c r="AE24" i="38"/>
  <c r="AD24" i="38" s="1"/>
  <c r="AE51" i="38"/>
  <c r="AD51" i="38" s="1"/>
  <c r="AE42" i="38"/>
  <c r="AD42" i="38" s="1"/>
  <c r="AE33" i="38"/>
  <c r="AD33" i="38" s="1"/>
  <c r="AA30" i="33"/>
  <c r="Z30" i="33"/>
  <c r="AQ10" i="42"/>
  <c r="BT10" i="42"/>
  <c r="AE6" i="42"/>
  <c r="S48" i="42"/>
  <c r="R48" i="42"/>
  <c r="AE51" i="41"/>
  <c r="AD51" i="41" s="1"/>
  <c r="AE24" i="41"/>
  <c r="AD24" i="41" s="1"/>
  <c r="AE33" i="41"/>
  <c r="AD33" i="41" s="1"/>
  <c r="AE42" i="41"/>
  <c r="AD42" i="41" s="1"/>
  <c r="R42" i="41" s="1"/>
  <c r="BT8" i="40"/>
  <c r="AQ8" i="40"/>
  <c r="AE45" i="41"/>
  <c r="AD45" i="41" s="1"/>
  <c r="AE27" i="41"/>
  <c r="AD27" i="41" s="1"/>
  <c r="AE36" i="41"/>
  <c r="AD36" i="41" s="1"/>
  <c r="AE54" i="41"/>
  <c r="AD54" i="41" s="1"/>
  <c r="AA48" i="39"/>
  <c r="Z48" i="39"/>
  <c r="BL6" i="39"/>
  <c r="BL7" i="39"/>
  <c r="AE52" i="37"/>
  <c r="AD52" i="37" s="1"/>
  <c r="AE43" i="37"/>
  <c r="AD43" i="37" s="1"/>
  <c r="AE34" i="37"/>
  <c r="AD34" i="37" s="1"/>
  <c r="AE25" i="37"/>
  <c r="AD25" i="37" s="1"/>
  <c r="AP9" i="37"/>
  <c r="AA30" i="37"/>
  <c r="Z30" i="37"/>
  <c r="G39" i="37"/>
  <c r="F39" i="37"/>
  <c r="S30" i="38"/>
  <c r="R30" i="38"/>
  <c r="BL8" i="35"/>
  <c r="BD9" i="36"/>
  <c r="AQ8" i="35"/>
  <c r="K30" i="38"/>
  <c r="J30" i="38"/>
  <c r="AE22" i="34"/>
  <c r="AD22" i="34" s="1"/>
  <c r="AE49" i="34"/>
  <c r="AD49" i="34" s="1"/>
  <c r="AE40" i="34"/>
  <c r="AD40" i="34" s="1"/>
  <c r="AE31" i="34"/>
  <c r="AD31" i="34" s="1"/>
  <c r="AP10" i="36"/>
  <c r="S21" i="34"/>
  <c r="R21" i="34"/>
  <c r="S48" i="33"/>
  <c r="R48" i="33"/>
  <c r="Z26" i="34"/>
  <c r="Z24" i="34"/>
  <c r="Z27" i="34"/>
  <c r="Z22" i="34"/>
  <c r="Z25" i="34"/>
  <c r="AE51" i="32"/>
  <c r="AD51" i="32" s="1"/>
  <c r="AE42" i="32"/>
  <c r="AD42" i="32" s="1"/>
  <c r="AE33" i="32"/>
  <c r="AD33" i="32" s="1"/>
  <c r="AE24" i="32"/>
  <c r="AD24" i="32" s="1"/>
  <c r="AA21" i="30"/>
  <c r="Z21" i="30"/>
  <c r="AQ8" i="30"/>
  <c r="AA48" i="28"/>
  <c r="Z48" i="28"/>
  <c r="V21" i="30"/>
  <c r="W21" i="30"/>
  <c r="S21" i="31"/>
  <c r="R21" i="31"/>
  <c r="AE44" i="28"/>
  <c r="AD44" i="28" s="1"/>
  <c r="AE35" i="28"/>
  <c r="AD35" i="28" s="1"/>
  <c r="AE26" i="28"/>
  <c r="AD26" i="28" s="1"/>
  <c r="AE53" i="28"/>
  <c r="AD53" i="28" s="1"/>
  <c r="O21" i="30"/>
  <c r="N21" i="30"/>
  <c r="AA30" i="29"/>
  <c r="Z30" i="29"/>
  <c r="F21" i="30"/>
  <c r="G21" i="30"/>
  <c r="AE49" i="29"/>
  <c r="AD49" i="29" s="1"/>
  <c r="AE40" i="29"/>
  <c r="AD40" i="29" s="1"/>
  <c r="AE31" i="29"/>
  <c r="AD31" i="29" s="1"/>
  <c r="AE22" i="29"/>
  <c r="AD22" i="29" s="1"/>
  <c r="AP8" i="27"/>
  <c r="AE8" i="26"/>
  <c r="AE6" i="25"/>
  <c r="BD9" i="25"/>
  <c r="W48" i="25"/>
  <c r="V48" i="25"/>
  <c r="AA48" i="24"/>
  <c r="Z48" i="24"/>
  <c r="AE32" i="22"/>
  <c r="AD32" i="22" s="1"/>
  <c r="AE23" i="22"/>
  <c r="AD23" i="22" s="1"/>
  <c r="AE50" i="22"/>
  <c r="AD50" i="22" s="1"/>
  <c r="AE41" i="22"/>
  <c r="AD41" i="22" s="1"/>
  <c r="O48" i="25"/>
  <c r="N48" i="25"/>
  <c r="AA48" i="21"/>
  <c r="Z48" i="21"/>
  <c r="S39" i="21"/>
  <c r="R39" i="21"/>
  <c r="AE35" i="22"/>
  <c r="AD35" i="22" s="1"/>
  <c r="AE26" i="22"/>
  <c r="AD26" i="22" s="1"/>
  <c r="AE53" i="22"/>
  <c r="AD53" i="22" s="1"/>
  <c r="AE44" i="22"/>
  <c r="AD44" i="22" s="1"/>
  <c r="AA39" i="22"/>
  <c r="Z39" i="22"/>
  <c r="AE7" i="20"/>
  <c r="AA21" i="20"/>
  <c r="Z21" i="20"/>
  <c r="BD9" i="20"/>
  <c r="AE10" i="19"/>
  <c r="AE44" i="16"/>
  <c r="AD44" i="16" s="1"/>
  <c r="AE35" i="16"/>
  <c r="AD35" i="16" s="1"/>
  <c r="AE26" i="16"/>
  <c r="AD26" i="16" s="1"/>
  <c r="AE53" i="16"/>
  <c r="AD53" i="16" s="1"/>
  <c r="AP8" i="18"/>
  <c r="W21" i="18"/>
  <c r="V21" i="18"/>
  <c r="BL6" i="18"/>
  <c r="Z39" i="17"/>
  <c r="AA39" i="17"/>
  <c r="BT6" i="12"/>
  <c r="AQ6" i="12"/>
  <c r="AE54" i="13"/>
  <c r="AD54" i="13" s="1"/>
  <c r="AE45" i="13"/>
  <c r="AD45" i="13" s="1"/>
  <c r="AE36" i="13"/>
  <c r="AD36" i="13" s="1"/>
  <c r="AE27" i="13"/>
  <c r="AD27" i="13" s="1"/>
  <c r="BC54" i="10"/>
  <c r="BK54" i="10"/>
  <c r="AA21" i="16"/>
  <c r="Z21" i="16"/>
  <c r="AE6" i="14"/>
  <c r="BB50" i="10"/>
  <c r="BJ50" i="10"/>
  <c r="AP8" i="14"/>
  <c r="AP7" i="11"/>
  <c r="BD8" i="11"/>
  <c r="AP10" i="13"/>
  <c r="Z24" i="14"/>
  <c r="Z27" i="14"/>
  <c r="W21" i="11"/>
  <c r="V21" i="11"/>
  <c r="BB23" i="10"/>
  <c r="BJ23" i="10"/>
  <c r="S30" i="15"/>
  <c r="R30" i="15"/>
  <c r="S48" i="13"/>
  <c r="R48" i="13"/>
  <c r="AQ7" i="11"/>
  <c r="AE41" i="14"/>
  <c r="AD41" i="14" s="1"/>
  <c r="AE32" i="14"/>
  <c r="AD32" i="14" s="1"/>
  <c r="AE23" i="14"/>
  <c r="AD23" i="14" s="1"/>
  <c r="AA23" i="14" s="1"/>
  <c r="AE50" i="14"/>
  <c r="AD50" i="14" s="1"/>
  <c r="AP9" i="11"/>
  <c r="BB44" i="10"/>
  <c r="BJ44" i="10"/>
  <c r="AA45" i="10"/>
  <c r="W45" i="10"/>
  <c r="AA48" i="12"/>
  <c r="Z48" i="12"/>
  <c r="K39" i="10"/>
  <c r="J39" i="10"/>
  <c r="R41" i="10"/>
  <c r="Y36" i="10"/>
  <c r="W21" i="42"/>
  <c r="V21" i="42"/>
  <c r="W21" i="35"/>
  <c r="V21" i="35"/>
  <c r="K30" i="32"/>
  <c r="J30" i="32"/>
  <c r="BT7" i="28"/>
  <c r="Z39" i="42"/>
  <c r="AA39" i="42"/>
  <c r="S21" i="42"/>
  <c r="R21" i="42"/>
  <c r="AE23" i="41"/>
  <c r="AD23" i="41" s="1"/>
  <c r="AE41" i="41"/>
  <c r="AD41" i="41" s="1"/>
  <c r="AE32" i="41"/>
  <c r="AD32" i="41" s="1"/>
  <c r="AE50" i="41"/>
  <c r="AD50" i="41" s="1"/>
  <c r="AE49" i="40"/>
  <c r="AD49" i="40" s="1"/>
  <c r="AE40" i="40"/>
  <c r="AD40" i="40" s="1"/>
  <c r="AE31" i="40"/>
  <c r="AD31" i="40" s="1"/>
  <c r="AE22" i="40"/>
  <c r="AD22" i="40" s="1"/>
  <c r="AE52" i="40"/>
  <c r="AD52" i="40" s="1"/>
  <c r="AE34" i="40"/>
  <c r="AD34" i="40" s="1"/>
  <c r="AE25" i="40"/>
  <c r="AD25" i="40" s="1"/>
  <c r="AE43" i="40"/>
  <c r="AD43" i="40" s="1"/>
  <c r="AA30" i="39"/>
  <c r="Z30" i="39"/>
  <c r="AA39" i="37"/>
  <c r="Z39" i="37"/>
  <c r="G48" i="37"/>
  <c r="F48" i="37"/>
  <c r="S39" i="38"/>
  <c r="R39" i="38"/>
  <c r="K39" i="38"/>
  <c r="J39" i="38"/>
  <c r="AE6" i="35"/>
  <c r="BT7" i="33"/>
  <c r="AQ7" i="33"/>
  <c r="BT9" i="35"/>
  <c r="AQ9" i="35"/>
  <c r="BT9" i="36"/>
  <c r="BT10" i="34"/>
  <c r="S30" i="34"/>
  <c r="R30" i="34"/>
  <c r="Z48" i="33"/>
  <c r="AA48" i="33"/>
  <c r="AE35" i="33"/>
  <c r="AD35" i="33" s="1"/>
  <c r="AE26" i="33"/>
  <c r="AD26" i="33" s="1"/>
  <c r="AE53" i="33"/>
  <c r="AD53" i="33" s="1"/>
  <c r="AE44" i="33"/>
  <c r="AD44" i="33" s="1"/>
  <c r="AA24" i="34"/>
  <c r="AA27" i="34"/>
  <c r="AA22" i="34"/>
  <c r="AA25" i="34"/>
  <c r="AA26" i="34"/>
  <c r="AP8" i="31"/>
  <c r="AA30" i="30"/>
  <c r="Z30" i="30"/>
  <c r="BT8" i="28"/>
  <c r="AQ8" i="28"/>
  <c r="AA21" i="32"/>
  <c r="Z21" i="32"/>
  <c r="W30" i="30"/>
  <c r="V30" i="30"/>
  <c r="BL8" i="32"/>
  <c r="S30" i="31"/>
  <c r="R30" i="31"/>
  <c r="O30" i="30"/>
  <c r="N30" i="30"/>
  <c r="AA48" i="29"/>
  <c r="Z48" i="29"/>
  <c r="G30" i="30"/>
  <c r="F30" i="30"/>
  <c r="BL7" i="28"/>
  <c r="AE54" i="27"/>
  <c r="AD54" i="27" s="1"/>
  <c r="AE27" i="27"/>
  <c r="AD27" i="27" s="1"/>
  <c r="AE45" i="27"/>
  <c r="AD45" i="27" s="1"/>
  <c r="AE36" i="27"/>
  <c r="AD36" i="27" s="1"/>
  <c r="AE41" i="27"/>
  <c r="AD41" i="27" s="1"/>
  <c r="AE32" i="27"/>
  <c r="AD32" i="27" s="1"/>
  <c r="AE50" i="27"/>
  <c r="AD50" i="27" s="1"/>
  <c r="AE23" i="27"/>
  <c r="AD23" i="27" s="1"/>
  <c r="AP6" i="24"/>
  <c r="BL6" i="24"/>
  <c r="BL9" i="23"/>
  <c r="BT6" i="25"/>
  <c r="AE45" i="23"/>
  <c r="AD45" i="23" s="1"/>
  <c r="AE36" i="23"/>
  <c r="AD36" i="23" s="1"/>
  <c r="AE54" i="23"/>
  <c r="AD54" i="23" s="1"/>
  <c r="AE27" i="23"/>
  <c r="AD27" i="23" s="1"/>
  <c r="AE22" i="24"/>
  <c r="AD22" i="24" s="1"/>
  <c r="AE49" i="24"/>
  <c r="AD49" i="24" s="1"/>
  <c r="AE40" i="24"/>
  <c r="AD40" i="24" s="1"/>
  <c r="AE31" i="24"/>
  <c r="AD31" i="24" s="1"/>
  <c r="AP6" i="21"/>
  <c r="BL6" i="21"/>
  <c r="AP7" i="25"/>
  <c r="W30" i="25"/>
  <c r="V30" i="25"/>
  <c r="J34" i="26"/>
  <c r="J32" i="26"/>
  <c r="J35" i="26"/>
  <c r="J31" i="26"/>
  <c r="BD7" i="25"/>
  <c r="AA21" i="21"/>
  <c r="Z21" i="21"/>
  <c r="AP8" i="21"/>
  <c r="AA48" i="22"/>
  <c r="Z48" i="22"/>
  <c r="AE9" i="22"/>
  <c r="AQ10" i="19"/>
  <c r="AA30" i="20"/>
  <c r="Z30" i="20"/>
  <c r="AE51" i="20"/>
  <c r="AD51" i="20" s="1"/>
  <c r="AE42" i="20"/>
  <c r="AD42" i="20" s="1"/>
  <c r="AE33" i="20"/>
  <c r="AD33" i="20" s="1"/>
  <c r="AE24" i="20"/>
  <c r="AD24" i="20" s="1"/>
  <c r="AQ8" i="20"/>
  <c r="AE27" i="18"/>
  <c r="AD27" i="18" s="1"/>
  <c r="AE54" i="18"/>
  <c r="AD54" i="18" s="1"/>
  <c r="AE45" i="18"/>
  <c r="AD45" i="18" s="1"/>
  <c r="AE36" i="18"/>
  <c r="AD36" i="18" s="1"/>
  <c r="AA42" i="21"/>
  <c r="AA45" i="21"/>
  <c r="AA40" i="21"/>
  <c r="AA43" i="21"/>
  <c r="AA41" i="21"/>
  <c r="AA44" i="21"/>
  <c r="BL10" i="20"/>
  <c r="BL7" i="17"/>
  <c r="W30" i="18"/>
  <c r="V30" i="18"/>
  <c r="BC51" i="10"/>
  <c r="BK51" i="10"/>
  <c r="AA48" i="17"/>
  <c r="Z48" i="17"/>
  <c r="BA53" i="10"/>
  <c r="BI53" i="10"/>
  <c r="Z30" i="14"/>
  <c r="AA30" i="14"/>
  <c r="AP6" i="14"/>
  <c r="BC33" i="10"/>
  <c r="BK33" i="10"/>
  <c r="AA24" i="14"/>
  <c r="AA27" i="14"/>
  <c r="W30" i="11"/>
  <c r="V30" i="11"/>
  <c r="S39" i="15"/>
  <c r="R39" i="15"/>
  <c r="S21" i="13"/>
  <c r="R21" i="13"/>
  <c r="BB35" i="10"/>
  <c r="BJ35" i="10"/>
  <c r="AA21" i="12"/>
  <c r="Z21" i="12"/>
  <c r="BL6" i="10"/>
  <c r="AP6" i="10"/>
  <c r="K48" i="10"/>
  <c r="J48" i="10"/>
  <c r="BT9" i="10"/>
  <c r="R36" i="10"/>
  <c r="BK41" i="10"/>
  <c r="BC41" i="10"/>
  <c r="Z48" i="42"/>
  <c r="AA48" i="42"/>
  <c r="S30" i="41"/>
  <c r="R30" i="41"/>
  <c r="AA48" i="38"/>
  <c r="Z48" i="38"/>
  <c r="S30" i="42"/>
  <c r="R30" i="42"/>
  <c r="AE26" i="41"/>
  <c r="AD26" i="41" s="1"/>
  <c r="AE44" i="41"/>
  <c r="AD44" i="41" s="1"/>
  <c r="R44" i="41" s="1"/>
  <c r="AE35" i="41"/>
  <c r="AD35" i="41" s="1"/>
  <c r="AE53" i="41"/>
  <c r="AD53" i="41" s="1"/>
  <c r="S21" i="41"/>
  <c r="R21" i="41"/>
  <c r="AA39" i="39"/>
  <c r="Z39" i="39"/>
  <c r="AE42" i="40"/>
  <c r="AD42" i="40" s="1"/>
  <c r="AE51" i="40"/>
  <c r="AD51" i="40" s="1"/>
  <c r="AE33" i="40"/>
  <c r="AD33" i="40" s="1"/>
  <c r="AE24" i="40"/>
  <c r="AD24" i="40" s="1"/>
  <c r="BT8" i="39"/>
  <c r="AQ8" i="39"/>
  <c r="BT8" i="38"/>
  <c r="AQ8" i="38"/>
  <c r="AE31" i="38"/>
  <c r="AD31" i="38" s="1"/>
  <c r="AE22" i="38"/>
  <c r="AD22" i="38" s="1"/>
  <c r="AE49" i="38"/>
  <c r="AD49" i="38" s="1"/>
  <c r="AE40" i="38"/>
  <c r="AD40" i="38" s="1"/>
  <c r="W39" i="37"/>
  <c r="V39" i="37"/>
  <c r="AA39" i="36"/>
  <c r="Z39" i="36"/>
  <c r="AA21" i="36"/>
  <c r="Z21" i="36"/>
  <c r="AA39" i="38"/>
  <c r="Z39" i="38"/>
  <c r="AE33" i="36"/>
  <c r="AD33" i="36" s="1"/>
  <c r="AE24" i="36"/>
  <c r="AD24" i="36" s="1"/>
  <c r="AE51" i="36"/>
  <c r="AD51" i="36" s="1"/>
  <c r="AA51" i="36" s="1"/>
  <c r="AE42" i="36"/>
  <c r="AD42" i="36" s="1"/>
  <c r="AE41" i="35"/>
  <c r="AD41" i="35" s="1"/>
  <c r="AE32" i="35"/>
  <c r="AD32" i="35" s="1"/>
  <c r="AE23" i="35"/>
  <c r="AD23" i="35" s="1"/>
  <c r="AE50" i="35"/>
  <c r="AD50" i="35" s="1"/>
  <c r="AA39" i="34"/>
  <c r="Z39" i="34"/>
  <c r="K48" i="38"/>
  <c r="J48" i="38"/>
  <c r="AA48" i="34"/>
  <c r="Z48" i="34"/>
  <c r="BT6" i="33"/>
  <c r="AQ6" i="33"/>
  <c r="AA21" i="33"/>
  <c r="Z21" i="33"/>
  <c r="BT10" i="32"/>
  <c r="AQ10" i="32"/>
  <c r="AA39" i="30"/>
  <c r="Z39" i="30"/>
  <c r="AA39" i="32"/>
  <c r="Z39" i="32"/>
  <c r="AE33" i="29"/>
  <c r="AD33" i="29" s="1"/>
  <c r="AE24" i="29"/>
  <c r="AD24" i="29" s="1"/>
  <c r="AE51" i="29"/>
  <c r="AD51" i="29" s="1"/>
  <c r="AE42" i="29"/>
  <c r="AD42" i="29" s="1"/>
  <c r="AE52" i="30"/>
  <c r="AD52" i="30" s="1"/>
  <c r="AA52" i="30" s="1"/>
  <c r="AE43" i="30"/>
  <c r="AD43" i="30" s="1"/>
  <c r="W43" i="30" s="1"/>
  <c r="AE34" i="30"/>
  <c r="AD34" i="30" s="1"/>
  <c r="AE25" i="30"/>
  <c r="AD25" i="30" s="1"/>
  <c r="K21" i="32"/>
  <c r="J21" i="32"/>
  <c r="N39" i="30"/>
  <c r="O39" i="30"/>
  <c r="AQ8" i="27"/>
  <c r="BT8" i="27"/>
  <c r="G39" i="30"/>
  <c r="F39" i="30"/>
  <c r="AQ7" i="26"/>
  <c r="BT7" i="26"/>
  <c r="AE51" i="28"/>
  <c r="AD51" i="28" s="1"/>
  <c r="AE42" i="28"/>
  <c r="AD42" i="28" s="1"/>
  <c r="AE33" i="28"/>
  <c r="AD33" i="28" s="1"/>
  <c r="AE24" i="28"/>
  <c r="AD24" i="28" s="1"/>
  <c r="AE10" i="27"/>
  <c r="AE8" i="24"/>
  <c r="BD8" i="24"/>
  <c r="BT7" i="23"/>
  <c r="AQ7" i="23"/>
  <c r="W39" i="25"/>
  <c r="V39" i="25"/>
  <c r="K32" i="26"/>
  <c r="K35" i="26"/>
  <c r="K31" i="26"/>
  <c r="K34" i="26"/>
  <c r="AE7" i="23"/>
  <c r="AA30" i="21"/>
  <c r="Z30" i="21"/>
  <c r="AQ7" i="20"/>
  <c r="BT7" i="20"/>
  <c r="BL7" i="21"/>
  <c r="AE50" i="21"/>
  <c r="AD50" i="21" s="1"/>
  <c r="AE41" i="21"/>
  <c r="AD41" i="21" s="1"/>
  <c r="AE32" i="21"/>
  <c r="AD32" i="21" s="1"/>
  <c r="AE23" i="21"/>
  <c r="AD23" i="21" s="1"/>
  <c r="R23" i="21" s="1"/>
  <c r="BT6" i="23"/>
  <c r="Z39" i="20"/>
  <c r="AA39" i="20"/>
  <c r="Z42" i="21"/>
  <c r="Z45" i="21"/>
  <c r="Z40" i="21"/>
  <c r="Z43" i="21"/>
  <c r="Z41" i="21"/>
  <c r="Z44" i="21"/>
  <c r="AP6" i="17"/>
  <c r="BA50" i="10"/>
  <c r="BI50" i="10"/>
  <c r="BT9" i="12"/>
  <c r="AQ9" i="12"/>
  <c r="AA21" i="17"/>
  <c r="Z21" i="17"/>
  <c r="AP6" i="12"/>
  <c r="AE41" i="11"/>
  <c r="AD41" i="11" s="1"/>
  <c r="AE32" i="11"/>
  <c r="AD32" i="11" s="1"/>
  <c r="AE23" i="11"/>
  <c r="AD23" i="11" s="1"/>
  <c r="AE50" i="11"/>
  <c r="AD50" i="11" s="1"/>
  <c r="BL8" i="18"/>
  <c r="BJ32" i="10"/>
  <c r="BB32" i="10"/>
  <c r="AE35" i="13"/>
  <c r="AD35" i="13" s="1"/>
  <c r="AE26" i="13"/>
  <c r="AD26" i="13" s="1"/>
  <c r="AE53" i="13"/>
  <c r="AD53" i="13" s="1"/>
  <c r="AE44" i="13"/>
  <c r="AD44" i="13" s="1"/>
  <c r="BA32" i="10"/>
  <c r="BI32" i="10"/>
  <c r="AA21" i="15"/>
  <c r="Z21" i="15"/>
  <c r="BD9" i="14"/>
  <c r="O39" i="12"/>
  <c r="N39" i="12"/>
  <c r="W39" i="11"/>
  <c r="V39" i="11"/>
  <c r="S48" i="15"/>
  <c r="R48" i="15"/>
  <c r="BC53" i="10"/>
  <c r="BK53" i="10"/>
  <c r="BB33" i="10"/>
  <c r="BJ33" i="10"/>
  <c r="G200" i="6"/>
  <c r="B200" i="6" s="1"/>
  <c r="G192" i="6"/>
  <c r="B192" i="6" s="1"/>
  <c r="G184" i="6"/>
  <c r="B184" i="6" s="1"/>
  <c r="G176" i="6"/>
  <c r="B176" i="6" s="1"/>
  <c r="G168" i="6"/>
  <c r="B168" i="6" s="1"/>
  <c r="G160" i="6"/>
  <c r="B160" i="6" s="1"/>
  <c r="G152" i="6"/>
  <c r="B152" i="6" s="1"/>
  <c r="G144" i="6"/>
  <c r="B144" i="6" s="1"/>
  <c r="G136" i="6"/>
  <c r="B136" i="6" s="1"/>
  <c r="G128" i="6"/>
  <c r="B128" i="6" s="1"/>
  <c r="G120" i="6"/>
  <c r="B120" i="6" s="1"/>
  <c r="G112" i="6"/>
  <c r="B112" i="6" s="1"/>
  <c r="G104" i="6"/>
  <c r="B104" i="6" s="1"/>
  <c r="G96" i="6"/>
  <c r="B96" i="6" s="1"/>
  <c r="G88" i="6"/>
  <c r="B88" i="6" s="1"/>
  <c r="G80" i="6"/>
  <c r="B80" i="6" s="1"/>
  <c r="G72" i="6"/>
  <c r="B72" i="6" s="1"/>
  <c r="G64" i="6"/>
  <c r="B64" i="6" s="1"/>
  <c r="G56" i="6"/>
  <c r="B56" i="6" s="1"/>
  <c r="G52" i="6"/>
  <c r="B52" i="6" s="1"/>
  <c r="G49" i="6"/>
  <c r="B49" i="6" s="1"/>
  <c r="G46" i="6"/>
  <c r="B46" i="6" s="1"/>
  <c r="G42" i="6"/>
  <c r="B42" i="6" s="1"/>
  <c r="G22" i="6"/>
  <c r="B22" i="6" s="1"/>
  <c r="G13" i="6"/>
  <c r="B13" i="6" s="1"/>
  <c r="G32" i="6"/>
  <c r="B32" i="6" s="1"/>
  <c r="G197" i="6"/>
  <c r="B197" i="6" s="1"/>
  <c r="G189" i="6"/>
  <c r="B189" i="6" s="1"/>
  <c r="G181" i="6"/>
  <c r="B181" i="6" s="1"/>
  <c r="G173" i="6"/>
  <c r="B173" i="6" s="1"/>
  <c r="G165" i="6"/>
  <c r="B165" i="6" s="1"/>
  <c r="G157" i="6"/>
  <c r="B157" i="6" s="1"/>
  <c r="G149" i="6"/>
  <c r="B149" i="6" s="1"/>
  <c r="G141" i="6"/>
  <c r="B141" i="6" s="1"/>
  <c r="G133" i="6"/>
  <c r="B133" i="6" s="1"/>
  <c r="G125" i="6"/>
  <c r="B125" i="6" s="1"/>
  <c r="G117" i="6"/>
  <c r="B117" i="6" s="1"/>
  <c r="G109" i="6"/>
  <c r="B109" i="6" s="1"/>
  <c r="G101" i="6"/>
  <c r="B101" i="6" s="1"/>
  <c r="G93" i="6"/>
  <c r="B93" i="6" s="1"/>
  <c r="G85" i="6"/>
  <c r="B85" i="6" s="1"/>
  <c r="G77" i="6"/>
  <c r="B77" i="6" s="1"/>
  <c r="G69" i="6"/>
  <c r="B69" i="6" s="1"/>
  <c r="G61" i="6"/>
  <c r="B61" i="6" s="1"/>
  <c r="G202" i="6"/>
  <c r="B202" i="6" s="1"/>
  <c r="G194" i="6"/>
  <c r="B194" i="6" s="1"/>
  <c r="G186" i="6"/>
  <c r="B186" i="6" s="1"/>
  <c r="G178" i="6"/>
  <c r="B178" i="6" s="1"/>
  <c r="G170" i="6"/>
  <c r="B170" i="6" s="1"/>
  <c r="G162" i="6"/>
  <c r="B162" i="6" s="1"/>
  <c r="G154" i="6"/>
  <c r="B154" i="6" s="1"/>
  <c r="G146" i="6"/>
  <c r="B146" i="6" s="1"/>
  <c r="G138" i="6"/>
  <c r="B138" i="6" s="1"/>
  <c r="G130" i="6"/>
  <c r="B130" i="6" s="1"/>
  <c r="G122" i="6"/>
  <c r="B122" i="6" s="1"/>
  <c r="G114" i="6"/>
  <c r="B114" i="6" s="1"/>
  <c r="G106" i="6"/>
  <c r="B106" i="6" s="1"/>
  <c r="G98" i="6"/>
  <c r="B98" i="6" s="1"/>
  <c r="G90" i="6"/>
  <c r="B90" i="6" s="1"/>
  <c r="G82" i="6"/>
  <c r="B82" i="6" s="1"/>
  <c r="G74" i="6"/>
  <c r="B74" i="6" s="1"/>
  <c r="G66" i="6"/>
  <c r="B66" i="6" s="1"/>
  <c r="G58" i="6"/>
  <c r="B58" i="6" s="1"/>
  <c r="G55" i="6"/>
  <c r="B55" i="6" s="1"/>
  <c r="G51" i="6"/>
  <c r="B51" i="6" s="1"/>
  <c r="G45" i="6"/>
  <c r="B45" i="6" s="1"/>
  <c r="G41" i="6"/>
  <c r="B41" i="6" s="1"/>
  <c r="G38" i="6"/>
  <c r="B38" i="6" s="1"/>
  <c r="G35" i="6"/>
  <c r="B35" i="6" s="1"/>
  <c r="G28" i="6"/>
  <c r="B28" i="6" s="1"/>
  <c r="G18" i="6"/>
  <c r="B18" i="6" s="1"/>
  <c r="G15" i="6"/>
  <c r="B15" i="6" s="1"/>
  <c r="G24" i="6"/>
  <c r="B24" i="6" s="1"/>
  <c r="G12" i="6"/>
  <c r="B12" i="6" s="1"/>
  <c r="G199" i="6"/>
  <c r="B199" i="6" s="1"/>
  <c r="G191" i="6"/>
  <c r="B191" i="6" s="1"/>
  <c r="G183" i="6"/>
  <c r="B183" i="6" s="1"/>
  <c r="G175" i="6"/>
  <c r="B175" i="6" s="1"/>
  <c r="G167" i="6"/>
  <c r="B167" i="6" s="1"/>
  <c r="G159" i="6"/>
  <c r="B159" i="6" s="1"/>
  <c r="G151" i="6"/>
  <c r="B151" i="6" s="1"/>
  <c r="G143" i="6"/>
  <c r="B143" i="6" s="1"/>
  <c r="G135" i="6"/>
  <c r="B135" i="6" s="1"/>
  <c r="G127" i="6"/>
  <c r="B127" i="6" s="1"/>
  <c r="G119" i="6"/>
  <c r="B119" i="6" s="1"/>
  <c r="G111" i="6"/>
  <c r="B111" i="6" s="1"/>
  <c r="G103" i="6"/>
  <c r="B103" i="6" s="1"/>
  <c r="G95" i="6"/>
  <c r="B95" i="6" s="1"/>
  <c r="G87" i="6"/>
  <c r="B87" i="6" s="1"/>
  <c r="G79" i="6"/>
  <c r="B79" i="6" s="1"/>
  <c r="G71" i="6"/>
  <c r="B71" i="6" s="1"/>
  <c r="G63" i="6"/>
  <c r="B63" i="6" s="1"/>
  <c r="G48" i="6"/>
  <c r="B48" i="6" s="1"/>
  <c r="G31" i="6"/>
  <c r="B31" i="6" s="1"/>
  <c r="G21" i="6"/>
  <c r="B21" i="6" s="1"/>
  <c r="G196" i="6"/>
  <c r="B196" i="6" s="1"/>
  <c r="G188" i="6"/>
  <c r="B188" i="6" s="1"/>
  <c r="G180" i="6"/>
  <c r="B180" i="6" s="1"/>
  <c r="G172" i="6"/>
  <c r="B172" i="6" s="1"/>
  <c r="G164" i="6"/>
  <c r="B164" i="6" s="1"/>
  <c r="G156" i="6"/>
  <c r="B156" i="6" s="1"/>
  <c r="G148" i="6"/>
  <c r="B148" i="6" s="1"/>
  <c r="G140" i="6"/>
  <c r="B140" i="6" s="1"/>
  <c r="G132" i="6"/>
  <c r="B132" i="6" s="1"/>
  <c r="G124" i="6"/>
  <c r="B124" i="6" s="1"/>
  <c r="G116" i="6"/>
  <c r="B116" i="6" s="1"/>
  <c r="G108" i="6"/>
  <c r="B108" i="6" s="1"/>
  <c r="G100" i="6"/>
  <c r="B100" i="6" s="1"/>
  <c r="G92" i="6"/>
  <c r="B92" i="6" s="1"/>
  <c r="G84" i="6"/>
  <c r="B84" i="6" s="1"/>
  <c r="G76" i="6"/>
  <c r="B76" i="6" s="1"/>
  <c r="G68" i="6"/>
  <c r="B68" i="6" s="1"/>
  <c r="G60" i="6"/>
  <c r="B60" i="6" s="1"/>
  <c r="G54" i="6"/>
  <c r="B54" i="6" s="1"/>
  <c r="G44" i="6"/>
  <c r="B44" i="6" s="1"/>
  <c r="G40" i="6"/>
  <c r="B40" i="6" s="1"/>
  <c r="G37" i="6"/>
  <c r="B37" i="6" s="1"/>
  <c r="G34" i="6"/>
  <c r="B34" i="6" s="1"/>
  <c r="G27" i="6"/>
  <c r="B27" i="6" s="1"/>
  <c r="G17" i="6"/>
  <c r="B17" i="6" s="1"/>
  <c r="G20" i="6"/>
  <c r="B20" i="6" s="1"/>
  <c r="G25" i="6"/>
  <c r="B25" i="6" s="1"/>
  <c r="G201" i="6"/>
  <c r="B201" i="6" s="1"/>
  <c r="G193" i="6"/>
  <c r="B193" i="6" s="1"/>
  <c r="G185" i="6"/>
  <c r="B185" i="6" s="1"/>
  <c r="G177" i="6"/>
  <c r="B177" i="6" s="1"/>
  <c r="G169" i="6"/>
  <c r="B169" i="6" s="1"/>
  <c r="G161" i="6"/>
  <c r="B161" i="6" s="1"/>
  <c r="G153" i="6"/>
  <c r="B153" i="6" s="1"/>
  <c r="G145" i="6"/>
  <c r="B145" i="6" s="1"/>
  <c r="G137" i="6"/>
  <c r="B137" i="6" s="1"/>
  <c r="G129" i="6"/>
  <c r="B129" i="6" s="1"/>
  <c r="G121" i="6"/>
  <c r="B121" i="6" s="1"/>
  <c r="G113" i="6"/>
  <c r="B113" i="6" s="1"/>
  <c r="G105" i="6"/>
  <c r="B105" i="6" s="1"/>
  <c r="G97" i="6"/>
  <c r="B97" i="6" s="1"/>
  <c r="G89" i="6"/>
  <c r="B89" i="6" s="1"/>
  <c r="G81" i="6"/>
  <c r="B81" i="6" s="1"/>
  <c r="G73" i="6"/>
  <c r="B73" i="6" s="1"/>
  <c r="G65" i="6"/>
  <c r="B65" i="6" s="1"/>
  <c r="G57" i="6"/>
  <c r="B57" i="6" s="1"/>
  <c r="G50" i="6"/>
  <c r="B50" i="6" s="1"/>
  <c r="G47" i="6"/>
  <c r="B47" i="6" s="1"/>
  <c r="G30" i="6"/>
  <c r="B30" i="6" s="1"/>
  <c r="G23" i="6"/>
  <c r="B23" i="6" s="1"/>
  <c r="G14" i="6"/>
  <c r="B14" i="6" s="1"/>
  <c r="G198" i="6"/>
  <c r="B198" i="6" s="1"/>
  <c r="G190" i="6"/>
  <c r="B190" i="6" s="1"/>
  <c r="G182" i="6"/>
  <c r="B182" i="6" s="1"/>
  <c r="G174" i="6"/>
  <c r="B174" i="6" s="1"/>
  <c r="G166" i="6"/>
  <c r="B166" i="6" s="1"/>
  <c r="G158" i="6"/>
  <c r="B158" i="6" s="1"/>
  <c r="G150" i="6"/>
  <c r="B150" i="6" s="1"/>
  <c r="G142" i="6"/>
  <c r="B142" i="6" s="1"/>
  <c r="G134" i="6"/>
  <c r="B134" i="6" s="1"/>
  <c r="G126" i="6"/>
  <c r="B126" i="6" s="1"/>
  <c r="G118" i="6"/>
  <c r="B118" i="6" s="1"/>
  <c r="G110" i="6"/>
  <c r="B110" i="6" s="1"/>
  <c r="G102" i="6"/>
  <c r="B102" i="6" s="1"/>
  <c r="G94" i="6"/>
  <c r="B94" i="6" s="1"/>
  <c r="G86" i="6"/>
  <c r="B86" i="6" s="1"/>
  <c r="G78" i="6"/>
  <c r="B78" i="6" s="1"/>
  <c r="G70" i="6"/>
  <c r="B70" i="6" s="1"/>
  <c r="G62" i="6"/>
  <c r="B62" i="6" s="1"/>
  <c r="G53" i="6"/>
  <c r="B53" i="6" s="1"/>
  <c r="G43" i="6"/>
  <c r="B43" i="6" s="1"/>
  <c r="G11" i="6"/>
  <c r="B11" i="6" s="1"/>
  <c r="G29" i="6"/>
  <c r="B29" i="6" s="1"/>
  <c r="G26" i="6"/>
  <c r="B26" i="6" s="1"/>
  <c r="G19" i="6"/>
  <c r="B19" i="6" s="1"/>
  <c r="G195" i="6"/>
  <c r="B195" i="6" s="1"/>
  <c r="G187" i="6"/>
  <c r="B187" i="6" s="1"/>
  <c r="G179" i="6"/>
  <c r="B179" i="6" s="1"/>
  <c r="G171" i="6"/>
  <c r="B171" i="6" s="1"/>
  <c r="G163" i="6"/>
  <c r="B163" i="6" s="1"/>
  <c r="G155" i="6"/>
  <c r="B155" i="6" s="1"/>
  <c r="G147" i="6"/>
  <c r="B147" i="6" s="1"/>
  <c r="G139" i="6"/>
  <c r="B139" i="6" s="1"/>
  <c r="G131" i="6"/>
  <c r="B131" i="6" s="1"/>
  <c r="G123" i="6"/>
  <c r="B123" i="6" s="1"/>
  <c r="G115" i="6"/>
  <c r="B115" i="6" s="1"/>
  <c r="G107" i="6"/>
  <c r="B107" i="6" s="1"/>
  <c r="G99" i="6"/>
  <c r="B99" i="6" s="1"/>
  <c r="G91" i="6"/>
  <c r="B91" i="6" s="1"/>
  <c r="G83" i="6"/>
  <c r="B83" i="6" s="1"/>
  <c r="G75" i="6"/>
  <c r="B75" i="6" s="1"/>
  <c r="G67" i="6"/>
  <c r="B67" i="6" s="1"/>
  <c r="G59" i="6"/>
  <c r="B59" i="6" s="1"/>
  <c r="G39" i="6"/>
  <c r="B39" i="6" s="1"/>
  <c r="G36" i="6"/>
  <c r="B36" i="6" s="1"/>
  <c r="G33" i="6"/>
  <c r="B33" i="6" s="1"/>
  <c r="G16" i="6"/>
  <c r="B16" i="6" s="1"/>
  <c r="AA36" i="10"/>
  <c r="AA30" i="12"/>
  <c r="Z30" i="12"/>
  <c r="BB26" i="10"/>
  <c r="BJ26" i="10"/>
  <c r="O39" i="10"/>
  <c r="N39" i="10"/>
  <c r="BB27" i="10"/>
  <c r="BJ27" i="10"/>
  <c r="BT6" i="26"/>
  <c r="AQ6" i="26"/>
  <c r="W48" i="24"/>
  <c r="V48" i="24"/>
  <c r="W30" i="21"/>
  <c r="V30" i="21"/>
  <c r="AQ8" i="19"/>
  <c r="BT8" i="19"/>
  <c r="AA30" i="19"/>
  <c r="Z30" i="19"/>
  <c r="BT8" i="17"/>
  <c r="AQ8" i="17"/>
  <c r="BT6" i="18"/>
  <c r="AA30" i="17"/>
  <c r="Z30" i="17"/>
  <c r="AQ8" i="11"/>
  <c r="BT8" i="11"/>
  <c r="BA51" i="10"/>
  <c r="BI51" i="10"/>
  <c r="AE7" i="16"/>
  <c r="BD7" i="16"/>
  <c r="AA30" i="11"/>
  <c r="Z30" i="11"/>
  <c r="AE40" i="15"/>
  <c r="AD40" i="15" s="1"/>
  <c r="AE31" i="15"/>
  <c r="AD31" i="15" s="1"/>
  <c r="AE22" i="15"/>
  <c r="AD22" i="15" s="1"/>
  <c r="AE49" i="15"/>
  <c r="AD49" i="15" s="1"/>
  <c r="AA30" i="15"/>
  <c r="Z30" i="15"/>
  <c r="O48" i="12"/>
  <c r="N48" i="12"/>
  <c r="AE32" i="13"/>
  <c r="AD32" i="13" s="1"/>
  <c r="AE23" i="13"/>
  <c r="AD23" i="13" s="1"/>
  <c r="AE50" i="13"/>
  <c r="AD50" i="13" s="1"/>
  <c r="AE41" i="13"/>
  <c r="AD41" i="13" s="1"/>
  <c r="AE26" i="12"/>
  <c r="AD26" i="12" s="1"/>
  <c r="AE53" i="12"/>
  <c r="AD53" i="12" s="1"/>
  <c r="AE44" i="12"/>
  <c r="AD44" i="12" s="1"/>
  <c r="AE35" i="12"/>
  <c r="AD35" i="12" s="1"/>
  <c r="BA35" i="10"/>
  <c r="BI35" i="10"/>
  <c r="BA44" i="10"/>
  <c r="BI44" i="10"/>
  <c r="BB24" i="10"/>
  <c r="BJ24" i="10"/>
  <c r="R24" i="10"/>
  <c r="O21" i="10"/>
  <c r="N21" i="10"/>
  <c r="BJ36" i="10"/>
  <c r="BB36" i="10"/>
  <c r="AQ7" i="35"/>
  <c r="BT7" i="35"/>
  <c r="AA39" i="28"/>
  <c r="Z39" i="28"/>
  <c r="AE53" i="29"/>
  <c r="AD53" i="29" s="1"/>
  <c r="AE26" i="29"/>
  <c r="AD26" i="29" s="1"/>
  <c r="AE44" i="29"/>
  <c r="AD44" i="29" s="1"/>
  <c r="AE35" i="29"/>
  <c r="AD35" i="29" s="1"/>
  <c r="AE22" i="28"/>
  <c r="AD22" i="28" s="1"/>
  <c r="AA22" i="28" s="1"/>
  <c r="AE49" i="28"/>
  <c r="AD49" i="28" s="1"/>
  <c r="AE40" i="28"/>
  <c r="AD40" i="28" s="1"/>
  <c r="AE31" i="28"/>
  <c r="AD31" i="28" s="1"/>
  <c r="AE34" i="27"/>
  <c r="AD34" i="27" s="1"/>
  <c r="AE25" i="27"/>
  <c r="AD25" i="27" s="1"/>
  <c r="AE43" i="27"/>
  <c r="AD43" i="27" s="1"/>
  <c r="AE52" i="27"/>
  <c r="AD52" i="27" s="1"/>
  <c r="AE49" i="19"/>
  <c r="AD49" i="19" s="1"/>
  <c r="AE40" i="19"/>
  <c r="AD40" i="19" s="1"/>
  <c r="AE22" i="19"/>
  <c r="AD22" i="19" s="1"/>
  <c r="AE31" i="19"/>
  <c r="AD31" i="19" s="1"/>
  <c r="AA21" i="42"/>
  <c r="Z21" i="42"/>
  <c r="AE50" i="42"/>
  <c r="AD50" i="42" s="1"/>
  <c r="AE32" i="42"/>
  <c r="AD32" i="42" s="1"/>
  <c r="AA32" i="42" s="1"/>
  <c r="AE41" i="42"/>
  <c r="AD41" i="42" s="1"/>
  <c r="AE23" i="42"/>
  <c r="AD23" i="42" s="1"/>
  <c r="S48" i="41"/>
  <c r="R48" i="41"/>
  <c r="W30" i="42"/>
  <c r="V30" i="42"/>
  <c r="BT9" i="39"/>
  <c r="AQ9" i="39"/>
  <c r="AE53" i="38"/>
  <c r="AD53" i="38" s="1"/>
  <c r="AE44" i="38"/>
  <c r="AD44" i="38" s="1"/>
  <c r="AE35" i="38"/>
  <c r="AD35" i="38" s="1"/>
  <c r="AE26" i="38"/>
  <c r="AD26" i="38" s="1"/>
  <c r="AA30" i="36"/>
  <c r="Z30" i="36"/>
  <c r="AA21" i="38"/>
  <c r="Z21" i="38"/>
  <c r="O48" i="37"/>
  <c r="N48" i="37"/>
  <c r="AE23" i="33"/>
  <c r="AD23" i="33" s="1"/>
  <c r="AE50" i="33"/>
  <c r="AD50" i="33" s="1"/>
  <c r="AE41" i="33"/>
  <c r="AD41" i="33" s="1"/>
  <c r="AE32" i="33"/>
  <c r="AD32" i="33" s="1"/>
  <c r="BT8" i="31"/>
  <c r="AQ8" i="31"/>
  <c r="AA39" i="33"/>
  <c r="Z39" i="33"/>
  <c r="AE41" i="34"/>
  <c r="AD41" i="34" s="1"/>
  <c r="AE32" i="34"/>
  <c r="AD32" i="34" s="1"/>
  <c r="AE23" i="34"/>
  <c r="AD23" i="34" s="1"/>
  <c r="Z23" i="34" s="1"/>
  <c r="AE50" i="34"/>
  <c r="AD50" i="34" s="1"/>
  <c r="W30" i="35"/>
  <c r="V30" i="35"/>
  <c r="AE7" i="30"/>
  <c r="BD7" i="30"/>
  <c r="AE49" i="32"/>
  <c r="AD49" i="32" s="1"/>
  <c r="AE40" i="32"/>
  <c r="AD40" i="32" s="1"/>
  <c r="AE22" i="32"/>
  <c r="AD22" i="32" s="1"/>
  <c r="AE31" i="32"/>
  <c r="AD31" i="32" s="1"/>
  <c r="BT7" i="29"/>
  <c r="AQ7" i="29"/>
  <c r="AA30" i="32"/>
  <c r="Z30" i="32"/>
  <c r="K39" i="32"/>
  <c r="J39" i="32"/>
  <c r="J30" i="31"/>
  <c r="K30" i="31"/>
  <c r="K21" i="29"/>
  <c r="J21" i="29"/>
  <c r="S48" i="28"/>
  <c r="R48" i="28"/>
  <c r="AA39" i="31"/>
  <c r="Z39" i="31"/>
  <c r="J48" i="26"/>
  <c r="K48" i="26"/>
  <c r="AP6" i="26"/>
  <c r="BL6" i="26"/>
  <c r="AE45" i="26"/>
  <c r="AD45" i="26" s="1"/>
  <c r="AE36" i="26"/>
  <c r="AD36" i="26" s="1"/>
  <c r="K36" i="26" s="1"/>
  <c r="AE27" i="26"/>
  <c r="AD27" i="26" s="1"/>
  <c r="AE54" i="26"/>
  <c r="AD54" i="26" s="1"/>
  <c r="AE43" i="25"/>
  <c r="AD43" i="25" s="1"/>
  <c r="AE34" i="25"/>
  <c r="AD34" i="25" s="1"/>
  <c r="AE52" i="25"/>
  <c r="AD52" i="25" s="1"/>
  <c r="AE25" i="25"/>
  <c r="AD25" i="25" s="1"/>
  <c r="AE50" i="25"/>
  <c r="AD50" i="25" s="1"/>
  <c r="AE41" i="25"/>
  <c r="AD41" i="25" s="1"/>
  <c r="AE23" i="25"/>
  <c r="AD23" i="25" s="1"/>
  <c r="AE32" i="25"/>
  <c r="AD32" i="25" s="1"/>
  <c r="W21" i="24"/>
  <c r="V21" i="24"/>
  <c r="Z48" i="25"/>
  <c r="AA48" i="25"/>
  <c r="AE25" i="24"/>
  <c r="AD25" i="24" s="1"/>
  <c r="AE52" i="24"/>
  <c r="AD52" i="24" s="1"/>
  <c r="AE43" i="24"/>
  <c r="AD43" i="24" s="1"/>
  <c r="AE34" i="24"/>
  <c r="AD34" i="24" s="1"/>
  <c r="O21" i="25"/>
  <c r="N21" i="25"/>
  <c r="AE32" i="24"/>
  <c r="AD32" i="24" s="1"/>
  <c r="AE23" i="24"/>
  <c r="AD23" i="24" s="1"/>
  <c r="AE50" i="24"/>
  <c r="AD50" i="24" s="1"/>
  <c r="AE41" i="24"/>
  <c r="AD41" i="24" s="1"/>
  <c r="W39" i="21"/>
  <c r="V39" i="21"/>
  <c r="BT6" i="20"/>
  <c r="AQ6" i="20"/>
  <c r="AA39" i="19"/>
  <c r="Z39" i="19"/>
  <c r="W30" i="20"/>
  <c r="V30" i="20"/>
  <c r="AE34" i="18"/>
  <c r="AD34" i="18" s="1"/>
  <c r="AE52" i="18"/>
  <c r="AD52" i="18" s="1"/>
  <c r="AE43" i="18"/>
  <c r="AD43" i="18" s="1"/>
  <c r="AE25" i="18"/>
  <c r="AD25" i="18" s="1"/>
  <c r="BT7" i="18"/>
  <c r="AQ7" i="18"/>
  <c r="BT10" i="17"/>
  <c r="AP6" i="16"/>
  <c r="BL6" i="16"/>
  <c r="BC50" i="10"/>
  <c r="BK50" i="10"/>
  <c r="AE34" i="14"/>
  <c r="AD34" i="14" s="1"/>
  <c r="AE25" i="14"/>
  <c r="AD25" i="14" s="1"/>
  <c r="AE52" i="14"/>
  <c r="AD52" i="14" s="1"/>
  <c r="AE43" i="14"/>
  <c r="AD43" i="14" s="1"/>
  <c r="AE53" i="14"/>
  <c r="AD53" i="14" s="1"/>
  <c r="AE44" i="14"/>
  <c r="AD44" i="14" s="1"/>
  <c r="AE35" i="14"/>
  <c r="AD35" i="14" s="1"/>
  <c r="AE26" i="14"/>
  <c r="AD26" i="14" s="1"/>
  <c r="AP7" i="15"/>
  <c r="B2" i="61"/>
  <c r="B2" i="7"/>
  <c r="AA39" i="11"/>
  <c r="Z39" i="11"/>
  <c r="AA48" i="15"/>
  <c r="Z48" i="15"/>
  <c r="O21" i="12"/>
  <c r="N21" i="12"/>
  <c r="BL10" i="12"/>
  <c r="BC26" i="10"/>
  <c r="BK26" i="10"/>
  <c r="BJ53" i="10"/>
  <c r="BB53" i="10"/>
  <c r="AA42" i="10"/>
  <c r="Y33" i="10"/>
  <c r="O30" i="10"/>
  <c r="N30" i="10"/>
  <c r="R33" i="10"/>
  <c r="AE52" i="10"/>
  <c r="AD52" i="10" s="1"/>
  <c r="AE43" i="10"/>
  <c r="AD43" i="10" s="1"/>
  <c r="AE34" i="10"/>
  <c r="AD34" i="10" s="1"/>
  <c r="AE25" i="10"/>
  <c r="AD25" i="10" s="1"/>
  <c r="N35" i="10" l="1"/>
  <c r="N33" i="10"/>
  <c r="N31" i="10"/>
  <c r="N36" i="10"/>
  <c r="N34" i="10"/>
  <c r="N32" i="10"/>
  <c r="S39" i="14"/>
  <c r="R39" i="14"/>
  <c r="W35" i="20"/>
  <c r="W33" i="20"/>
  <c r="W36" i="20"/>
  <c r="W31" i="20"/>
  <c r="W34" i="20"/>
  <c r="Z50" i="25"/>
  <c r="Z51" i="25"/>
  <c r="Z53" i="25"/>
  <c r="Z52" i="25"/>
  <c r="Z54" i="25"/>
  <c r="O36" i="10"/>
  <c r="O34" i="10"/>
  <c r="O32" i="10"/>
  <c r="O35" i="10"/>
  <c r="O33" i="10"/>
  <c r="O31" i="10"/>
  <c r="R48" i="14"/>
  <c r="S48" i="14"/>
  <c r="Z40" i="19"/>
  <c r="Z41" i="19"/>
  <c r="Z42" i="19"/>
  <c r="Z45" i="19"/>
  <c r="Z43" i="19"/>
  <c r="N26" i="25"/>
  <c r="N24" i="25"/>
  <c r="N27" i="25"/>
  <c r="N25" i="25"/>
  <c r="N23" i="25"/>
  <c r="S21" i="25"/>
  <c r="R21" i="25"/>
  <c r="S54" i="28"/>
  <c r="S49" i="28"/>
  <c r="S52" i="28"/>
  <c r="S50" i="28"/>
  <c r="S53" i="28"/>
  <c r="S51" i="28"/>
  <c r="F30" i="32"/>
  <c r="G30" i="32"/>
  <c r="Z41" i="33"/>
  <c r="Z44" i="33"/>
  <c r="Z42" i="33"/>
  <c r="Z45" i="33"/>
  <c r="Z40" i="33"/>
  <c r="Z43" i="33"/>
  <c r="W30" i="38"/>
  <c r="V30" i="38"/>
  <c r="S39" i="27"/>
  <c r="R39" i="27"/>
  <c r="O26" i="12"/>
  <c r="O24" i="12"/>
  <c r="O27" i="12"/>
  <c r="O22" i="12"/>
  <c r="O25" i="12"/>
  <c r="O23" i="12"/>
  <c r="W21" i="14"/>
  <c r="V21" i="14"/>
  <c r="S21" i="14"/>
  <c r="R21" i="14"/>
  <c r="AA43" i="19"/>
  <c r="AA41" i="19"/>
  <c r="AA42" i="19"/>
  <c r="AA45" i="19"/>
  <c r="AA40" i="19"/>
  <c r="W44" i="21"/>
  <c r="W42" i="21"/>
  <c r="W45" i="21"/>
  <c r="W40" i="21"/>
  <c r="W43" i="21"/>
  <c r="W41" i="21"/>
  <c r="O27" i="25"/>
  <c r="O23" i="25"/>
  <c r="O26" i="25"/>
  <c r="O24" i="25"/>
  <c r="O25" i="25"/>
  <c r="W26" i="24"/>
  <c r="W27" i="24"/>
  <c r="W22" i="24"/>
  <c r="W25" i="24"/>
  <c r="W23" i="24"/>
  <c r="S48" i="25"/>
  <c r="R48" i="25"/>
  <c r="J25" i="29"/>
  <c r="J23" i="29"/>
  <c r="J26" i="29"/>
  <c r="J24" i="29"/>
  <c r="J27" i="29"/>
  <c r="J22" i="29"/>
  <c r="J33" i="31"/>
  <c r="J36" i="31"/>
  <c r="J34" i="31"/>
  <c r="J32" i="31"/>
  <c r="J35" i="31"/>
  <c r="G21" i="32"/>
  <c r="F21" i="32"/>
  <c r="W35" i="35"/>
  <c r="W36" i="35"/>
  <c r="W34" i="35"/>
  <c r="W32" i="35"/>
  <c r="AA44" i="33"/>
  <c r="AA42" i="33"/>
  <c r="AA45" i="33"/>
  <c r="AA40" i="33"/>
  <c r="AA43" i="33"/>
  <c r="AA41" i="33"/>
  <c r="N54" i="37"/>
  <c r="N49" i="37"/>
  <c r="N52" i="37"/>
  <c r="N50" i="37"/>
  <c r="N53" i="37"/>
  <c r="N51" i="37"/>
  <c r="W39" i="38"/>
  <c r="V39" i="38"/>
  <c r="R54" i="41"/>
  <c r="R52" i="41"/>
  <c r="R50" i="41"/>
  <c r="R51" i="41"/>
  <c r="R53" i="41"/>
  <c r="R49" i="41"/>
  <c r="Z23" i="42"/>
  <c r="Z26" i="42"/>
  <c r="Z24" i="42"/>
  <c r="Z27" i="42"/>
  <c r="Z25" i="42"/>
  <c r="S21" i="27"/>
  <c r="R21" i="27"/>
  <c r="W21" i="29"/>
  <c r="V21" i="29"/>
  <c r="K48" i="13"/>
  <c r="J48" i="13"/>
  <c r="G21" i="15"/>
  <c r="F21" i="15"/>
  <c r="AE41" i="16"/>
  <c r="AD41" i="16" s="1"/>
  <c r="AE32" i="16"/>
  <c r="AD32" i="16" s="1"/>
  <c r="AE23" i="16"/>
  <c r="AD23" i="16" s="1"/>
  <c r="AE50" i="16"/>
  <c r="AD50" i="16" s="1"/>
  <c r="AA35" i="17"/>
  <c r="AA33" i="17"/>
  <c r="AA36" i="17"/>
  <c r="AA34" i="17"/>
  <c r="AA32" i="17"/>
  <c r="Z33" i="19"/>
  <c r="Z31" i="19"/>
  <c r="Z34" i="19"/>
  <c r="Z32" i="19"/>
  <c r="Z35" i="19"/>
  <c r="Z36" i="19"/>
  <c r="V34" i="21"/>
  <c r="V32" i="21"/>
  <c r="V35" i="21"/>
  <c r="V33" i="21"/>
  <c r="V36" i="21"/>
  <c r="V31" i="21"/>
  <c r="Z32" i="12"/>
  <c r="Z35" i="12"/>
  <c r="Z33" i="12"/>
  <c r="Z36" i="12"/>
  <c r="Z31" i="12"/>
  <c r="Z34" i="12"/>
  <c r="D39" i="6"/>
  <c r="C39" i="6"/>
  <c r="AM39" i="6" s="1"/>
  <c r="D115" i="6"/>
  <c r="C115" i="6"/>
  <c r="AM115" i="6" s="1"/>
  <c r="D179" i="6"/>
  <c r="C179" i="6"/>
  <c r="AM179" i="6" s="1"/>
  <c r="D53" i="6"/>
  <c r="C53" i="6"/>
  <c r="AM53" i="6" s="1"/>
  <c r="D118" i="6"/>
  <c r="C118" i="6"/>
  <c r="AM118" i="6" s="1"/>
  <c r="D182" i="6"/>
  <c r="C182" i="6"/>
  <c r="AM182" i="6" s="1"/>
  <c r="D57" i="6"/>
  <c r="C57" i="6"/>
  <c r="AM57" i="6" s="1"/>
  <c r="D121" i="6"/>
  <c r="C121" i="6"/>
  <c r="AM121" i="6" s="1"/>
  <c r="D185" i="6"/>
  <c r="C185" i="6"/>
  <c r="AM185" i="6" s="1"/>
  <c r="C37" i="6"/>
  <c r="AM37" i="6" s="1"/>
  <c r="D37" i="6"/>
  <c r="C92" i="6"/>
  <c r="AM92" i="6" s="1"/>
  <c r="D92" i="6"/>
  <c r="C156" i="6"/>
  <c r="AM156" i="6" s="1"/>
  <c r="D156" i="6"/>
  <c r="D48" i="6"/>
  <c r="C48" i="6"/>
  <c r="AM48" i="6" s="1"/>
  <c r="D119" i="6"/>
  <c r="C119" i="6"/>
  <c r="AM119" i="6" s="1"/>
  <c r="D183" i="6"/>
  <c r="C183" i="6"/>
  <c r="AM183" i="6" s="1"/>
  <c r="D35" i="6"/>
  <c r="C35" i="6"/>
  <c r="AM35" i="6" s="1"/>
  <c r="D74" i="6"/>
  <c r="C74" i="6"/>
  <c r="AM74" i="6" s="1"/>
  <c r="D138" i="6"/>
  <c r="C138" i="6"/>
  <c r="AM138" i="6" s="1"/>
  <c r="D202" i="6"/>
  <c r="C202" i="6"/>
  <c r="AM202" i="6" s="1"/>
  <c r="D117" i="6"/>
  <c r="C117" i="6"/>
  <c r="AM117" i="6" s="1"/>
  <c r="D181" i="6"/>
  <c r="C181" i="6"/>
  <c r="AM181" i="6" s="1"/>
  <c r="D49" i="6"/>
  <c r="C49" i="6"/>
  <c r="AM49" i="6" s="1"/>
  <c r="D104" i="6"/>
  <c r="C104" i="6"/>
  <c r="AM104" i="6" s="1"/>
  <c r="D168" i="6"/>
  <c r="C168" i="6"/>
  <c r="AM168" i="6" s="1"/>
  <c r="Z22" i="15"/>
  <c r="Z25" i="15"/>
  <c r="Z23" i="15"/>
  <c r="Z26" i="15"/>
  <c r="Z24" i="15"/>
  <c r="Z27" i="15"/>
  <c r="Z25" i="17"/>
  <c r="Z23" i="17"/>
  <c r="Z26" i="17"/>
  <c r="Z24" i="17"/>
  <c r="Z27" i="17"/>
  <c r="BC41" i="21"/>
  <c r="BK41" i="21"/>
  <c r="J39" i="21"/>
  <c r="K39" i="21"/>
  <c r="G44" i="30"/>
  <c r="G42" i="30"/>
  <c r="G45" i="30"/>
  <c r="G43" i="30"/>
  <c r="G40" i="30"/>
  <c r="K23" i="32"/>
  <c r="K26" i="32"/>
  <c r="K24" i="32"/>
  <c r="K27" i="32"/>
  <c r="K25" i="32"/>
  <c r="K22" i="32"/>
  <c r="N30" i="29"/>
  <c r="O30" i="29"/>
  <c r="O21" i="36"/>
  <c r="N21" i="36"/>
  <c r="Z45" i="36"/>
  <c r="Z43" i="36"/>
  <c r="Z42" i="36"/>
  <c r="Z44" i="36"/>
  <c r="Z40" i="36"/>
  <c r="Z41" i="36"/>
  <c r="Z44" i="39"/>
  <c r="Z42" i="39"/>
  <c r="Z45" i="39"/>
  <c r="Z40" i="39"/>
  <c r="Z43" i="39"/>
  <c r="Z41" i="39"/>
  <c r="R34" i="42"/>
  <c r="R32" i="42"/>
  <c r="R35" i="42"/>
  <c r="R33" i="42"/>
  <c r="R36" i="42"/>
  <c r="Z49" i="38"/>
  <c r="Z52" i="38"/>
  <c r="Z50" i="38"/>
  <c r="Z53" i="38"/>
  <c r="Z51" i="38"/>
  <c r="Z54" i="38"/>
  <c r="BA36" i="10"/>
  <c r="BI36" i="10"/>
  <c r="Z48" i="18"/>
  <c r="AA48" i="18"/>
  <c r="AA35" i="20"/>
  <c r="AA33" i="20"/>
  <c r="AA36" i="20"/>
  <c r="AA31" i="20"/>
  <c r="AA34" i="20"/>
  <c r="AY35" i="26"/>
  <c r="BG35" i="26"/>
  <c r="F30" i="24"/>
  <c r="G30" i="24"/>
  <c r="AA30" i="27"/>
  <c r="Z30" i="27"/>
  <c r="G31" i="30"/>
  <c r="G34" i="30"/>
  <c r="G35" i="30"/>
  <c r="G33" i="30"/>
  <c r="G36" i="30"/>
  <c r="Z34" i="30"/>
  <c r="Z35" i="30"/>
  <c r="Z33" i="30"/>
  <c r="Z36" i="30"/>
  <c r="Z31" i="30"/>
  <c r="R32" i="34"/>
  <c r="R35" i="34"/>
  <c r="R33" i="34"/>
  <c r="R36" i="34"/>
  <c r="R31" i="34"/>
  <c r="R34" i="34"/>
  <c r="S41" i="38"/>
  <c r="S44" i="38"/>
  <c r="S42" i="38"/>
  <c r="S45" i="38"/>
  <c r="S40" i="38"/>
  <c r="S43" i="38"/>
  <c r="Z32" i="39"/>
  <c r="Z36" i="39"/>
  <c r="Z35" i="39"/>
  <c r="Z34" i="39"/>
  <c r="Z33" i="39"/>
  <c r="Z31" i="39"/>
  <c r="G21" i="40"/>
  <c r="F21" i="40"/>
  <c r="K39" i="41"/>
  <c r="J39" i="41"/>
  <c r="K48" i="14"/>
  <c r="J48" i="14"/>
  <c r="S36" i="15"/>
  <c r="S31" i="15"/>
  <c r="S34" i="15"/>
  <c r="S32" i="15"/>
  <c r="S35" i="15"/>
  <c r="S33" i="15"/>
  <c r="BC24" i="14"/>
  <c r="BK24" i="14"/>
  <c r="AA39" i="13"/>
  <c r="Z39" i="13"/>
  <c r="AE35" i="19"/>
  <c r="AD35" i="19" s="1"/>
  <c r="AE26" i="19"/>
  <c r="AD26" i="19" s="1"/>
  <c r="AE44" i="19"/>
  <c r="AD44" i="19" s="1"/>
  <c r="Z44" i="19" s="1"/>
  <c r="AE53" i="19"/>
  <c r="AD53" i="19" s="1"/>
  <c r="W48" i="22"/>
  <c r="V48" i="22"/>
  <c r="AA49" i="21"/>
  <c r="AA52" i="21"/>
  <c r="AA50" i="21"/>
  <c r="AA53" i="21"/>
  <c r="AA51" i="21"/>
  <c r="AA54" i="21"/>
  <c r="K30" i="22"/>
  <c r="J30" i="22"/>
  <c r="F48" i="29"/>
  <c r="G48" i="29"/>
  <c r="W21" i="28"/>
  <c r="V21" i="28"/>
  <c r="Z50" i="28"/>
  <c r="Z53" i="28"/>
  <c r="Z51" i="28"/>
  <c r="Z54" i="28"/>
  <c r="Z49" i="28"/>
  <c r="Z52" i="28"/>
  <c r="O48" i="32"/>
  <c r="N48" i="32"/>
  <c r="S50" i="33"/>
  <c r="S53" i="33"/>
  <c r="S51" i="33"/>
  <c r="S54" i="33"/>
  <c r="S49" i="33"/>
  <c r="S52" i="33"/>
  <c r="G48" i="34"/>
  <c r="F48" i="34"/>
  <c r="S21" i="37"/>
  <c r="R21" i="37"/>
  <c r="AA21" i="41"/>
  <c r="Z21" i="41"/>
  <c r="R53" i="42"/>
  <c r="R52" i="42"/>
  <c r="R50" i="42"/>
  <c r="R51" i="42"/>
  <c r="R54" i="42"/>
  <c r="J48" i="40"/>
  <c r="K48" i="40"/>
  <c r="V52" i="11"/>
  <c r="V50" i="11"/>
  <c r="V53" i="11"/>
  <c r="V51" i="11"/>
  <c r="V54" i="11"/>
  <c r="G21" i="16"/>
  <c r="F21" i="16"/>
  <c r="W53" i="18"/>
  <c r="W49" i="18"/>
  <c r="W52" i="18"/>
  <c r="W50" i="18"/>
  <c r="W54" i="18"/>
  <c r="O21" i="22"/>
  <c r="N21" i="22"/>
  <c r="W45" i="20"/>
  <c r="W43" i="20"/>
  <c r="W44" i="20"/>
  <c r="W40" i="20"/>
  <c r="W42" i="20"/>
  <c r="N41" i="25"/>
  <c r="N42" i="25"/>
  <c r="N45" i="25"/>
  <c r="N44" i="25"/>
  <c r="N43" i="25"/>
  <c r="AA36" i="25"/>
  <c r="AA32" i="25"/>
  <c r="AA35" i="25"/>
  <c r="AA33" i="25"/>
  <c r="AA34" i="25"/>
  <c r="G48" i="26"/>
  <c r="F48" i="26"/>
  <c r="N54" i="30"/>
  <c r="N49" i="30"/>
  <c r="N52" i="30"/>
  <c r="N53" i="30"/>
  <c r="N51" i="30"/>
  <c r="AA26" i="28"/>
  <c r="V53" i="30"/>
  <c r="V51" i="30"/>
  <c r="V54" i="30"/>
  <c r="V49" i="30"/>
  <c r="V52" i="30"/>
  <c r="S40" i="33"/>
  <c r="S43" i="33"/>
  <c r="S41" i="33"/>
  <c r="S44" i="33"/>
  <c r="S42" i="33"/>
  <c r="S45" i="33"/>
  <c r="W54" i="36"/>
  <c r="W49" i="36"/>
  <c r="W50" i="36"/>
  <c r="W53" i="36"/>
  <c r="W52" i="36"/>
  <c r="W51" i="36"/>
  <c r="K21" i="37"/>
  <c r="J21" i="37"/>
  <c r="F21" i="39"/>
  <c r="G21" i="39"/>
  <c r="S44" i="41"/>
  <c r="BA44" i="41" s="1"/>
  <c r="F53" i="30"/>
  <c r="F51" i="30"/>
  <c r="F54" i="30"/>
  <c r="F49" i="30"/>
  <c r="F52" i="30"/>
  <c r="W21" i="40"/>
  <c r="V21" i="40"/>
  <c r="G39" i="13"/>
  <c r="F39" i="13"/>
  <c r="S21" i="19"/>
  <c r="R21" i="19"/>
  <c r="O48" i="21"/>
  <c r="N48" i="21"/>
  <c r="AA23" i="25"/>
  <c r="AA24" i="25"/>
  <c r="AA25" i="25"/>
  <c r="AA27" i="25"/>
  <c r="AA26" i="25"/>
  <c r="S48" i="26"/>
  <c r="R48" i="26"/>
  <c r="Z52" i="30"/>
  <c r="K42" i="29"/>
  <c r="K45" i="29"/>
  <c r="K40" i="29"/>
  <c r="K43" i="29"/>
  <c r="K41" i="29"/>
  <c r="K44" i="29"/>
  <c r="BC23" i="28"/>
  <c r="BK23" i="28"/>
  <c r="R21" i="29"/>
  <c r="S21" i="29"/>
  <c r="W48" i="31"/>
  <c r="V48" i="31"/>
  <c r="R33" i="33"/>
  <c r="R36" i="33"/>
  <c r="R31" i="33"/>
  <c r="R34" i="33"/>
  <c r="R32" i="33"/>
  <c r="R35" i="33"/>
  <c r="V44" i="36"/>
  <c r="V43" i="36"/>
  <c r="V41" i="36"/>
  <c r="V45" i="36"/>
  <c r="V42" i="36"/>
  <c r="V40" i="36"/>
  <c r="AA51" i="37"/>
  <c r="AA54" i="37"/>
  <c r="AA49" i="37"/>
  <c r="AA52" i="37"/>
  <c r="AA50" i="37"/>
  <c r="AA53" i="37"/>
  <c r="W24" i="37"/>
  <c r="W27" i="37"/>
  <c r="W22" i="37"/>
  <c r="W25" i="37"/>
  <c r="W23" i="37"/>
  <c r="W26" i="37"/>
  <c r="AA26" i="39"/>
  <c r="BC26" i="39" s="1"/>
  <c r="AA39" i="40"/>
  <c r="Z39" i="40"/>
  <c r="W34" i="36"/>
  <c r="W32" i="36"/>
  <c r="W35" i="36"/>
  <c r="W33" i="36"/>
  <c r="W36" i="36"/>
  <c r="W31" i="36"/>
  <c r="N33" i="12"/>
  <c r="N36" i="12"/>
  <c r="N31" i="12"/>
  <c r="N34" i="12"/>
  <c r="N32" i="12"/>
  <c r="N35" i="12"/>
  <c r="AA50" i="14"/>
  <c r="AA53" i="14"/>
  <c r="AA51" i="14"/>
  <c r="AA54" i="14"/>
  <c r="AA52" i="14"/>
  <c r="O39" i="17"/>
  <c r="N39" i="17"/>
  <c r="W52" i="20"/>
  <c r="W53" i="20"/>
  <c r="W54" i="20"/>
  <c r="W51" i="20"/>
  <c r="W49" i="20"/>
  <c r="V51" i="21"/>
  <c r="V54" i="21"/>
  <c r="V49" i="21"/>
  <c r="V52" i="21"/>
  <c r="V50" i="21"/>
  <c r="V53" i="21"/>
  <c r="V36" i="24"/>
  <c r="V31" i="24"/>
  <c r="V34" i="24"/>
  <c r="V32" i="24"/>
  <c r="V35" i="24"/>
  <c r="K30" i="28"/>
  <c r="J30" i="28"/>
  <c r="J32" i="29"/>
  <c r="J35" i="29"/>
  <c r="J33" i="29"/>
  <c r="J36" i="29"/>
  <c r="J31" i="29"/>
  <c r="J34" i="29"/>
  <c r="G48" i="33"/>
  <c r="F48" i="33"/>
  <c r="W27" i="36"/>
  <c r="W22" i="36"/>
  <c r="W25" i="36"/>
  <c r="W23" i="36"/>
  <c r="W26" i="36"/>
  <c r="W24" i="36"/>
  <c r="N25" i="37"/>
  <c r="N23" i="37"/>
  <c r="N26" i="37"/>
  <c r="N24" i="37"/>
  <c r="N22" i="37"/>
  <c r="N27" i="37"/>
  <c r="AA33" i="38"/>
  <c r="AA36" i="38"/>
  <c r="AA31" i="38"/>
  <c r="AA34" i="38"/>
  <c r="AA32" i="38"/>
  <c r="AA35" i="38"/>
  <c r="BK54" i="36"/>
  <c r="BC54" i="36"/>
  <c r="O39" i="39"/>
  <c r="N39" i="39"/>
  <c r="K44" i="26"/>
  <c r="K45" i="26"/>
  <c r="K40" i="26"/>
  <c r="K43" i="26"/>
  <c r="K41" i="26"/>
  <c r="K30" i="12"/>
  <c r="J30" i="12"/>
  <c r="O39" i="31"/>
  <c r="N39" i="31"/>
  <c r="O48" i="11"/>
  <c r="N48" i="11"/>
  <c r="O39" i="34"/>
  <c r="N39" i="34"/>
  <c r="O21" i="16"/>
  <c r="N21" i="16"/>
  <c r="W21" i="17"/>
  <c r="V21" i="17"/>
  <c r="S48" i="23"/>
  <c r="R48" i="23"/>
  <c r="O48" i="42"/>
  <c r="N48" i="42"/>
  <c r="F48" i="21"/>
  <c r="G48" i="21"/>
  <c r="F30" i="23"/>
  <c r="G30" i="23"/>
  <c r="S48" i="12"/>
  <c r="R48" i="12"/>
  <c r="S39" i="17"/>
  <c r="R39" i="17"/>
  <c r="S21" i="35"/>
  <c r="R21" i="35"/>
  <c r="W39" i="15"/>
  <c r="V39" i="15"/>
  <c r="W21" i="23"/>
  <c r="V21" i="23"/>
  <c r="G21" i="41"/>
  <c r="F21" i="41"/>
  <c r="S30" i="14"/>
  <c r="R30" i="14"/>
  <c r="S21" i="18"/>
  <c r="R21" i="18"/>
  <c r="S30" i="24"/>
  <c r="R30" i="24"/>
  <c r="R30" i="25"/>
  <c r="S30" i="25"/>
  <c r="K54" i="26"/>
  <c r="K49" i="26"/>
  <c r="K52" i="26"/>
  <c r="K50" i="26"/>
  <c r="K53" i="26"/>
  <c r="K23" i="29"/>
  <c r="K26" i="29"/>
  <c r="K24" i="29"/>
  <c r="K27" i="29"/>
  <c r="K22" i="29"/>
  <c r="K25" i="29"/>
  <c r="J42" i="32"/>
  <c r="J45" i="32"/>
  <c r="J40" i="32"/>
  <c r="J43" i="32"/>
  <c r="J41" i="32"/>
  <c r="J44" i="32"/>
  <c r="G39" i="32"/>
  <c r="F39" i="32"/>
  <c r="K48" i="34"/>
  <c r="J48" i="34"/>
  <c r="O49" i="37"/>
  <c r="O52" i="37"/>
  <c r="O50" i="37"/>
  <c r="O53" i="37"/>
  <c r="O54" i="37"/>
  <c r="O51" i="37"/>
  <c r="W48" i="38"/>
  <c r="V48" i="38"/>
  <c r="S49" i="41"/>
  <c r="S50" i="41"/>
  <c r="S53" i="41"/>
  <c r="S54" i="41"/>
  <c r="S52" i="41"/>
  <c r="S51" i="41"/>
  <c r="AA23" i="42"/>
  <c r="AA26" i="42"/>
  <c r="AA24" i="42"/>
  <c r="AA27" i="42"/>
  <c r="AA25" i="42"/>
  <c r="S30" i="27"/>
  <c r="R30" i="27"/>
  <c r="V48" i="29"/>
  <c r="W48" i="29"/>
  <c r="K21" i="13"/>
  <c r="J21" i="13"/>
  <c r="G30" i="15"/>
  <c r="F30" i="15"/>
  <c r="AA36" i="19"/>
  <c r="AA34" i="19"/>
  <c r="AA32" i="19"/>
  <c r="AA35" i="19"/>
  <c r="AA33" i="19"/>
  <c r="AA31" i="19"/>
  <c r="W32" i="21"/>
  <c r="W35" i="21"/>
  <c r="W33" i="21"/>
  <c r="W36" i="21"/>
  <c r="W31" i="21"/>
  <c r="W34" i="21"/>
  <c r="AA35" i="12"/>
  <c r="AA33" i="12"/>
  <c r="AA36" i="12"/>
  <c r="AA31" i="12"/>
  <c r="AA34" i="12"/>
  <c r="AA32" i="12"/>
  <c r="D59" i="6"/>
  <c r="C59" i="6"/>
  <c r="AM59" i="6" s="1"/>
  <c r="D123" i="6"/>
  <c r="C123" i="6"/>
  <c r="AM123" i="6" s="1"/>
  <c r="D187" i="6"/>
  <c r="C187" i="6"/>
  <c r="AM187" i="6" s="1"/>
  <c r="D62" i="6"/>
  <c r="C62" i="6"/>
  <c r="AM62" i="6" s="1"/>
  <c r="D126" i="6"/>
  <c r="C126" i="6"/>
  <c r="AM126" i="6" s="1"/>
  <c r="D190" i="6"/>
  <c r="C190" i="6"/>
  <c r="AM190" i="6" s="1"/>
  <c r="D65" i="6"/>
  <c r="C65" i="6"/>
  <c r="AM65" i="6" s="1"/>
  <c r="D129" i="6"/>
  <c r="C129" i="6"/>
  <c r="AM129" i="6" s="1"/>
  <c r="D193" i="6"/>
  <c r="C193" i="6"/>
  <c r="AM193" i="6" s="1"/>
  <c r="C40" i="6"/>
  <c r="AM40" i="6" s="1"/>
  <c r="D40" i="6"/>
  <c r="C100" i="6"/>
  <c r="AM100" i="6" s="1"/>
  <c r="D100" i="6"/>
  <c r="C164" i="6"/>
  <c r="AM164" i="6" s="1"/>
  <c r="D164" i="6"/>
  <c r="D63" i="6"/>
  <c r="C63" i="6"/>
  <c r="AM63" i="6" s="1"/>
  <c r="D127" i="6"/>
  <c r="C127" i="6"/>
  <c r="AM127" i="6" s="1"/>
  <c r="D191" i="6"/>
  <c r="C191" i="6"/>
  <c r="AM191" i="6" s="1"/>
  <c r="D38" i="6"/>
  <c r="C38" i="6"/>
  <c r="AM38" i="6" s="1"/>
  <c r="D82" i="6"/>
  <c r="C82" i="6"/>
  <c r="AM82" i="6" s="1"/>
  <c r="D146" i="6"/>
  <c r="C146" i="6"/>
  <c r="AM146" i="6" s="1"/>
  <c r="D61" i="6"/>
  <c r="C61" i="6"/>
  <c r="AM61" i="6" s="1"/>
  <c r="D125" i="6"/>
  <c r="C125" i="6"/>
  <c r="AM125" i="6" s="1"/>
  <c r="D189" i="6"/>
  <c r="C189" i="6"/>
  <c r="AM189" i="6" s="1"/>
  <c r="D52" i="6"/>
  <c r="C52" i="6"/>
  <c r="AM52" i="6" s="1"/>
  <c r="D112" i="6"/>
  <c r="C112" i="6"/>
  <c r="AM112" i="6" s="1"/>
  <c r="D176" i="6"/>
  <c r="C176" i="6"/>
  <c r="AM176" i="6" s="1"/>
  <c r="R50" i="15"/>
  <c r="R53" i="15"/>
  <c r="R51" i="15"/>
  <c r="R54" i="15"/>
  <c r="R49" i="15"/>
  <c r="R52" i="15"/>
  <c r="AA25" i="15"/>
  <c r="AA23" i="15"/>
  <c r="AA26" i="15"/>
  <c r="AA24" i="15"/>
  <c r="AA27" i="15"/>
  <c r="AA22" i="15"/>
  <c r="AA23" i="17"/>
  <c r="AA26" i="17"/>
  <c r="AA24" i="17"/>
  <c r="AA27" i="17"/>
  <c r="AA25" i="17"/>
  <c r="BC43" i="21"/>
  <c r="BK43" i="21"/>
  <c r="AA43" i="20"/>
  <c r="AA44" i="20"/>
  <c r="AA45" i="20"/>
  <c r="AA40" i="20"/>
  <c r="AA42" i="20"/>
  <c r="K48" i="21"/>
  <c r="J48" i="21"/>
  <c r="O21" i="28"/>
  <c r="N21" i="28"/>
  <c r="S21" i="30"/>
  <c r="R21" i="30"/>
  <c r="Z42" i="32"/>
  <c r="Z45" i="32"/>
  <c r="Z40" i="32"/>
  <c r="Z43" i="32"/>
  <c r="Z41" i="32"/>
  <c r="Z44" i="32"/>
  <c r="Z54" i="34"/>
  <c r="Z50" i="34"/>
  <c r="Z53" i="34"/>
  <c r="Z51" i="34"/>
  <c r="Z49" i="34"/>
  <c r="Z52" i="34"/>
  <c r="O30" i="36"/>
  <c r="N30" i="36"/>
  <c r="AA45" i="36"/>
  <c r="AA44" i="36"/>
  <c r="AA43" i="36"/>
  <c r="AA42" i="36"/>
  <c r="AA40" i="36"/>
  <c r="AA41" i="36"/>
  <c r="AA42" i="39"/>
  <c r="AA45" i="39"/>
  <c r="AA43" i="39"/>
  <c r="AA44" i="39"/>
  <c r="AA41" i="39"/>
  <c r="AA40" i="39"/>
  <c r="S34" i="42"/>
  <c r="S32" i="42"/>
  <c r="S35" i="42"/>
  <c r="S33" i="42"/>
  <c r="S36" i="42"/>
  <c r="AA52" i="38"/>
  <c r="AA50" i="38"/>
  <c r="AA53" i="38"/>
  <c r="AA51" i="38"/>
  <c r="AA54" i="38"/>
  <c r="AA49" i="38"/>
  <c r="AA25" i="14"/>
  <c r="AA33" i="14"/>
  <c r="AA36" i="14"/>
  <c r="AA34" i="14"/>
  <c r="AA32" i="14"/>
  <c r="AA35" i="14"/>
  <c r="AA21" i="18"/>
  <c r="Z21" i="18"/>
  <c r="AY32" i="26"/>
  <c r="BG32" i="26"/>
  <c r="G39" i="24"/>
  <c r="F39" i="24"/>
  <c r="AA39" i="27"/>
  <c r="Z39" i="27"/>
  <c r="Z49" i="29"/>
  <c r="Z52" i="29"/>
  <c r="Z53" i="29"/>
  <c r="Z54" i="29"/>
  <c r="Z51" i="29"/>
  <c r="Z50" i="29"/>
  <c r="AA35" i="30"/>
  <c r="AA33" i="30"/>
  <c r="AA36" i="30"/>
  <c r="AA34" i="30"/>
  <c r="AA31" i="30"/>
  <c r="S32" i="34"/>
  <c r="S35" i="34"/>
  <c r="S33" i="34"/>
  <c r="S36" i="34"/>
  <c r="S31" i="34"/>
  <c r="S34" i="34"/>
  <c r="F50" i="37"/>
  <c r="F53" i="37"/>
  <c r="F51" i="37"/>
  <c r="F54" i="37"/>
  <c r="F49" i="37"/>
  <c r="F52" i="37"/>
  <c r="AA35" i="39"/>
  <c r="AA36" i="39"/>
  <c r="AA34" i="39"/>
  <c r="AA32" i="39"/>
  <c r="AA33" i="39"/>
  <c r="AA31" i="39"/>
  <c r="G30" i="40"/>
  <c r="F30" i="40"/>
  <c r="K21" i="41"/>
  <c r="J21" i="41"/>
  <c r="V25" i="42"/>
  <c r="V23" i="42"/>
  <c r="V26" i="42"/>
  <c r="V24" i="42"/>
  <c r="V27" i="42"/>
  <c r="Z54" i="12"/>
  <c r="Z49" i="12"/>
  <c r="Z52" i="12"/>
  <c r="Z50" i="12"/>
  <c r="Z53" i="12"/>
  <c r="Z51" i="12"/>
  <c r="K21" i="14"/>
  <c r="J21" i="14"/>
  <c r="Z26" i="14"/>
  <c r="AE31" i="14"/>
  <c r="AD31" i="14" s="1"/>
  <c r="AA31" i="14" s="1"/>
  <c r="AE22" i="14"/>
  <c r="AD22" i="14" s="1"/>
  <c r="AE49" i="14"/>
  <c r="AD49" i="14" s="1"/>
  <c r="AE40" i="14"/>
  <c r="AD40" i="14" s="1"/>
  <c r="AA48" i="13"/>
  <c r="Z48" i="13"/>
  <c r="V27" i="18"/>
  <c r="V25" i="18"/>
  <c r="V23" i="18"/>
  <c r="V26" i="18"/>
  <c r="V22" i="18"/>
  <c r="W21" i="22"/>
  <c r="V21" i="22"/>
  <c r="Z50" i="24"/>
  <c r="Z53" i="24"/>
  <c r="Z54" i="24"/>
  <c r="Z49" i="24"/>
  <c r="Z52" i="24"/>
  <c r="AE42" i="26"/>
  <c r="AD42" i="26" s="1"/>
  <c r="K42" i="26" s="1"/>
  <c r="AE33" i="26"/>
  <c r="AD33" i="26" s="1"/>
  <c r="AE24" i="26"/>
  <c r="AD24" i="26" s="1"/>
  <c r="AE51" i="26"/>
  <c r="AD51" i="26" s="1"/>
  <c r="G24" i="30"/>
  <c r="G27" i="30"/>
  <c r="G22" i="30"/>
  <c r="G25" i="30"/>
  <c r="G26" i="30"/>
  <c r="W30" i="28"/>
  <c r="V30" i="28"/>
  <c r="AA50" i="28"/>
  <c r="AA53" i="28"/>
  <c r="AA51" i="28"/>
  <c r="AA54" i="28"/>
  <c r="AA49" i="28"/>
  <c r="AA52" i="28"/>
  <c r="R22" i="34"/>
  <c r="R25" i="34"/>
  <c r="R23" i="34"/>
  <c r="R26" i="34"/>
  <c r="R24" i="34"/>
  <c r="R27" i="34"/>
  <c r="G21" i="34"/>
  <c r="F21" i="34"/>
  <c r="R31" i="38"/>
  <c r="R34" i="38"/>
  <c r="R32" i="38"/>
  <c r="R35" i="38"/>
  <c r="R33" i="38"/>
  <c r="R36" i="38"/>
  <c r="R30" i="37"/>
  <c r="S30" i="37"/>
  <c r="AA39" i="41"/>
  <c r="Z39" i="41"/>
  <c r="S51" i="42"/>
  <c r="S53" i="42"/>
  <c r="S52" i="42"/>
  <c r="S54" i="42"/>
  <c r="S50" i="42"/>
  <c r="Z34" i="33"/>
  <c r="Z32" i="33"/>
  <c r="Z35" i="33"/>
  <c r="Z33" i="33"/>
  <c r="Z36" i="33"/>
  <c r="Z31" i="33"/>
  <c r="J21" i="40"/>
  <c r="K21" i="40"/>
  <c r="J35" i="10"/>
  <c r="J33" i="10"/>
  <c r="J31" i="10"/>
  <c r="J36" i="10"/>
  <c r="J34" i="10"/>
  <c r="J32" i="10"/>
  <c r="W52" i="11"/>
  <c r="W50" i="11"/>
  <c r="W53" i="11"/>
  <c r="W51" i="11"/>
  <c r="W54" i="11"/>
  <c r="AE42" i="18"/>
  <c r="AD42" i="18" s="1"/>
  <c r="AE33" i="18"/>
  <c r="AD33" i="18" s="1"/>
  <c r="AE24" i="18"/>
  <c r="AD24" i="18" s="1"/>
  <c r="V24" i="18" s="1"/>
  <c r="AE51" i="18"/>
  <c r="AD51" i="18" s="1"/>
  <c r="W51" i="18" s="1"/>
  <c r="V50" i="18"/>
  <c r="V54" i="18"/>
  <c r="V49" i="18"/>
  <c r="V52" i="18"/>
  <c r="V53" i="18"/>
  <c r="O30" i="22"/>
  <c r="N30" i="22"/>
  <c r="BA26" i="21"/>
  <c r="BI26" i="21"/>
  <c r="Z31" i="22"/>
  <c r="Z32" i="22"/>
  <c r="Z35" i="22"/>
  <c r="Z33" i="22"/>
  <c r="Z36" i="22"/>
  <c r="O49" i="30"/>
  <c r="O52" i="30"/>
  <c r="O53" i="30"/>
  <c r="O51" i="30"/>
  <c r="O54" i="30"/>
  <c r="W53" i="30"/>
  <c r="W51" i="30"/>
  <c r="W54" i="30"/>
  <c r="W49" i="30"/>
  <c r="W52" i="30"/>
  <c r="J26" i="38"/>
  <c r="J24" i="38"/>
  <c r="J27" i="38"/>
  <c r="J22" i="38"/>
  <c r="J25" i="38"/>
  <c r="J23" i="38"/>
  <c r="G30" i="39"/>
  <c r="F30" i="39"/>
  <c r="S41" i="41"/>
  <c r="G53" i="30"/>
  <c r="G51" i="30"/>
  <c r="G54" i="30"/>
  <c r="G49" i="30"/>
  <c r="G52" i="30"/>
  <c r="V39" i="40"/>
  <c r="W39" i="40"/>
  <c r="G48" i="13"/>
  <c r="F48" i="13"/>
  <c r="Z40" i="16"/>
  <c r="Z43" i="16"/>
  <c r="Z41" i="16"/>
  <c r="Z44" i="16"/>
  <c r="Z42" i="16"/>
  <c r="Z45" i="16"/>
  <c r="S30" i="19"/>
  <c r="R30" i="19"/>
  <c r="O21" i="21"/>
  <c r="N21" i="21"/>
  <c r="Z26" i="25"/>
  <c r="Z27" i="25"/>
  <c r="Z25" i="25"/>
  <c r="Z23" i="25"/>
  <c r="Z24" i="25"/>
  <c r="BC49" i="30"/>
  <c r="BK49" i="30"/>
  <c r="J42" i="29"/>
  <c r="J45" i="29"/>
  <c r="J40" i="29"/>
  <c r="J43" i="29"/>
  <c r="J41" i="29"/>
  <c r="J44" i="29"/>
  <c r="BC25" i="28"/>
  <c r="BK25" i="28"/>
  <c r="S48" i="29"/>
  <c r="R48" i="29"/>
  <c r="J50" i="31"/>
  <c r="J53" i="31"/>
  <c r="J51" i="31"/>
  <c r="J54" i="31"/>
  <c r="J52" i="31"/>
  <c r="W21" i="31"/>
  <c r="V21" i="31"/>
  <c r="W41" i="36"/>
  <c r="W45" i="36"/>
  <c r="W43" i="36"/>
  <c r="W42" i="36"/>
  <c r="W44" i="36"/>
  <c r="W40" i="36"/>
  <c r="N32" i="37"/>
  <c r="N35" i="37"/>
  <c r="N33" i="37"/>
  <c r="N36" i="37"/>
  <c r="N31" i="37"/>
  <c r="N34" i="37"/>
  <c r="Z51" i="37"/>
  <c r="Z54" i="37"/>
  <c r="Z49" i="37"/>
  <c r="Z52" i="37"/>
  <c r="Z53" i="37"/>
  <c r="Z50" i="37"/>
  <c r="V24" i="37"/>
  <c r="V27" i="37"/>
  <c r="V22" i="37"/>
  <c r="V25" i="37"/>
  <c r="V26" i="37"/>
  <c r="V23" i="37"/>
  <c r="V51" i="42"/>
  <c r="V54" i="42"/>
  <c r="V50" i="42"/>
  <c r="V52" i="42"/>
  <c r="V53" i="42"/>
  <c r="R41" i="42"/>
  <c r="R45" i="42"/>
  <c r="R44" i="42"/>
  <c r="R42" i="42"/>
  <c r="R43" i="42"/>
  <c r="Z44" i="15"/>
  <c r="Z42" i="15"/>
  <c r="Z45" i="15"/>
  <c r="Z40" i="15"/>
  <c r="Z43" i="15"/>
  <c r="Z41" i="15"/>
  <c r="O39" i="15"/>
  <c r="N39" i="15"/>
  <c r="O48" i="17"/>
  <c r="N48" i="17"/>
  <c r="G21" i="22"/>
  <c r="F21" i="22"/>
  <c r="AA27" i="24"/>
  <c r="AA22" i="24"/>
  <c r="AA25" i="24"/>
  <c r="AA23" i="24"/>
  <c r="AA26" i="24"/>
  <c r="K39" i="28"/>
  <c r="J39" i="28"/>
  <c r="K35" i="29"/>
  <c r="K33" i="29"/>
  <c r="K36" i="29"/>
  <c r="K31" i="29"/>
  <c r="K34" i="29"/>
  <c r="K32" i="29"/>
  <c r="O48" i="33"/>
  <c r="N48" i="33"/>
  <c r="W48" i="34"/>
  <c r="V48" i="34"/>
  <c r="O23" i="37"/>
  <c r="O26" i="37"/>
  <c r="O24" i="37"/>
  <c r="O27" i="37"/>
  <c r="O25" i="37"/>
  <c r="O22" i="37"/>
  <c r="BK53" i="36"/>
  <c r="BC53" i="36"/>
  <c r="BC24" i="39"/>
  <c r="BK24" i="39"/>
  <c r="O48" i="39"/>
  <c r="N48" i="39"/>
  <c r="AA36" i="31"/>
  <c r="AA34" i="31"/>
  <c r="AA32" i="31"/>
  <c r="AA35" i="31"/>
  <c r="AA33" i="31"/>
  <c r="J39" i="12"/>
  <c r="K39" i="12"/>
  <c r="G30" i="27"/>
  <c r="F30" i="27"/>
  <c r="O48" i="31"/>
  <c r="N48" i="31"/>
  <c r="R21" i="20"/>
  <c r="S21" i="20"/>
  <c r="O48" i="34"/>
  <c r="N48" i="34"/>
  <c r="O30" i="16"/>
  <c r="N30" i="16"/>
  <c r="O21" i="19"/>
  <c r="N21" i="19"/>
  <c r="O39" i="42"/>
  <c r="N39" i="42"/>
  <c r="F21" i="21"/>
  <c r="G21" i="21"/>
  <c r="R21" i="12"/>
  <c r="S21" i="12"/>
  <c r="S30" i="35"/>
  <c r="R30" i="35"/>
  <c r="W48" i="15"/>
  <c r="V48" i="15"/>
  <c r="V30" i="23"/>
  <c r="W30" i="23"/>
  <c r="G39" i="41"/>
  <c r="F39" i="41"/>
  <c r="Y25" i="10"/>
  <c r="W25" i="10"/>
  <c r="R25" i="10"/>
  <c r="T25" i="10"/>
  <c r="AA25" i="10"/>
  <c r="Z51" i="15"/>
  <c r="Z49" i="15"/>
  <c r="Z54" i="15"/>
  <c r="Z52" i="15"/>
  <c r="Z50" i="15"/>
  <c r="Z53" i="15"/>
  <c r="R39" i="24"/>
  <c r="S39" i="24"/>
  <c r="S39" i="25"/>
  <c r="R39" i="25"/>
  <c r="J51" i="26"/>
  <c r="J54" i="26"/>
  <c r="J49" i="26"/>
  <c r="J52" i="26"/>
  <c r="J50" i="26"/>
  <c r="J53" i="26"/>
  <c r="K45" i="32"/>
  <c r="K40" i="32"/>
  <c r="K43" i="32"/>
  <c r="K44" i="32"/>
  <c r="K42" i="32"/>
  <c r="K41" i="32"/>
  <c r="G48" i="32"/>
  <c r="F48" i="32"/>
  <c r="K21" i="34"/>
  <c r="J21" i="34"/>
  <c r="Z26" i="38"/>
  <c r="Z24" i="38"/>
  <c r="Z27" i="38"/>
  <c r="Z22" i="38"/>
  <c r="Z25" i="38"/>
  <c r="Z23" i="38"/>
  <c r="G30" i="19"/>
  <c r="F30" i="19"/>
  <c r="G30" i="28"/>
  <c r="F30" i="28"/>
  <c r="Z40" i="28"/>
  <c r="Z43" i="28"/>
  <c r="Z41" i="28"/>
  <c r="Z44" i="28"/>
  <c r="Z42" i="28"/>
  <c r="Z45" i="28"/>
  <c r="N26" i="10"/>
  <c r="N24" i="10"/>
  <c r="N22" i="10"/>
  <c r="N27" i="10"/>
  <c r="N25" i="10"/>
  <c r="N23" i="10"/>
  <c r="K30" i="13"/>
  <c r="J30" i="13"/>
  <c r="G39" i="15"/>
  <c r="F39" i="15"/>
  <c r="BC36" i="10"/>
  <c r="BK36" i="10"/>
  <c r="D67" i="6"/>
  <c r="C67" i="6"/>
  <c r="AM67" i="6" s="1"/>
  <c r="D131" i="6"/>
  <c r="C131" i="6"/>
  <c r="AM131" i="6" s="1"/>
  <c r="D195" i="6"/>
  <c r="C195" i="6"/>
  <c r="AM195" i="6" s="1"/>
  <c r="D70" i="6"/>
  <c r="C70" i="6"/>
  <c r="AM70" i="6" s="1"/>
  <c r="D134" i="6"/>
  <c r="C134" i="6"/>
  <c r="AM134" i="6" s="1"/>
  <c r="D198" i="6"/>
  <c r="C198" i="6"/>
  <c r="AM198" i="6" s="1"/>
  <c r="D73" i="6"/>
  <c r="C73" i="6"/>
  <c r="AM73" i="6" s="1"/>
  <c r="D137" i="6"/>
  <c r="C137" i="6"/>
  <c r="AM137" i="6" s="1"/>
  <c r="D201" i="6"/>
  <c r="C201" i="6"/>
  <c r="AM201" i="6" s="1"/>
  <c r="C44" i="6"/>
  <c r="AM44" i="6" s="1"/>
  <c r="D44" i="6"/>
  <c r="C108" i="6"/>
  <c r="AM108" i="6" s="1"/>
  <c r="D108" i="6"/>
  <c r="C172" i="6"/>
  <c r="AM172" i="6" s="1"/>
  <c r="D172" i="6"/>
  <c r="D71" i="6"/>
  <c r="C71" i="6"/>
  <c r="AM71" i="6" s="1"/>
  <c r="D135" i="6"/>
  <c r="C135" i="6"/>
  <c r="AM135" i="6" s="1"/>
  <c r="D199" i="6"/>
  <c r="C199" i="6"/>
  <c r="AM199" i="6" s="1"/>
  <c r="D41" i="6"/>
  <c r="C41" i="6"/>
  <c r="AM41" i="6" s="1"/>
  <c r="D90" i="6"/>
  <c r="C90" i="6"/>
  <c r="AM90" i="6" s="1"/>
  <c r="D154" i="6"/>
  <c r="C154" i="6"/>
  <c r="AM154" i="6" s="1"/>
  <c r="D69" i="6"/>
  <c r="C69" i="6"/>
  <c r="AM69" i="6" s="1"/>
  <c r="D133" i="6"/>
  <c r="C133" i="6"/>
  <c r="AM133" i="6" s="1"/>
  <c r="D197" i="6"/>
  <c r="C197" i="6"/>
  <c r="AM197" i="6" s="1"/>
  <c r="D56" i="6"/>
  <c r="C56" i="6"/>
  <c r="AM56" i="6" s="1"/>
  <c r="D120" i="6"/>
  <c r="C120" i="6"/>
  <c r="AM120" i="6" s="1"/>
  <c r="D184" i="6"/>
  <c r="C184" i="6"/>
  <c r="AM184" i="6" s="1"/>
  <c r="S54" i="15"/>
  <c r="S50" i="15"/>
  <c r="S53" i="15"/>
  <c r="S51" i="15"/>
  <c r="S49" i="15"/>
  <c r="S52" i="15"/>
  <c r="BC40" i="21"/>
  <c r="BK40" i="21"/>
  <c r="Z43" i="20"/>
  <c r="Z44" i="20"/>
  <c r="Z45" i="20"/>
  <c r="Z40" i="20"/>
  <c r="Z42" i="20"/>
  <c r="O30" i="28"/>
  <c r="N30" i="28"/>
  <c r="R30" i="30"/>
  <c r="S30" i="30"/>
  <c r="AA45" i="32"/>
  <c r="AA40" i="32"/>
  <c r="AA43" i="32"/>
  <c r="AA44" i="32"/>
  <c r="AA42" i="32"/>
  <c r="AA41" i="32"/>
  <c r="AA50" i="34"/>
  <c r="AA53" i="34"/>
  <c r="AA51" i="34"/>
  <c r="AA49" i="34"/>
  <c r="AA52" i="34"/>
  <c r="AA54" i="34"/>
  <c r="K48" i="35"/>
  <c r="J48" i="35"/>
  <c r="Z42" i="38"/>
  <c r="Z45" i="38"/>
  <c r="Z40" i="38"/>
  <c r="Z43" i="38"/>
  <c r="Z41" i="38"/>
  <c r="Z44" i="38"/>
  <c r="V43" i="37"/>
  <c r="V41" i="37"/>
  <c r="V44" i="37"/>
  <c r="V42" i="37"/>
  <c r="V40" i="37"/>
  <c r="V45" i="37"/>
  <c r="R26" i="41"/>
  <c r="R22" i="41"/>
  <c r="R27" i="41"/>
  <c r="R23" i="41"/>
  <c r="R24" i="41"/>
  <c r="R25" i="41"/>
  <c r="R33" i="41"/>
  <c r="R34" i="41"/>
  <c r="R35" i="41"/>
  <c r="R31" i="41"/>
  <c r="R36" i="41"/>
  <c r="R32" i="41"/>
  <c r="J53" i="10"/>
  <c r="J51" i="10"/>
  <c r="J49" i="10"/>
  <c r="J54" i="10"/>
  <c r="J52" i="10"/>
  <c r="J50" i="10"/>
  <c r="R23" i="13"/>
  <c r="R26" i="13"/>
  <c r="R24" i="13"/>
  <c r="R27" i="13"/>
  <c r="R22" i="13"/>
  <c r="R25" i="13"/>
  <c r="Z33" i="14"/>
  <c r="Z36" i="14"/>
  <c r="Z31" i="14"/>
  <c r="Z34" i="14"/>
  <c r="Z32" i="14"/>
  <c r="Z35" i="14"/>
  <c r="V36" i="18"/>
  <c r="V34" i="18"/>
  <c r="V32" i="18"/>
  <c r="V35" i="18"/>
  <c r="V33" i="18"/>
  <c r="V31" i="18"/>
  <c r="AE25" i="22"/>
  <c r="AD25" i="22" s="1"/>
  <c r="AE52" i="22"/>
  <c r="AD52" i="22" s="1"/>
  <c r="AE43" i="22"/>
  <c r="AD43" i="22" s="1"/>
  <c r="AE34" i="22"/>
  <c r="AD34" i="22" s="1"/>
  <c r="Z34" i="22" s="1"/>
  <c r="Z25" i="21"/>
  <c r="Z23" i="21"/>
  <c r="Z26" i="21"/>
  <c r="Z27" i="21"/>
  <c r="Z24" i="21"/>
  <c r="Z22" i="21"/>
  <c r="AY34" i="26"/>
  <c r="BG34" i="26"/>
  <c r="G48" i="24"/>
  <c r="F48" i="24"/>
  <c r="AA21" i="27"/>
  <c r="Z21" i="27"/>
  <c r="AA52" i="29"/>
  <c r="AA51" i="29"/>
  <c r="AA54" i="29"/>
  <c r="AA50" i="29"/>
  <c r="AA49" i="29"/>
  <c r="AA53" i="29"/>
  <c r="V36" i="30"/>
  <c r="V31" i="30"/>
  <c r="V34" i="30"/>
  <c r="V35" i="30"/>
  <c r="V33" i="30"/>
  <c r="W39" i="33"/>
  <c r="V39" i="33"/>
  <c r="G53" i="37"/>
  <c r="G51" i="37"/>
  <c r="G54" i="37"/>
  <c r="G49" i="37"/>
  <c r="G52" i="37"/>
  <c r="G50" i="37"/>
  <c r="F39" i="40"/>
  <c r="G39" i="40"/>
  <c r="R24" i="42"/>
  <c r="R27" i="42"/>
  <c r="R25" i="42"/>
  <c r="R23" i="42"/>
  <c r="R26" i="42"/>
  <c r="W25" i="42"/>
  <c r="W23" i="42"/>
  <c r="W26" i="42"/>
  <c r="W24" i="42"/>
  <c r="W27" i="42"/>
  <c r="AA49" i="12"/>
  <c r="AA52" i="12"/>
  <c r="AA50" i="12"/>
  <c r="AA53" i="12"/>
  <c r="AA51" i="12"/>
  <c r="AA54" i="12"/>
  <c r="J30" i="14"/>
  <c r="K30" i="14"/>
  <c r="Z23" i="14"/>
  <c r="Z26" i="16"/>
  <c r="Z24" i="16"/>
  <c r="Z27" i="16"/>
  <c r="Z22" i="16"/>
  <c r="Z25" i="16"/>
  <c r="Z23" i="16"/>
  <c r="W24" i="18"/>
  <c r="W22" i="18"/>
  <c r="W26" i="18"/>
  <c r="W27" i="18"/>
  <c r="W25" i="18"/>
  <c r="W23" i="18"/>
  <c r="Z25" i="20"/>
  <c r="Z26" i="20"/>
  <c r="Z24" i="20"/>
  <c r="Z27" i="20"/>
  <c r="Z22" i="20"/>
  <c r="W30" i="22"/>
  <c r="V30" i="22"/>
  <c r="AA53" i="24"/>
  <c r="AA54" i="24"/>
  <c r="AA49" i="24"/>
  <c r="AA52" i="24"/>
  <c r="AA50" i="24"/>
  <c r="F24" i="30"/>
  <c r="F27" i="30"/>
  <c r="F22" i="30"/>
  <c r="F25" i="30"/>
  <c r="F26" i="30"/>
  <c r="W39" i="28"/>
  <c r="V39" i="28"/>
  <c r="BC25" i="34"/>
  <c r="BK25" i="34"/>
  <c r="S25" i="34"/>
  <c r="S23" i="34"/>
  <c r="S26" i="34"/>
  <c r="S24" i="34"/>
  <c r="S27" i="34"/>
  <c r="S22" i="34"/>
  <c r="S34" i="38"/>
  <c r="S32" i="38"/>
  <c r="S35" i="38"/>
  <c r="S33" i="38"/>
  <c r="S36" i="38"/>
  <c r="S31" i="38"/>
  <c r="S39" i="37"/>
  <c r="R39" i="37"/>
  <c r="AE49" i="42"/>
  <c r="AD49" i="42" s="1"/>
  <c r="S49" i="42" s="1"/>
  <c r="AE31" i="42"/>
  <c r="AD31" i="42" s="1"/>
  <c r="AE40" i="42"/>
  <c r="AD40" i="42" s="1"/>
  <c r="AE22" i="42"/>
  <c r="AD22" i="42" s="1"/>
  <c r="AA22" i="42" s="1"/>
  <c r="AA32" i="33"/>
  <c r="AA35" i="33"/>
  <c r="AA33" i="33"/>
  <c r="AA36" i="33"/>
  <c r="AA31" i="33"/>
  <c r="AA34" i="33"/>
  <c r="K39" i="40"/>
  <c r="J39" i="40"/>
  <c r="K35" i="10"/>
  <c r="K33" i="10"/>
  <c r="K31" i="10"/>
  <c r="K36" i="10"/>
  <c r="K34" i="10"/>
  <c r="K32" i="10"/>
  <c r="Z50" i="16"/>
  <c r="Z53" i="16"/>
  <c r="Z51" i="16"/>
  <c r="Z54" i="16"/>
  <c r="Z49" i="16"/>
  <c r="Z52" i="16"/>
  <c r="G21" i="18"/>
  <c r="F21" i="18"/>
  <c r="O39" i="22"/>
  <c r="N39" i="22"/>
  <c r="AA34" i="22"/>
  <c r="AA32" i="22"/>
  <c r="AA35" i="22"/>
  <c r="AA33" i="22"/>
  <c r="AA36" i="22"/>
  <c r="AA31" i="22"/>
  <c r="K23" i="38"/>
  <c r="K26" i="38"/>
  <c r="K24" i="38"/>
  <c r="K27" i="38"/>
  <c r="K25" i="38"/>
  <c r="K22" i="38"/>
  <c r="R24" i="38"/>
  <c r="R27" i="38"/>
  <c r="R22" i="38"/>
  <c r="R25" i="38"/>
  <c r="R23" i="38"/>
  <c r="R26" i="38"/>
  <c r="V36" i="37"/>
  <c r="V31" i="37"/>
  <c r="V34" i="37"/>
  <c r="V32" i="37"/>
  <c r="V35" i="37"/>
  <c r="V33" i="37"/>
  <c r="G48" i="39"/>
  <c r="F48" i="39"/>
  <c r="J26" i="31"/>
  <c r="J24" i="31"/>
  <c r="J27" i="31"/>
  <c r="J25" i="31"/>
  <c r="J23" i="31"/>
  <c r="W48" i="40"/>
  <c r="V48" i="40"/>
  <c r="Z26" i="11"/>
  <c r="Z24" i="11"/>
  <c r="Z27" i="11"/>
  <c r="Z25" i="11"/>
  <c r="Z23" i="11"/>
  <c r="AA43" i="16"/>
  <c r="AA41" i="16"/>
  <c r="AA44" i="16"/>
  <c r="AA42" i="16"/>
  <c r="AA45" i="16"/>
  <c r="AA40" i="16"/>
  <c r="N30" i="21"/>
  <c r="O30" i="21"/>
  <c r="V45" i="24"/>
  <c r="V40" i="24"/>
  <c r="V43" i="24"/>
  <c r="V41" i="24"/>
  <c r="V44" i="24"/>
  <c r="BC54" i="30"/>
  <c r="BK54" i="30"/>
  <c r="BB40" i="30"/>
  <c r="BJ40" i="30"/>
  <c r="Z22" i="28"/>
  <c r="S30" i="29"/>
  <c r="R30" i="29"/>
  <c r="K50" i="31"/>
  <c r="K53" i="31"/>
  <c r="K51" i="31"/>
  <c r="K54" i="31"/>
  <c r="K52" i="31"/>
  <c r="W30" i="31"/>
  <c r="V30" i="31"/>
  <c r="O35" i="37"/>
  <c r="O33" i="37"/>
  <c r="O36" i="37"/>
  <c r="O31" i="37"/>
  <c r="O34" i="37"/>
  <c r="O32" i="37"/>
  <c r="K30" i="39"/>
  <c r="J30" i="39"/>
  <c r="BI43" i="41"/>
  <c r="BA43" i="41"/>
  <c r="W54" i="42"/>
  <c r="W49" i="42"/>
  <c r="W53" i="42"/>
  <c r="W52" i="42"/>
  <c r="W51" i="42"/>
  <c r="W50" i="42"/>
  <c r="Z32" i="42"/>
  <c r="S44" i="42"/>
  <c r="S40" i="42"/>
  <c r="S41" i="42"/>
  <c r="S45" i="42"/>
  <c r="S42" i="42"/>
  <c r="S43" i="42"/>
  <c r="AA42" i="15"/>
  <c r="AA45" i="15"/>
  <c r="AA40" i="15"/>
  <c r="AA43" i="15"/>
  <c r="AA41" i="15"/>
  <c r="AA44" i="15"/>
  <c r="S39" i="11"/>
  <c r="R39" i="11"/>
  <c r="O48" i="15"/>
  <c r="N48" i="15"/>
  <c r="O21" i="17"/>
  <c r="N21" i="17"/>
  <c r="Z50" i="19"/>
  <c r="Z53" i="19"/>
  <c r="Z51" i="19"/>
  <c r="Z54" i="19"/>
  <c r="Z49" i="19"/>
  <c r="Z52" i="19"/>
  <c r="G30" i="22"/>
  <c r="F30" i="22"/>
  <c r="Z27" i="24"/>
  <c r="Z22" i="24"/>
  <c r="Z25" i="24"/>
  <c r="Z23" i="24"/>
  <c r="Z26" i="24"/>
  <c r="W39" i="26"/>
  <c r="V39" i="26"/>
  <c r="Z50" i="31"/>
  <c r="Z53" i="31"/>
  <c r="Z51" i="31"/>
  <c r="Z54" i="31"/>
  <c r="Z52" i="31"/>
  <c r="R23" i="33"/>
  <c r="R26" i="33"/>
  <c r="R24" i="33"/>
  <c r="R27" i="33"/>
  <c r="R22" i="33"/>
  <c r="R25" i="33"/>
  <c r="O21" i="33"/>
  <c r="N21" i="33"/>
  <c r="W21" i="34"/>
  <c r="V21" i="34"/>
  <c r="BC52" i="36"/>
  <c r="BK52" i="36"/>
  <c r="O30" i="39"/>
  <c r="N30" i="39"/>
  <c r="Z33" i="31"/>
  <c r="Z36" i="31"/>
  <c r="Z34" i="31"/>
  <c r="Z32" i="31"/>
  <c r="Z35" i="31"/>
  <c r="K48" i="12"/>
  <c r="J48" i="12"/>
  <c r="G39" i="27"/>
  <c r="F39" i="27"/>
  <c r="S30" i="20"/>
  <c r="R30" i="20"/>
  <c r="O39" i="16"/>
  <c r="N39" i="16"/>
  <c r="O30" i="19"/>
  <c r="N30" i="19"/>
  <c r="R21" i="32"/>
  <c r="S21" i="32"/>
  <c r="S39" i="36"/>
  <c r="R39" i="36"/>
  <c r="G30" i="21"/>
  <c r="F30" i="21"/>
  <c r="K30" i="36"/>
  <c r="J30" i="36"/>
  <c r="S30" i="12"/>
  <c r="R30" i="12"/>
  <c r="O21" i="27"/>
  <c r="N21" i="27"/>
  <c r="W21" i="15"/>
  <c r="V21" i="15"/>
  <c r="W39" i="23"/>
  <c r="V39" i="23"/>
  <c r="G48" i="41"/>
  <c r="F48" i="41"/>
  <c r="W30" i="14"/>
  <c r="V30" i="14"/>
  <c r="AA54" i="15"/>
  <c r="AA49" i="15"/>
  <c r="AA52" i="15"/>
  <c r="AA50" i="15"/>
  <c r="AA53" i="15"/>
  <c r="AA51" i="15"/>
  <c r="S39" i="18"/>
  <c r="R39" i="18"/>
  <c r="AA43" i="10"/>
  <c r="W43" i="10"/>
  <c r="T43" i="10"/>
  <c r="R43" i="10"/>
  <c r="Y43" i="10"/>
  <c r="Z43" i="11"/>
  <c r="Z41" i="11"/>
  <c r="Z44" i="11"/>
  <c r="Z42" i="11"/>
  <c r="Z45" i="11"/>
  <c r="K30" i="25"/>
  <c r="J30" i="25"/>
  <c r="K30" i="34"/>
  <c r="J30" i="34"/>
  <c r="AA23" i="38"/>
  <c r="AA26" i="38"/>
  <c r="AA24" i="38"/>
  <c r="AA27" i="38"/>
  <c r="AA25" i="38"/>
  <c r="AA22" i="38"/>
  <c r="G39" i="28"/>
  <c r="F39" i="28"/>
  <c r="AA43" i="28"/>
  <c r="AA41" i="28"/>
  <c r="AA44" i="28"/>
  <c r="AA42" i="28"/>
  <c r="AA45" i="28"/>
  <c r="AA40" i="28"/>
  <c r="O26" i="10"/>
  <c r="O24" i="10"/>
  <c r="O22" i="10"/>
  <c r="O27" i="10"/>
  <c r="O25" i="10"/>
  <c r="O23" i="10"/>
  <c r="W30" i="12"/>
  <c r="V30" i="12"/>
  <c r="N52" i="12"/>
  <c r="N50" i="12"/>
  <c r="N53" i="12"/>
  <c r="N51" i="12"/>
  <c r="N54" i="12"/>
  <c r="N49" i="12"/>
  <c r="Z33" i="11"/>
  <c r="Z34" i="11"/>
  <c r="Z32" i="11"/>
  <c r="Z35" i="11"/>
  <c r="Z36" i="11"/>
  <c r="D75" i="6"/>
  <c r="C75" i="6"/>
  <c r="AM75" i="6" s="1"/>
  <c r="D139" i="6"/>
  <c r="C139" i="6"/>
  <c r="AM139" i="6" s="1"/>
  <c r="D19" i="6"/>
  <c r="C19" i="6"/>
  <c r="AM19" i="6" s="1"/>
  <c r="D78" i="6"/>
  <c r="C78" i="6"/>
  <c r="AM78" i="6" s="1"/>
  <c r="D142" i="6"/>
  <c r="C142" i="6"/>
  <c r="AM142" i="6" s="1"/>
  <c r="D14" i="6"/>
  <c r="C14" i="6"/>
  <c r="AM14" i="6" s="1"/>
  <c r="D81" i="6"/>
  <c r="C81" i="6"/>
  <c r="AM81" i="6" s="1"/>
  <c r="D145" i="6"/>
  <c r="C145" i="6"/>
  <c r="AM145" i="6" s="1"/>
  <c r="D25" i="6"/>
  <c r="C25" i="6"/>
  <c r="AM25" i="6" s="1"/>
  <c r="C54" i="6"/>
  <c r="AM54" i="6" s="1"/>
  <c r="D54" i="6"/>
  <c r="C116" i="6"/>
  <c r="AM116" i="6" s="1"/>
  <c r="D116" i="6"/>
  <c r="C180" i="6"/>
  <c r="AM180" i="6" s="1"/>
  <c r="D180" i="6"/>
  <c r="D79" i="6"/>
  <c r="C79" i="6"/>
  <c r="AM79" i="6" s="1"/>
  <c r="D143" i="6"/>
  <c r="C143" i="6"/>
  <c r="AM143" i="6" s="1"/>
  <c r="C12" i="6"/>
  <c r="AM12" i="6" s="1"/>
  <c r="D12" i="6"/>
  <c r="D45" i="6"/>
  <c r="C45" i="6"/>
  <c r="AM45" i="6" s="1"/>
  <c r="D98" i="6"/>
  <c r="C98" i="6"/>
  <c r="AM98" i="6" s="1"/>
  <c r="D162" i="6"/>
  <c r="C162" i="6"/>
  <c r="AM162" i="6" s="1"/>
  <c r="D77" i="6"/>
  <c r="C77" i="6"/>
  <c r="AM77" i="6" s="1"/>
  <c r="D141" i="6"/>
  <c r="C141" i="6"/>
  <c r="AM141" i="6" s="1"/>
  <c r="D32" i="6"/>
  <c r="C32" i="6"/>
  <c r="AM32" i="6" s="1"/>
  <c r="D64" i="6"/>
  <c r="C64" i="6"/>
  <c r="AM64" i="6" s="1"/>
  <c r="D128" i="6"/>
  <c r="C128" i="6"/>
  <c r="AM128" i="6" s="1"/>
  <c r="D192" i="6"/>
  <c r="C192" i="6"/>
  <c r="AM192" i="6" s="1"/>
  <c r="V42" i="11"/>
  <c r="V45" i="11"/>
  <c r="V43" i="11"/>
  <c r="V41" i="11"/>
  <c r="V44" i="11"/>
  <c r="K48" i="11"/>
  <c r="J48" i="11"/>
  <c r="BC45" i="21"/>
  <c r="BK45" i="21"/>
  <c r="O39" i="28"/>
  <c r="N39" i="28"/>
  <c r="S39" i="30"/>
  <c r="R39" i="30"/>
  <c r="J49" i="38"/>
  <c r="J52" i="38"/>
  <c r="J50" i="38"/>
  <c r="J53" i="38"/>
  <c r="J51" i="38"/>
  <c r="J54" i="38"/>
  <c r="K21" i="35"/>
  <c r="J21" i="35"/>
  <c r="AA45" i="38"/>
  <c r="AA40" i="38"/>
  <c r="AA43" i="38"/>
  <c r="AA41" i="38"/>
  <c r="AA44" i="38"/>
  <c r="AA42" i="38"/>
  <c r="W41" i="37"/>
  <c r="W44" i="37"/>
  <c r="W42" i="37"/>
  <c r="W45" i="37"/>
  <c r="W43" i="37"/>
  <c r="W40" i="37"/>
  <c r="S25" i="41"/>
  <c r="S26" i="41"/>
  <c r="S22" i="41"/>
  <c r="S27" i="41"/>
  <c r="S23" i="41"/>
  <c r="S24" i="41"/>
  <c r="S36" i="41"/>
  <c r="S32" i="41"/>
  <c r="S34" i="41"/>
  <c r="S35" i="41"/>
  <c r="S31" i="41"/>
  <c r="S33" i="41"/>
  <c r="K54" i="10"/>
  <c r="K52" i="10"/>
  <c r="K50" i="10"/>
  <c r="K49" i="10"/>
  <c r="K51" i="10"/>
  <c r="K53" i="10"/>
  <c r="S23" i="13"/>
  <c r="S26" i="13"/>
  <c r="S24" i="13"/>
  <c r="S27" i="13"/>
  <c r="S22" i="13"/>
  <c r="S25" i="13"/>
  <c r="W31" i="18"/>
  <c r="W35" i="18"/>
  <c r="W33" i="18"/>
  <c r="W32" i="18"/>
  <c r="W34" i="18"/>
  <c r="W36" i="18"/>
  <c r="O21" i="20"/>
  <c r="N21" i="20"/>
  <c r="Z53" i="22"/>
  <c r="Z51" i="22"/>
  <c r="Z54" i="22"/>
  <c r="Z49" i="22"/>
  <c r="Z52" i="22"/>
  <c r="Z50" i="22"/>
  <c r="AA23" i="21"/>
  <c r="AA26" i="21"/>
  <c r="AA24" i="21"/>
  <c r="AA22" i="21"/>
  <c r="AA27" i="21"/>
  <c r="AA25" i="21"/>
  <c r="V35" i="25"/>
  <c r="V36" i="25"/>
  <c r="V34" i="25"/>
  <c r="V32" i="25"/>
  <c r="V33" i="25"/>
  <c r="G21" i="24"/>
  <c r="F21" i="24"/>
  <c r="AA48" i="27"/>
  <c r="Z48" i="27"/>
  <c r="N35" i="30"/>
  <c r="N33" i="30"/>
  <c r="N36" i="30"/>
  <c r="N31" i="30"/>
  <c r="N34" i="30"/>
  <c r="W31" i="30"/>
  <c r="W34" i="30"/>
  <c r="W35" i="30"/>
  <c r="W33" i="30"/>
  <c r="W36" i="30"/>
  <c r="W48" i="33"/>
  <c r="V48" i="33"/>
  <c r="Z41" i="37"/>
  <c r="Z44" i="37"/>
  <c r="Z42" i="37"/>
  <c r="Z45" i="37"/>
  <c r="Z40" i="37"/>
  <c r="Z43" i="37"/>
  <c r="G48" i="40"/>
  <c r="F48" i="40"/>
  <c r="S27" i="42"/>
  <c r="S22" i="42"/>
  <c r="S25" i="42"/>
  <c r="S23" i="42"/>
  <c r="S26" i="42"/>
  <c r="S24" i="42"/>
  <c r="J35" i="32"/>
  <c r="J33" i="32"/>
  <c r="J36" i="32"/>
  <c r="J34" i="32"/>
  <c r="J32" i="32"/>
  <c r="J31" i="32"/>
  <c r="BB45" i="10"/>
  <c r="BJ45" i="10"/>
  <c r="K39" i="14"/>
  <c r="J39" i="14"/>
  <c r="V26" i="11"/>
  <c r="V24" i="11"/>
  <c r="V27" i="11"/>
  <c r="V25" i="11"/>
  <c r="V23" i="11"/>
  <c r="AA24" i="16"/>
  <c r="AA27" i="16"/>
  <c r="AA22" i="16"/>
  <c r="AA25" i="16"/>
  <c r="AA23" i="16"/>
  <c r="AA26" i="16"/>
  <c r="AA26" i="20"/>
  <c r="AA24" i="20"/>
  <c r="AA27" i="20"/>
  <c r="AA22" i="20"/>
  <c r="AA25" i="20"/>
  <c r="N53" i="25"/>
  <c r="N54" i="25"/>
  <c r="N51" i="25"/>
  <c r="N50" i="25"/>
  <c r="N52" i="25"/>
  <c r="V51" i="25"/>
  <c r="V52" i="25"/>
  <c r="V50" i="25"/>
  <c r="V53" i="25"/>
  <c r="V54" i="25"/>
  <c r="Z32" i="29"/>
  <c r="Z35" i="29"/>
  <c r="Z33" i="29"/>
  <c r="Z36" i="29"/>
  <c r="Z31" i="29"/>
  <c r="Z34" i="29"/>
  <c r="R25" i="31"/>
  <c r="R23" i="31"/>
  <c r="R26" i="31"/>
  <c r="R27" i="31"/>
  <c r="R24" i="31"/>
  <c r="Z27" i="30"/>
  <c r="Z22" i="30"/>
  <c r="Z25" i="30"/>
  <c r="Z26" i="30"/>
  <c r="Z24" i="30"/>
  <c r="BC22" i="34"/>
  <c r="BK22" i="34"/>
  <c r="F43" i="37"/>
  <c r="F41" i="37"/>
  <c r="F44" i="37"/>
  <c r="F42" i="37"/>
  <c r="F40" i="37"/>
  <c r="F45" i="37"/>
  <c r="S48" i="37"/>
  <c r="R48" i="37"/>
  <c r="O30" i="38"/>
  <c r="N30" i="38"/>
  <c r="W40" i="10"/>
  <c r="R40" i="10"/>
  <c r="G39" i="10"/>
  <c r="F39" i="10"/>
  <c r="Y40" i="10"/>
  <c r="T40" i="10"/>
  <c r="AA40" i="10"/>
  <c r="AA50" i="16"/>
  <c r="AA53" i="16"/>
  <c r="AA51" i="16"/>
  <c r="AA54" i="16"/>
  <c r="AA49" i="16"/>
  <c r="AA52" i="16"/>
  <c r="G30" i="18"/>
  <c r="F30" i="18"/>
  <c r="K21" i="18"/>
  <c r="J21" i="18"/>
  <c r="G21" i="20"/>
  <c r="F21" i="20"/>
  <c r="BA25" i="21"/>
  <c r="BI25" i="21"/>
  <c r="S31" i="21"/>
  <c r="S34" i="21"/>
  <c r="S32" i="21"/>
  <c r="S35" i="21"/>
  <c r="S33" i="21"/>
  <c r="S36" i="21"/>
  <c r="Z43" i="24"/>
  <c r="Z41" i="24"/>
  <c r="Z44" i="24"/>
  <c r="Z45" i="24"/>
  <c r="Z40" i="24"/>
  <c r="W21" i="32"/>
  <c r="V21" i="32"/>
  <c r="R54" i="34"/>
  <c r="R51" i="34"/>
  <c r="R49" i="34"/>
  <c r="R52" i="34"/>
  <c r="R50" i="34"/>
  <c r="R53" i="34"/>
  <c r="O42" i="37"/>
  <c r="O45" i="37"/>
  <c r="O40" i="37"/>
  <c r="O43" i="37"/>
  <c r="O41" i="37"/>
  <c r="O44" i="37"/>
  <c r="S27" i="38"/>
  <c r="S25" i="38"/>
  <c r="S23" i="38"/>
  <c r="S26" i="38"/>
  <c r="S24" i="38"/>
  <c r="S22" i="38"/>
  <c r="W31" i="37"/>
  <c r="W34" i="37"/>
  <c r="W32" i="37"/>
  <c r="W35" i="37"/>
  <c r="W36" i="37"/>
  <c r="W33" i="37"/>
  <c r="G39" i="39"/>
  <c r="F39" i="39"/>
  <c r="K24" i="31"/>
  <c r="K27" i="31"/>
  <c r="K25" i="31"/>
  <c r="K26" i="31"/>
  <c r="K23" i="31"/>
  <c r="W30" i="40"/>
  <c r="V30" i="40"/>
  <c r="BC24" i="10"/>
  <c r="BK24" i="10"/>
  <c r="K30" i="15"/>
  <c r="J30" i="15"/>
  <c r="AA27" i="11"/>
  <c r="AA25" i="11"/>
  <c r="AA23" i="11"/>
  <c r="AA26" i="11"/>
  <c r="AA24" i="11"/>
  <c r="W44" i="18"/>
  <c r="W42" i="18"/>
  <c r="W45" i="18"/>
  <c r="W40" i="18"/>
  <c r="W41" i="18"/>
  <c r="W43" i="18"/>
  <c r="Z24" i="22"/>
  <c r="Z27" i="22"/>
  <c r="Z22" i="22"/>
  <c r="Z25" i="22"/>
  <c r="Z23" i="22"/>
  <c r="Z26" i="22"/>
  <c r="AE24" i="23"/>
  <c r="AD24" i="23" s="1"/>
  <c r="AE51" i="23"/>
  <c r="AD51" i="23" s="1"/>
  <c r="AE42" i="23"/>
  <c r="AD42" i="23" s="1"/>
  <c r="AE33" i="23"/>
  <c r="AD33" i="23" s="1"/>
  <c r="W40" i="24"/>
  <c r="W43" i="24"/>
  <c r="W41" i="24"/>
  <c r="W44" i="24"/>
  <c r="W45" i="24"/>
  <c r="BC51" i="30"/>
  <c r="BK51" i="30"/>
  <c r="BB45" i="30"/>
  <c r="BJ45" i="30"/>
  <c r="BC27" i="28"/>
  <c r="BK27" i="28"/>
  <c r="S39" i="29"/>
  <c r="R39" i="29"/>
  <c r="V39" i="31"/>
  <c r="W39" i="31"/>
  <c r="R44" i="34"/>
  <c r="R42" i="34"/>
  <c r="R45" i="34"/>
  <c r="R40" i="34"/>
  <c r="R43" i="34"/>
  <c r="R41" i="34"/>
  <c r="K21" i="39"/>
  <c r="J21" i="39"/>
  <c r="AA22" i="39"/>
  <c r="BC34" i="42"/>
  <c r="BK34" i="42"/>
  <c r="O53" i="10"/>
  <c r="O51" i="10"/>
  <c r="O49" i="10"/>
  <c r="O50" i="10"/>
  <c r="O52" i="10"/>
  <c r="O54" i="10"/>
  <c r="O30" i="14"/>
  <c r="N30" i="14"/>
  <c r="Z50" i="11"/>
  <c r="Z53" i="11"/>
  <c r="Z51" i="11"/>
  <c r="Z54" i="11"/>
  <c r="Z52" i="11"/>
  <c r="S48" i="11"/>
  <c r="R48" i="11"/>
  <c r="O21" i="15"/>
  <c r="N21" i="15"/>
  <c r="N30" i="17"/>
  <c r="O30" i="17"/>
  <c r="AA50" i="19"/>
  <c r="AA53" i="19"/>
  <c r="AA51" i="19"/>
  <c r="AA54" i="19"/>
  <c r="AA49" i="19"/>
  <c r="AA52" i="19"/>
  <c r="G39" i="22"/>
  <c r="F39" i="22"/>
  <c r="W48" i="26"/>
  <c r="V48" i="26"/>
  <c r="AA50" i="31"/>
  <c r="AA53" i="31"/>
  <c r="AA51" i="31"/>
  <c r="AA54" i="31"/>
  <c r="AA52" i="31"/>
  <c r="S26" i="33"/>
  <c r="S24" i="33"/>
  <c r="S27" i="33"/>
  <c r="S22" i="33"/>
  <c r="S25" i="33"/>
  <c r="S23" i="33"/>
  <c r="O30" i="33"/>
  <c r="N30" i="33"/>
  <c r="W30" i="34"/>
  <c r="V30" i="34"/>
  <c r="Z30" i="35"/>
  <c r="AA30" i="35"/>
  <c r="BK49" i="36"/>
  <c r="BC49" i="36"/>
  <c r="Z23" i="39"/>
  <c r="G48" i="27"/>
  <c r="F48" i="27"/>
  <c r="S39" i="20"/>
  <c r="R39" i="20"/>
  <c r="K21" i="17"/>
  <c r="J21" i="17"/>
  <c r="O48" i="16"/>
  <c r="N48" i="16"/>
  <c r="O39" i="19"/>
  <c r="N39" i="19"/>
  <c r="S48" i="32"/>
  <c r="R48" i="32"/>
  <c r="S21" i="36"/>
  <c r="R21" i="36"/>
  <c r="G39" i="21"/>
  <c r="F39" i="21"/>
  <c r="K39" i="36"/>
  <c r="J39" i="36"/>
  <c r="S39" i="12"/>
  <c r="R39" i="12"/>
  <c r="O30" i="27"/>
  <c r="N30" i="27"/>
  <c r="F48" i="12"/>
  <c r="G48" i="12"/>
  <c r="W48" i="23"/>
  <c r="V48" i="23"/>
  <c r="BC42" i="10"/>
  <c r="BK42" i="10"/>
  <c r="AA34" i="10"/>
  <c r="T34" i="10"/>
  <c r="W34" i="10"/>
  <c r="Y34" i="10"/>
  <c r="R34" i="10"/>
  <c r="V39" i="14"/>
  <c r="W39" i="14"/>
  <c r="W48" i="14"/>
  <c r="V48" i="14"/>
  <c r="R48" i="18"/>
  <c r="S48" i="18"/>
  <c r="K39" i="24"/>
  <c r="J39" i="24"/>
  <c r="S48" i="24"/>
  <c r="R48" i="24"/>
  <c r="Z48" i="26"/>
  <c r="AA48" i="26"/>
  <c r="Z35" i="32"/>
  <c r="Z33" i="32"/>
  <c r="Z36" i="32"/>
  <c r="Z34" i="32"/>
  <c r="Z32" i="32"/>
  <c r="Z31" i="32"/>
  <c r="K30" i="33"/>
  <c r="J30" i="33"/>
  <c r="G21" i="19"/>
  <c r="F21" i="19"/>
  <c r="T52" i="10"/>
  <c r="AA52" i="10"/>
  <c r="Y52" i="10"/>
  <c r="R52" i="10"/>
  <c r="W52" i="10"/>
  <c r="AA43" i="11"/>
  <c r="AA41" i="11"/>
  <c r="AA44" i="11"/>
  <c r="AA42" i="11"/>
  <c r="AA45" i="11"/>
  <c r="R30" i="18"/>
  <c r="S30" i="18"/>
  <c r="K48" i="24"/>
  <c r="J48" i="24"/>
  <c r="S21" i="24"/>
  <c r="R21" i="24"/>
  <c r="J21" i="25"/>
  <c r="K21" i="25"/>
  <c r="AA21" i="26"/>
  <c r="Z21" i="26"/>
  <c r="Z43" i="31"/>
  <c r="Z41" i="31"/>
  <c r="Z44" i="31"/>
  <c r="Z45" i="31"/>
  <c r="Z42" i="31"/>
  <c r="AA36" i="32"/>
  <c r="AA31" i="32"/>
  <c r="AA32" i="32"/>
  <c r="AA35" i="32"/>
  <c r="AA34" i="32"/>
  <c r="AA33" i="32"/>
  <c r="K39" i="34"/>
  <c r="J39" i="34"/>
  <c r="K39" i="33"/>
  <c r="J39" i="33"/>
  <c r="Z32" i="36"/>
  <c r="Z35" i="36"/>
  <c r="Z33" i="36"/>
  <c r="Z36" i="36"/>
  <c r="Z31" i="36"/>
  <c r="Z34" i="36"/>
  <c r="K21" i="42"/>
  <c r="J21" i="42"/>
  <c r="G39" i="19"/>
  <c r="F39" i="19"/>
  <c r="G48" i="28"/>
  <c r="F48" i="28"/>
  <c r="BI24" i="10"/>
  <c r="BA24" i="10"/>
  <c r="W39" i="12"/>
  <c r="V39" i="12"/>
  <c r="O50" i="12"/>
  <c r="O53" i="12"/>
  <c r="O51" i="12"/>
  <c r="O54" i="12"/>
  <c r="O49" i="12"/>
  <c r="O52" i="12"/>
  <c r="AA36" i="11"/>
  <c r="AA34" i="11"/>
  <c r="AA32" i="11"/>
  <c r="AA35" i="11"/>
  <c r="AA33" i="11"/>
  <c r="V52" i="24"/>
  <c r="V50" i="24"/>
  <c r="V53" i="24"/>
  <c r="V54" i="24"/>
  <c r="V49" i="24"/>
  <c r="N45" i="10"/>
  <c r="N43" i="10"/>
  <c r="N44" i="10"/>
  <c r="N42" i="10"/>
  <c r="N40" i="10"/>
  <c r="N41" i="10"/>
  <c r="D83" i="6"/>
  <c r="C83" i="6"/>
  <c r="AM83" i="6" s="1"/>
  <c r="D147" i="6"/>
  <c r="C147" i="6"/>
  <c r="AM147" i="6" s="1"/>
  <c r="D26" i="6"/>
  <c r="C26" i="6"/>
  <c r="AM26" i="6" s="1"/>
  <c r="D86" i="6"/>
  <c r="C86" i="6"/>
  <c r="AM86" i="6" s="1"/>
  <c r="D150" i="6"/>
  <c r="C150" i="6"/>
  <c r="AM150" i="6" s="1"/>
  <c r="D23" i="6"/>
  <c r="C23" i="6"/>
  <c r="AM23" i="6" s="1"/>
  <c r="D89" i="6"/>
  <c r="C89" i="6"/>
  <c r="AM89" i="6" s="1"/>
  <c r="D153" i="6"/>
  <c r="C153" i="6"/>
  <c r="AM153" i="6" s="1"/>
  <c r="D20" i="6"/>
  <c r="C20" i="6"/>
  <c r="AM20" i="6" s="1"/>
  <c r="C60" i="6"/>
  <c r="AM60" i="6" s="1"/>
  <c r="D60" i="6"/>
  <c r="C124" i="6"/>
  <c r="AM124" i="6" s="1"/>
  <c r="D124" i="6"/>
  <c r="C188" i="6"/>
  <c r="AM188" i="6" s="1"/>
  <c r="D188" i="6"/>
  <c r="D87" i="6"/>
  <c r="C87" i="6"/>
  <c r="AM87" i="6" s="1"/>
  <c r="D151" i="6"/>
  <c r="C151" i="6"/>
  <c r="AM151" i="6" s="1"/>
  <c r="D24" i="6"/>
  <c r="C24" i="6"/>
  <c r="AM24" i="6" s="1"/>
  <c r="D51" i="6"/>
  <c r="C51" i="6"/>
  <c r="AM51" i="6" s="1"/>
  <c r="D106" i="6"/>
  <c r="C106" i="6"/>
  <c r="AM106" i="6" s="1"/>
  <c r="D170" i="6"/>
  <c r="C170" i="6"/>
  <c r="AM170" i="6" s="1"/>
  <c r="D85" i="6"/>
  <c r="C85" i="6"/>
  <c r="AM85" i="6" s="1"/>
  <c r="D149" i="6"/>
  <c r="C149" i="6"/>
  <c r="AM149" i="6" s="1"/>
  <c r="D13" i="6"/>
  <c r="C13" i="6"/>
  <c r="AM13" i="6" s="1"/>
  <c r="D72" i="6"/>
  <c r="C72" i="6"/>
  <c r="AM72" i="6" s="1"/>
  <c r="D136" i="6"/>
  <c r="C136" i="6"/>
  <c r="AM136" i="6" s="1"/>
  <c r="D200" i="6"/>
  <c r="C200" i="6"/>
  <c r="AM200" i="6" s="1"/>
  <c r="W45" i="11"/>
  <c r="W43" i="11"/>
  <c r="W41" i="11"/>
  <c r="W44" i="11"/>
  <c r="W42" i="11"/>
  <c r="W39" i="13"/>
  <c r="V39" i="13"/>
  <c r="K21" i="11"/>
  <c r="J21" i="11"/>
  <c r="BC42" i="21"/>
  <c r="BK42" i="21"/>
  <c r="O48" i="28"/>
  <c r="N48" i="28"/>
  <c r="S48" i="30"/>
  <c r="R48" i="30"/>
  <c r="K52" i="38"/>
  <c r="K50" i="38"/>
  <c r="K53" i="38"/>
  <c r="K51" i="38"/>
  <c r="K54" i="38"/>
  <c r="K49" i="38"/>
  <c r="J30" i="35"/>
  <c r="K30" i="35"/>
  <c r="Z22" i="36"/>
  <c r="Z25" i="36"/>
  <c r="Z23" i="36"/>
  <c r="Z26" i="36"/>
  <c r="Z24" i="36"/>
  <c r="Z27" i="36"/>
  <c r="G39" i="38"/>
  <c r="F39" i="38"/>
  <c r="O21" i="40"/>
  <c r="N21" i="40"/>
  <c r="W48" i="41"/>
  <c r="V48" i="41"/>
  <c r="AA52" i="42"/>
  <c r="AA51" i="42"/>
  <c r="AA54" i="42"/>
  <c r="AA50" i="42"/>
  <c r="AA53" i="42"/>
  <c r="AA49" i="42"/>
  <c r="R40" i="15"/>
  <c r="R43" i="15"/>
  <c r="R41" i="15"/>
  <c r="R44" i="15"/>
  <c r="R42" i="15"/>
  <c r="R45" i="15"/>
  <c r="N30" i="20"/>
  <c r="O30" i="20"/>
  <c r="AA51" i="22"/>
  <c r="AA54" i="22"/>
  <c r="AA49" i="22"/>
  <c r="AA52" i="22"/>
  <c r="AA50" i="22"/>
  <c r="AA53" i="22"/>
  <c r="W32" i="25"/>
  <c r="W33" i="25"/>
  <c r="W34" i="25"/>
  <c r="W36" i="25"/>
  <c r="W35" i="25"/>
  <c r="Z21" i="23"/>
  <c r="AA21" i="23"/>
  <c r="K21" i="27"/>
  <c r="J21" i="27"/>
  <c r="O35" i="30"/>
  <c r="O33" i="30"/>
  <c r="O36" i="30"/>
  <c r="O31" i="30"/>
  <c r="O34" i="30"/>
  <c r="Z25" i="32"/>
  <c r="Z23" i="32"/>
  <c r="Z26" i="32"/>
  <c r="Z24" i="32"/>
  <c r="Z22" i="32"/>
  <c r="Z27" i="32"/>
  <c r="V21" i="33"/>
  <c r="W21" i="33"/>
  <c r="AE31" i="35"/>
  <c r="AD31" i="35" s="1"/>
  <c r="W31" i="35" s="1"/>
  <c r="AE22" i="35"/>
  <c r="AD22" i="35" s="1"/>
  <c r="AE49" i="35"/>
  <c r="AD49" i="35" s="1"/>
  <c r="AE40" i="35"/>
  <c r="AD40" i="35" s="1"/>
  <c r="AA44" i="37"/>
  <c r="AA42" i="37"/>
  <c r="AA45" i="37"/>
  <c r="AA40" i="37"/>
  <c r="AA43" i="37"/>
  <c r="AA41" i="37"/>
  <c r="S39" i="40"/>
  <c r="R39" i="40"/>
  <c r="AA45" i="42"/>
  <c r="AA40" i="42"/>
  <c r="AA44" i="42"/>
  <c r="AA42" i="42"/>
  <c r="AA43" i="42"/>
  <c r="AA41" i="42"/>
  <c r="K36" i="32"/>
  <c r="K31" i="32"/>
  <c r="K32" i="32"/>
  <c r="K35" i="32"/>
  <c r="K34" i="32"/>
  <c r="K33" i="32"/>
  <c r="BI41" i="10"/>
  <c r="BA41" i="10"/>
  <c r="BK45" i="10"/>
  <c r="BC45" i="10"/>
  <c r="W23" i="11"/>
  <c r="W24" i="11"/>
  <c r="W27" i="11"/>
  <c r="W25" i="11"/>
  <c r="W26" i="11"/>
  <c r="W48" i="16"/>
  <c r="V48" i="16"/>
  <c r="AE50" i="20"/>
  <c r="AD50" i="20" s="1"/>
  <c r="W50" i="20" s="1"/>
  <c r="AE32" i="20"/>
  <c r="AD32" i="20" s="1"/>
  <c r="W32" i="20" s="1"/>
  <c r="AE41" i="20"/>
  <c r="AD41" i="20" s="1"/>
  <c r="AE23" i="20"/>
  <c r="AD23" i="20" s="1"/>
  <c r="O50" i="25"/>
  <c r="O51" i="25"/>
  <c r="O52" i="25"/>
  <c r="O53" i="25"/>
  <c r="O54" i="25"/>
  <c r="W54" i="25"/>
  <c r="W52" i="25"/>
  <c r="W53" i="25"/>
  <c r="W50" i="25"/>
  <c r="W51" i="25"/>
  <c r="AA35" i="29"/>
  <c r="AA33" i="29"/>
  <c r="AA36" i="29"/>
  <c r="AA31" i="29"/>
  <c r="AA34" i="29"/>
  <c r="AA32" i="29"/>
  <c r="S25" i="31"/>
  <c r="S23" i="31"/>
  <c r="S26" i="31"/>
  <c r="S24" i="31"/>
  <c r="S27" i="31"/>
  <c r="AA22" i="30"/>
  <c r="AA25" i="30"/>
  <c r="AA26" i="30"/>
  <c r="AA27" i="30"/>
  <c r="AA24" i="30"/>
  <c r="BC27" i="34"/>
  <c r="BK27" i="34"/>
  <c r="J35" i="38"/>
  <c r="J33" i="38"/>
  <c r="J36" i="38"/>
  <c r="J31" i="38"/>
  <c r="J34" i="38"/>
  <c r="J32" i="38"/>
  <c r="G41" i="37"/>
  <c r="G44" i="37"/>
  <c r="G42" i="37"/>
  <c r="G45" i="37"/>
  <c r="G43" i="37"/>
  <c r="G40" i="37"/>
  <c r="Z51" i="39"/>
  <c r="Z54" i="39"/>
  <c r="Z49" i="39"/>
  <c r="Z52" i="39"/>
  <c r="Z50" i="39"/>
  <c r="Z53" i="39"/>
  <c r="O39" i="41"/>
  <c r="N39" i="41"/>
  <c r="O39" i="38"/>
  <c r="N39" i="38"/>
  <c r="R22" i="10"/>
  <c r="G21" i="10"/>
  <c r="F21" i="10"/>
  <c r="Y22" i="10"/>
  <c r="W22" i="10"/>
  <c r="T22" i="10"/>
  <c r="AA22" i="10"/>
  <c r="R42" i="13"/>
  <c r="R45" i="13"/>
  <c r="R40" i="13"/>
  <c r="R43" i="13"/>
  <c r="R41" i="13"/>
  <c r="R44" i="13"/>
  <c r="F39" i="18"/>
  <c r="G39" i="18"/>
  <c r="S39" i="16"/>
  <c r="R39" i="16"/>
  <c r="J30" i="18"/>
  <c r="K30" i="18"/>
  <c r="G30" i="20"/>
  <c r="F30" i="20"/>
  <c r="BA22" i="21"/>
  <c r="BI22" i="21"/>
  <c r="R36" i="21"/>
  <c r="R31" i="21"/>
  <c r="R34" i="21"/>
  <c r="R32" i="21"/>
  <c r="R35" i="21"/>
  <c r="R33" i="21"/>
  <c r="AA41" i="24"/>
  <c r="AA44" i="24"/>
  <c r="AA45" i="24"/>
  <c r="AA40" i="24"/>
  <c r="AA43" i="24"/>
  <c r="Z25" i="29"/>
  <c r="Z23" i="29"/>
  <c r="Z26" i="29"/>
  <c r="Z24" i="29"/>
  <c r="Z27" i="29"/>
  <c r="Z22" i="29"/>
  <c r="W30" i="32"/>
  <c r="V30" i="32"/>
  <c r="S49" i="34"/>
  <c r="S54" i="34"/>
  <c r="S52" i="34"/>
  <c r="S50" i="34"/>
  <c r="S53" i="34"/>
  <c r="S51" i="34"/>
  <c r="N42" i="37"/>
  <c r="N45" i="37"/>
  <c r="N40" i="37"/>
  <c r="N43" i="37"/>
  <c r="N44" i="37"/>
  <c r="N41" i="37"/>
  <c r="F36" i="37"/>
  <c r="F31" i="37"/>
  <c r="F34" i="37"/>
  <c r="F32" i="37"/>
  <c r="F35" i="37"/>
  <c r="F33" i="37"/>
  <c r="V21" i="39"/>
  <c r="W21" i="39"/>
  <c r="Z49" i="32"/>
  <c r="Z52" i="32"/>
  <c r="Z50" i="32"/>
  <c r="Z53" i="32"/>
  <c r="Z51" i="32"/>
  <c r="Z54" i="32"/>
  <c r="J27" i="10"/>
  <c r="J25" i="10"/>
  <c r="J23" i="10"/>
  <c r="J26" i="10"/>
  <c r="J24" i="10"/>
  <c r="J22" i="10"/>
  <c r="K39" i="15"/>
  <c r="J39" i="15"/>
  <c r="V43" i="18"/>
  <c r="V41" i="18"/>
  <c r="V42" i="18"/>
  <c r="V45" i="18"/>
  <c r="V44" i="18"/>
  <c r="V40" i="18"/>
  <c r="V27" i="20"/>
  <c r="V22" i="20"/>
  <c r="V25" i="20"/>
  <c r="V26" i="20"/>
  <c r="V24" i="20"/>
  <c r="Z26" i="19"/>
  <c r="Z24" i="19"/>
  <c r="Z27" i="19"/>
  <c r="Z22" i="19"/>
  <c r="Z25" i="19"/>
  <c r="Z23" i="19"/>
  <c r="AA27" i="22"/>
  <c r="AA22" i="22"/>
  <c r="AA25" i="22"/>
  <c r="AA23" i="22"/>
  <c r="AA26" i="22"/>
  <c r="AA24" i="22"/>
  <c r="Z36" i="24"/>
  <c r="Z31" i="24"/>
  <c r="Z34" i="24"/>
  <c r="Z32" i="24"/>
  <c r="Z35" i="24"/>
  <c r="Z26" i="31"/>
  <c r="Z24" i="31"/>
  <c r="Z27" i="31"/>
  <c r="Z25" i="31"/>
  <c r="Z23" i="31"/>
  <c r="BB42" i="30"/>
  <c r="BJ42" i="30"/>
  <c r="Z24" i="28"/>
  <c r="Z33" i="28"/>
  <c r="Z36" i="28"/>
  <c r="Z31" i="28"/>
  <c r="Z34" i="28"/>
  <c r="Z32" i="28"/>
  <c r="Z35" i="28"/>
  <c r="V54" i="35"/>
  <c r="V49" i="35"/>
  <c r="V52" i="35"/>
  <c r="V50" i="35"/>
  <c r="V53" i="35"/>
  <c r="S42" i="34"/>
  <c r="S45" i="34"/>
  <c r="S40" i="34"/>
  <c r="S43" i="34"/>
  <c r="S41" i="34"/>
  <c r="S44" i="34"/>
  <c r="K39" i="39"/>
  <c r="J39" i="39"/>
  <c r="S21" i="39"/>
  <c r="R21" i="39"/>
  <c r="R41" i="41"/>
  <c r="R44" i="28"/>
  <c r="R42" i="28"/>
  <c r="R45" i="28"/>
  <c r="R40" i="28"/>
  <c r="R43" i="28"/>
  <c r="R41" i="28"/>
  <c r="O39" i="14"/>
  <c r="N39" i="14"/>
  <c r="AA50" i="11"/>
  <c r="AA53" i="11"/>
  <c r="AA51" i="11"/>
  <c r="AA54" i="11"/>
  <c r="AA52" i="11"/>
  <c r="S21" i="11"/>
  <c r="R21" i="11"/>
  <c r="O30" i="15"/>
  <c r="N30" i="15"/>
  <c r="G48" i="22"/>
  <c r="F48" i="22"/>
  <c r="V21" i="26"/>
  <c r="W21" i="26"/>
  <c r="R22" i="28"/>
  <c r="R25" i="28"/>
  <c r="R23" i="28"/>
  <c r="R26" i="28"/>
  <c r="R24" i="28"/>
  <c r="R27" i="28"/>
  <c r="J43" i="31"/>
  <c r="J41" i="31"/>
  <c r="J44" i="31"/>
  <c r="J45" i="31"/>
  <c r="J42" i="31"/>
  <c r="N39" i="33"/>
  <c r="O39" i="33"/>
  <c r="W39" i="34"/>
  <c r="V39" i="34"/>
  <c r="AA39" i="35"/>
  <c r="Z39" i="35"/>
  <c r="G24" i="37"/>
  <c r="G27" i="37"/>
  <c r="G22" i="37"/>
  <c r="G25" i="37"/>
  <c r="G23" i="37"/>
  <c r="G26" i="37"/>
  <c r="V50" i="37"/>
  <c r="V53" i="37"/>
  <c r="V51" i="37"/>
  <c r="V54" i="37"/>
  <c r="V49" i="37"/>
  <c r="V52" i="37"/>
  <c r="Z25" i="39"/>
  <c r="K48" i="19"/>
  <c r="J48" i="19"/>
  <c r="G21" i="27"/>
  <c r="F21" i="27"/>
  <c r="S48" i="20"/>
  <c r="R48" i="20"/>
  <c r="K30" i="17"/>
  <c r="J30" i="17"/>
  <c r="O48" i="19"/>
  <c r="N48" i="19"/>
  <c r="R30" i="32"/>
  <c r="S30" i="32"/>
  <c r="S48" i="36"/>
  <c r="R48" i="36"/>
  <c r="K21" i="36"/>
  <c r="J21" i="36"/>
  <c r="O48" i="27"/>
  <c r="N48" i="27"/>
  <c r="G21" i="12"/>
  <c r="F21" i="12"/>
  <c r="O48" i="13"/>
  <c r="N48" i="13"/>
  <c r="G21" i="36"/>
  <c r="F21" i="36"/>
  <c r="V34" i="20"/>
  <c r="V32" i="20"/>
  <c r="V35" i="20"/>
  <c r="V33" i="20"/>
  <c r="V36" i="20"/>
  <c r="V31" i="20"/>
  <c r="J21" i="24"/>
  <c r="K21" i="24"/>
  <c r="AA52" i="25"/>
  <c r="AA50" i="25"/>
  <c r="AA53" i="25"/>
  <c r="AA51" i="25"/>
  <c r="AA54" i="25"/>
  <c r="AA49" i="25"/>
  <c r="K39" i="25"/>
  <c r="J39" i="25"/>
  <c r="AA30" i="26"/>
  <c r="Z30" i="26"/>
  <c r="AA43" i="31"/>
  <c r="AA41" i="31"/>
  <c r="AA44" i="31"/>
  <c r="AA42" i="31"/>
  <c r="AA45" i="31"/>
  <c r="J48" i="33"/>
  <c r="K48" i="33"/>
  <c r="AA32" i="36"/>
  <c r="AA35" i="36"/>
  <c r="AA33" i="36"/>
  <c r="AA36" i="36"/>
  <c r="AA31" i="36"/>
  <c r="AA34" i="36"/>
  <c r="K39" i="42"/>
  <c r="J39" i="42"/>
  <c r="G48" i="19"/>
  <c r="F48" i="19"/>
  <c r="G21" i="28"/>
  <c r="F21" i="28"/>
  <c r="V48" i="12"/>
  <c r="W48" i="12"/>
  <c r="Z32" i="15"/>
  <c r="Z35" i="15"/>
  <c r="Z33" i="15"/>
  <c r="Z36" i="15"/>
  <c r="Z31" i="15"/>
  <c r="Z34" i="15"/>
  <c r="W50" i="24"/>
  <c r="W53" i="24"/>
  <c r="W51" i="24"/>
  <c r="W54" i="24"/>
  <c r="W49" i="24"/>
  <c r="W52" i="24"/>
  <c r="O44" i="10"/>
  <c r="O42" i="10"/>
  <c r="O45" i="10"/>
  <c r="O43" i="10"/>
  <c r="O41" i="10"/>
  <c r="O40" i="10"/>
  <c r="D16" i="6"/>
  <c r="C16" i="6"/>
  <c r="AM16" i="6" s="1"/>
  <c r="D91" i="6"/>
  <c r="C91" i="6"/>
  <c r="AM91" i="6" s="1"/>
  <c r="D155" i="6"/>
  <c r="C155" i="6"/>
  <c r="AM155" i="6" s="1"/>
  <c r="D29" i="6"/>
  <c r="C29" i="6"/>
  <c r="AM29" i="6" s="1"/>
  <c r="D94" i="6"/>
  <c r="C94" i="6"/>
  <c r="AM94" i="6" s="1"/>
  <c r="D158" i="6"/>
  <c r="C158" i="6"/>
  <c r="AM158" i="6" s="1"/>
  <c r="D30" i="6"/>
  <c r="C30" i="6"/>
  <c r="AM30" i="6" s="1"/>
  <c r="D97" i="6"/>
  <c r="C97" i="6"/>
  <c r="AM97" i="6" s="1"/>
  <c r="D161" i="6"/>
  <c r="C161" i="6"/>
  <c r="AM161" i="6" s="1"/>
  <c r="C17" i="6"/>
  <c r="AM17" i="6" s="1"/>
  <c r="D17" i="6"/>
  <c r="C68" i="6"/>
  <c r="AM68" i="6" s="1"/>
  <c r="D68" i="6"/>
  <c r="C132" i="6"/>
  <c r="AM132" i="6" s="1"/>
  <c r="D132" i="6"/>
  <c r="C196" i="6"/>
  <c r="AM196" i="6" s="1"/>
  <c r="D196" i="6"/>
  <c r="D95" i="6"/>
  <c r="C95" i="6"/>
  <c r="AM95" i="6" s="1"/>
  <c r="D159" i="6"/>
  <c r="C159" i="6"/>
  <c r="AM159" i="6" s="1"/>
  <c r="D15" i="6"/>
  <c r="C15" i="6"/>
  <c r="AM15" i="6" s="1"/>
  <c r="D55" i="6"/>
  <c r="C55" i="6"/>
  <c r="AM55" i="6" s="1"/>
  <c r="D114" i="6"/>
  <c r="C114" i="6"/>
  <c r="AM114" i="6" s="1"/>
  <c r="D178" i="6"/>
  <c r="C178" i="6"/>
  <c r="AM178" i="6" s="1"/>
  <c r="D93" i="6"/>
  <c r="C93" i="6"/>
  <c r="AM93" i="6" s="1"/>
  <c r="D157" i="6"/>
  <c r="C157" i="6"/>
  <c r="AM157" i="6" s="1"/>
  <c r="D22" i="6"/>
  <c r="C22" i="6"/>
  <c r="AM22" i="6" s="1"/>
  <c r="D80" i="6"/>
  <c r="C80" i="6"/>
  <c r="AM80" i="6" s="1"/>
  <c r="D144" i="6"/>
  <c r="C144" i="6"/>
  <c r="AM144" i="6" s="1"/>
  <c r="N45" i="12"/>
  <c r="N40" i="12"/>
  <c r="N43" i="12"/>
  <c r="N41" i="12"/>
  <c r="N44" i="12"/>
  <c r="N42" i="12"/>
  <c r="W48" i="13"/>
  <c r="V48" i="13"/>
  <c r="K30" i="11"/>
  <c r="J30" i="11"/>
  <c r="Z32" i="21"/>
  <c r="Z35" i="21"/>
  <c r="Z33" i="21"/>
  <c r="Z36" i="21"/>
  <c r="Z34" i="21"/>
  <c r="Z31" i="21"/>
  <c r="AE51" i="24"/>
  <c r="AD51" i="24" s="1"/>
  <c r="AE42" i="24"/>
  <c r="AD42" i="24" s="1"/>
  <c r="AE33" i="24"/>
  <c r="AD33" i="24" s="1"/>
  <c r="V33" i="24" s="1"/>
  <c r="AE24" i="24"/>
  <c r="AD24" i="24" s="1"/>
  <c r="V24" i="24" s="1"/>
  <c r="O42" i="30"/>
  <c r="O45" i="30"/>
  <c r="O40" i="30"/>
  <c r="O43" i="30"/>
  <c r="O44" i="30"/>
  <c r="O39" i="29"/>
  <c r="N39" i="29"/>
  <c r="Z44" i="30"/>
  <c r="Z42" i="30"/>
  <c r="Z45" i="30"/>
  <c r="Z40" i="30"/>
  <c r="Z43" i="30"/>
  <c r="Z27" i="33"/>
  <c r="Z22" i="33"/>
  <c r="Z25" i="33"/>
  <c r="Z23" i="33"/>
  <c r="Z26" i="33"/>
  <c r="Z24" i="33"/>
  <c r="Z40" i="34"/>
  <c r="Z43" i="34"/>
  <c r="Z41" i="34"/>
  <c r="Z44" i="34"/>
  <c r="Z42" i="34"/>
  <c r="Z45" i="34"/>
  <c r="K39" i="35"/>
  <c r="J39" i="35"/>
  <c r="AA25" i="36"/>
  <c r="AA23" i="36"/>
  <c r="AA26" i="36"/>
  <c r="AA24" i="36"/>
  <c r="AA27" i="36"/>
  <c r="AA22" i="36"/>
  <c r="G48" i="38"/>
  <c r="F48" i="38"/>
  <c r="O30" i="40"/>
  <c r="N30" i="40"/>
  <c r="W30" i="41"/>
  <c r="V30" i="41"/>
  <c r="Z49" i="42"/>
  <c r="Z52" i="42"/>
  <c r="Z51" i="42"/>
  <c r="Z54" i="42"/>
  <c r="Z50" i="42"/>
  <c r="Z53" i="42"/>
  <c r="S43" i="15"/>
  <c r="S41" i="15"/>
  <c r="S44" i="15"/>
  <c r="S42" i="15"/>
  <c r="S45" i="15"/>
  <c r="S40" i="15"/>
  <c r="AA26" i="14"/>
  <c r="O39" i="20"/>
  <c r="N39" i="20"/>
  <c r="AY31" i="26"/>
  <c r="BG31" i="26"/>
  <c r="AA48" i="23"/>
  <c r="Z48" i="23"/>
  <c r="K48" i="27"/>
  <c r="J48" i="27"/>
  <c r="R32" i="31"/>
  <c r="R35" i="31"/>
  <c r="R33" i="31"/>
  <c r="R36" i="31"/>
  <c r="R34" i="31"/>
  <c r="AA23" i="32"/>
  <c r="AA26" i="32"/>
  <c r="AA24" i="32"/>
  <c r="AA27" i="32"/>
  <c r="AA25" i="32"/>
  <c r="AA22" i="32"/>
  <c r="AA23" i="34"/>
  <c r="BC23" i="34" s="1"/>
  <c r="W30" i="33"/>
  <c r="V30" i="33"/>
  <c r="J42" i="38"/>
  <c r="J45" i="38"/>
  <c r="J40" i="38"/>
  <c r="J43" i="38"/>
  <c r="J41" i="38"/>
  <c r="J44" i="38"/>
  <c r="S21" i="40"/>
  <c r="R21" i="40"/>
  <c r="Z45" i="42"/>
  <c r="Z41" i="42"/>
  <c r="Z42" i="42"/>
  <c r="Z43" i="42"/>
  <c r="Z44" i="42"/>
  <c r="Z40" i="42"/>
  <c r="V25" i="35"/>
  <c r="V23" i="35"/>
  <c r="V26" i="35"/>
  <c r="V22" i="35"/>
  <c r="V27" i="35"/>
  <c r="J44" i="10"/>
  <c r="J45" i="10"/>
  <c r="J43" i="10"/>
  <c r="J41" i="10"/>
  <c r="J42" i="10"/>
  <c r="J40" i="10"/>
  <c r="R49" i="13"/>
  <c r="R52" i="13"/>
  <c r="R50" i="13"/>
  <c r="R53" i="13"/>
  <c r="R51" i="13"/>
  <c r="R54" i="13"/>
  <c r="Z25" i="14"/>
  <c r="W21" i="16"/>
  <c r="V21" i="16"/>
  <c r="Z41" i="22"/>
  <c r="Z44" i="22"/>
  <c r="Z42" i="22"/>
  <c r="Z45" i="22"/>
  <c r="Z40" i="22"/>
  <c r="Z43" i="22"/>
  <c r="R43" i="21"/>
  <c r="R41" i="21"/>
  <c r="R44" i="21"/>
  <c r="R42" i="21"/>
  <c r="R45" i="21"/>
  <c r="R40" i="21"/>
  <c r="K39" i="22"/>
  <c r="J39" i="22"/>
  <c r="G21" i="29"/>
  <c r="F21" i="29"/>
  <c r="N25" i="30"/>
  <c r="N26" i="30"/>
  <c r="N24" i="30"/>
  <c r="N27" i="30"/>
  <c r="N22" i="30"/>
  <c r="O21" i="32"/>
  <c r="N21" i="32"/>
  <c r="BC24" i="34"/>
  <c r="BK24" i="34"/>
  <c r="K33" i="38"/>
  <c r="K36" i="38"/>
  <c r="K31" i="38"/>
  <c r="K34" i="38"/>
  <c r="K32" i="38"/>
  <c r="K35" i="38"/>
  <c r="Z34" i="37"/>
  <c r="Z32" i="37"/>
  <c r="Z35" i="37"/>
  <c r="Z33" i="37"/>
  <c r="Z31" i="37"/>
  <c r="Z36" i="37"/>
  <c r="AA54" i="39"/>
  <c r="AA49" i="39"/>
  <c r="AA52" i="39"/>
  <c r="AA50" i="39"/>
  <c r="AA53" i="39"/>
  <c r="AA51" i="39"/>
  <c r="O30" i="41"/>
  <c r="N30" i="41"/>
  <c r="O48" i="38"/>
  <c r="N48" i="38"/>
  <c r="F30" i="10"/>
  <c r="Y31" i="10"/>
  <c r="R31" i="10"/>
  <c r="G30" i="10"/>
  <c r="T31" i="10"/>
  <c r="W31" i="10"/>
  <c r="AA31" i="10"/>
  <c r="AA42" i="12"/>
  <c r="AA45" i="12"/>
  <c r="AA40" i="12"/>
  <c r="AA43" i="12"/>
  <c r="AA41" i="12"/>
  <c r="AA44" i="12"/>
  <c r="S45" i="13"/>
  <c r="S40" i="13"/>
  <c r="S43" i="13"/>
  <c r="S41" i="13"/>
  <c r="S44" i="13"/>
  <c r="S42" i="13"/>
  <c r="G30" i="16"/>
  <c r="F30" i="16"/>
  <c r="F48" i="18"/>
  <c r="G48" i="18"/>
  <c r="S48" i="16"/>
  <c r="R48" i="16"/>
  <c r="J48" i="18"/>
  <c r="K48" i="18"/>
  <c r="G39" i="20"/>
  <c r="F39" i="20"/>
  <c r="BI27" i="21"/>
  <c r="BA27" i="21"/>
  <c r="R50" i="21"/>
  <c r="R53" i="21"/>
  <c r="R51" i="21"/>
  <c r="R54" i="21"/>
  <c r="R49" i="21"/>
  <c r="R52" i="21"/>
  <c r="W25" i="25"/>
  <c r="W26" i="25"/>
  <c r="W24" i="25"/>
  <c r="W27" i="25"/>
  <c r="W23" i="25"/>
  <c r="F21" i="26"/>
  <c r="G21" i="26"/>
  <c r="AA23" i="29"/>
  <c r="AA26" i="29"/>
  <c r="AA24" i="29"/>
  <c r="AA27" i="29"/>
  <c r="AA22" i="29"/>
  <c r="AA25" i="29"/>
  <c r="AA24" i="28"/>
  <c r="W39" i="32"/>
  <c r="V39" i="32"/>
  <c r="K30" i="37"/>
  <c r="J30" i="37"/>
  <c r="G31" i="37"/>
  <c r="G34" i="37"/>
  <c r="G32" i="37"/>
  <c r="G35" i="37"/>
  <c r="G36" i="37"/>
  <c r="G33" i="37"/>
  <c r="W30" i="39"/>
  <c r="V30" i="39"/>
  <c r="AA52" i="32"/>
  <c r="AA50" i="32"/>
  <c r="AA53" i="32"/>
  <c r="AA51" i="32"/>
  <c r="AA54" i="32"/>
  <c r="AA49" i="32"/>
  <c r="K27" i="10"/>
  <c r="K25" i="10"/>
  <c r="K23" i="10"/>
  <c r="K26" i="10"/>
  <c r="K24" i="10"/>
  <c r="K22" i="10"/>
  <c r="K48" i="15"/>
  <c r="J48" i="15"/>
  <c r="W22" i="20"/>
  <c r="W25" i="20"/>
  <c r="W23" i="20"/>
  <c r="W26" i="20"/>
  <c r="W24" i="20"/>
  <c r="W27" i="20"/>
  <c r="AA27" i="19"/>
  <c r="AA22" i="19"/>
  <c r="AA25" i="19"/>
  <c r="AA23" i="19"/>
  <c r="AA26" i="19"/>
  <c r="AA24" i="19"/>
  <c r="W22" i="21"/>
  <c r="W25" i="21"/>
  <c r="W23" i="21"/>
  <c r="W26" i="21"/>
  <c r="W24" i="21"/>
  <c r="W27" i="21"/>
  <c r="AA31" i="24"/>
  <c r="AA34" i="24"/>
  <c r="AA32" i="24"/>
  <c r="AA35" i="24"/>
  <c r="AA33" i="24"/>
  <c r="AA36" i="24"/>
  <c r="S21" i="26"/>
  <c r="R21" i="26"/>
  <c r="AA24" i="31"/>
  <c r="AA27" i="31"/>
  <c r="AA25" i="31"/>
  <c r="AA26" i="31"/>
  <c r="AA23" i="31"/>
  <c r="BB44" i="30"/>
  <c r="BJ44" i="30"/>
  <c r="Z26" i="28"/>
  <c r="AA36" i="28"/>
  <c r="AA31" i="28"/>
  <c r="AA34" i="28"/>
  <c r="AA32" i="28"/>
  <c r="AA35" i="28"/>
  <c r="AA33" i="28"/>
  <c r="W49" i="35"/>
  <c r="W52" i="35"/>
  <c r="W50" i="35"/>
  <c r="W53" i="35"/>
  <c r="W54" i="35"/>
  <c r="K48" i="39"/>
  <c r="J48" i="39"/>
  <c r="R30" i="39"/>
  <c r="S30" i="39"/>
  <c r="Z48" i="40"/>
  <c r="AA48" i="40"/>
  <c r="BC36" i="42"/>
  <c r="BK36" i="42"/>
  <c r="S42" i="28"/>
  <c r="S45" i="28"/>
  <c r="S40" i="28"/>
  <c r="S43" i="28"/>
  <c r="S41" i="28"/>
  <c r="S44" i="28"/>
  <c r="N54" i="10"/>
  <c r="N52" i="10"/>
  <c r="N50" i="10"/>
  <c r="N53" i="10"/>
  <c r="N51" i="10"/>
  <c r="N49" i="10"/>
  <c r="O48" i="14"/>
  <c r="N48" i="14"/>
  <c r="S30" i="11"/>
  <c r="R30" i="11"/>
  <c r="AE40" i="17"/>
  <c r="AD40" i="17" s="1"/>
  <c r="AE31" i="17"/>
  <c r="AD31" i="17" s="1"/>
  <c r="AA31" i="17" s="1"/>
  <c r="AE22" i="17"/>
  <c r="AD22" i="17" s="1"/>
  <c r="Z22" i="17" s="1"/>
  <c r="AE49" i="17"/>
  <c r="AD49" i="17" s="1"/>
  <c r="N33" i="25"/>
  <c r="N34" i="25"/>
  <c r="N32" i="25"/>
  <c r="N35" i="25"/>
  <c r="N36" i="25"/>
  <c r="Z42" i="25"/>
  <c r="Z43" i="25"/>
  <c r="Z41" i="25"/>
  <c r="Z44" i="25"/>
  <c r="Z45" i="25"/>
  <c r="W30" i="26"/>
  <c r="V30" i="26"/>
  <c r="S25" i="28"/>
  <c r="S23" i="28"/>
  <c r="S26" i="28"/>
  <c r="S24" i="28"/>
  <c r="S27" i="28"/>
  <c r="S22" i="28"/>
  <c r="K43" i="31"/>
  <c r="K41" i="31"/>
  <c r="K44" i="31"/>
  <c r="K42" i="31"/>
  <c r="K45" i="31"/>
  <c r="F21" i="33"/>
  <c r="G21" i="33"/>
  <c r="Z33" i="34"/>
  <c r="Z36" i="34"/>
  <c r="Z31" i="34"/>
  <c r="Z34" i="34"/>
  <c r="Z32" i="34"/>
  <c r="Z35" i="34"/>
  <c r="AA48" i="35"/>
  <c r="Z48" i="35"/>
  <c r="F24" i="37"/>
  <c r="F27" i="37"/>
  <c r="F22" i="37"/>
  <c r="F25" i="37"/>
  <c r="F26" i="37"/>
  <c r="F23" i="37"/>
  <c r="W53" i="37"/>
  <c r="W51" i="37"/>
  <c r="W54" i="37"/>
  <c r="W49" i="37"/>
  <c r="W52" i="37"/>
  <c r="W50" i="37"/>
  <c r="Z22" i="39"/>
  <c r="W42" i="42"/>
  <c r="W41" i="42"/>
  <c r="W45" i="42"/>
  <c r="W43" i="42"/>
  <c r="W44" i="42"/>
  <c r="W40" i="42"/>
  <c r="Z53" i="20"/>
  <c r="Z51" i="20"/>
  <c r="Z49" i="20"/>
  <c r="Z54" i="20"/>
  <c r="Z52" i="20"/>
  <c r="K21" i="19"/>
  <c r="J21" i="19"/>
  <c r="O21" i="11"/>
  <c r="N21" i="11"/>
  <c r="J39" i="17"/>
  <c r="K39" i="17"/>
  <c r="W30" i="17"/>
  <c r="V30" i="17"/>
  <c r="S30" i="23"/>
  <c r="R30" i="23"/>
  <c r="S39" i="32"/>
  <c r="R39" i="32"/>
  <c r="S30" i="36"/>
  <c r="R30" i="36"/>
  <c r="G39" i="23"/>
  <c r="F39" i="23"/>
  <c r="K48" i="36"/>
  <c r="J48" i="36"/>
  <c r="S48" i="17"/>
  <c r="R48" i="17"/>
  <c r="O39" i="27"/>
  <c r="N39" i="27"/>
  <c r="G30" i="12"/>
  <c r="F30" i="12"/>
  <c r="O21" i="13"/>
  <c r="N21" i="13"/>
  <c r="G30" i="36"/>
  <c r="F30" i="36"/>
  <c r="BA33" i="10"/>
  <c r="BI33" i="10"/>
  <c r="K30" i="24"/>
  <c r="J30" i="24"/>
  <c r="J48" i="25"/>
  <c r="K48" i="25"/>
  <c r="AA39" i="26"/>
  <c r="Z39" i="26"/>
  <c r="R51" i="28"/>
  <c r="R54" i="28"/>
  <c r="R49" i="28"/>
  <c r="R52" i="28"/>
  <c r="R50" i="28"/>
  <c r="R53" i="28"/>
  <c r="AE23" i="30"/>
  <c r="AD23" i="30" s="1"/>
  <c r="Z23" i="30" s="1"/>
  <c r="AE50" i="30"/>
  <c r="AD50" i="30" s="1"/>
  <c r="F50" i="30" s="1"/>
  <c r="AE41" i="30"/>
  <c r="AD41" i="30" s="1"/>
  <c r="O41" i="30" s="1"/>
  <c r="AE32" i="30"/>
  <c r="AD32" i="30" s="1"/>
  <c r="K21" i="33"/>
  <c r="J21" i="33"/>
  <c r="W21" i="38"/>
  <c r="V21" i="38"/>
  <c r="V32" i="42"/>
  <c r="V35" i="42"/>
  <c r="V33" i="42"/>
  <c r="V36" i="42"/>
  <c r="V31" i="42"/>
  <c r="V34" i="42"/>
  <c r="K30" i="42"/>
  <c r="J30" i="42"/>
  <c r="S48" i="27"/>
  <c r="R48" i="27"/>
  <c r="W30" i="29"/>
  <c r="V30" i="29"/>
  <c r="W21" i="12"/>
  <c r="V21" i="12"/>
  <c r="AA32" i="15"/>
  <c r="AA35" i="15"/>
  <c r="AA33" i="15"/>
  <c r="AA36" i="15"/>
  <c r="AA31" i="15"/>
  <c r="AA34" i="15"/>
  <c r="D33" i="6"/>
  <c r="C33" i="6"/>
  <c r="AM33" i="6" s="1"/>
  <c r="D99" i="6"/>
  <c r="C99" i="6"/>
  <c r="AM99" i="6" s="1"/>
  <c r="D163" i="6"/>
  <c r="C163" i="6"/>
  <c r="AM163" i="6" s="1"/>
  <c r="K7" i="6"/>
  <c r="C11" i="6"/>
  <c r="AM11" i="6" s="1"/>
  <c r="D11" i="6"/>
  <c r="D102" i="6"/>
  <c r="C102" i="6"/>
  <c r="AM102" i="6" s="1"/>
  <c r="D166" i="6"/>
  <c r="C166" i="6"/>
  <c r="AM166" i="6" s="1"/>
  <c r="D47" i="6"/>
  <c r="C47" i="6"/>
  <c r="AM47" i="6" s="1"/>
  <c r="D105" i="6"/>
  <c r="C105" i="6"/>
  <c r="AM105" i="6" s="1"/>
  <c r="D169" i="6"/>
  <c r="C169" i="6"/>
  <c r="AM169" i="6" s="1"/>
  <c r="C27" i="6"/>
  <c r="AM27" i="6" s="1"/>
  <c r="D27" i="6"/>
  <c r="C76" i="6"/>
  <c r="AM76" i="6" s="1"/>
  <c r="D76" i="6"/>
  <c r="C140" i="6"/>
  <c r="AM140" i="6" s="1"/>
  <c r="D140" i="6"/>
  <c r="D21" i="6"/>
  <c r="C21" i="6"/>
  <c r="AM21" i="6" s="1"/>
  <c r="D103" i="6"/>
  <c r="C103" i="6"/>
  <c r="AM103" i="6" s="1"/>
  <c r="D167" i="6"/>
  <c r="C167" i="6"/>
  <c r="AM167" i="6" s="1"/>
  <c r="D18" i="6"/>
  <c r="C18" i="6"/>
  <c r="AM18" i="6" s="1"/>
  <c r="D58" i="6"/>
  <c r="C58" i="6"/>
  <c r="AM58" i="6" s="1"/>
  <c r="D122" i="6"/>
  <c r="C122" i="6"/>
  <c r="AM122" i="6" s="1"/>
  <c r="D186" i="6"/>
  <c r="C186" i="6"/>
  <c r="AM186" i="6" s="1"/>
  <c r="D101" i="6"/>
  <c r="C101" i="6"/>
  <c r="AM101" i="6" s="1"/>
  <c r="D165" i="6"/>
  <c r="C165" i="6"/>
  <c r="AM165" i="6" s="1"/>
  <c r="D42" i="6"/>
  <c r="C42" i="6"/>
  <c r="AM42" i="6" s="1"/>
  <c r="D88" i="6"/>
  <c r="C88" i="6"/>
  <c r="AM88" i="6" s="1"/>
  <c r="D152" i="6"/>
  <c r="C152" i="6"/>
  <c r="AM152" i="6" s="1"/>
  <c r="O40" i="12"/>
  <c r="O43" i="12"/>
  <c r="O41" i="12"/>
  <c r="O44" i="12"/>
  <c r="O42" i="12"/>
  <c r="O45" i="12"/>
  <c r="W21" i="13"/>
  <c r="V21" i="13"/>
  <c r="K39" i="11"/>
  <c r="J39" i="11"/>
  <c r="K21" i="21"/>
  <c r="J21" i="21"/>
  <c r="AA35" i="21"/>
  <c r="AA33" i="21"/>
  <c r="AA36" i="21"/>
  <c r="AA31" i="21"/>
  <c r="AA34" i="21"/>
  <c r="AA32" i="21"/>
  <c r="V44" i="25"/>
  <c r="V42" i="25"/>
  <c r="V45" i="25"/>
  <c r="V43" i="25"/>
  <c r="V41" i="25"/>
  <c r="AE53" i="27"/>
  <c r="AD53" i="27" s="1"/>
  <c r="AE44" i="27"/>
  <c r="AD44" i="27" s="1"/>
  <c r="AE35" i="27"/>
  <c r="AD35" i="27" s="1"/>
  <c r="AE26" i="27"/>
  <c r="AD26" i="27" s="1"/>
  <c r="N42" i="30"/>
  <c r="N45" i="30"/>
  <c r="N40" i="30"/>
  <c r="N43" i="30"/>
  <c r="N41" i="30"/>
  <c r="N44" i="30"/>
  <c r="O48" i="29"/>
  <c r="N48" i="29"/>
  <c r="AA44" i="30"/>
  <c r="AA42" i="30"/>
  <c r="AA45" i="30"/>
  <c r="AA40" i="30"/>
  <c r="AA43" i="30"/>
  <c r="AA41" i="30"/>
  <c r="AA22" i="33"/>
  <c r="AA25" i="33"/>
  <c r="AA23" i="33"/>
  <c r="AA26" i="33"/>
  <c r="AA24" i="33"/>
  <c r="AA27" i="33"/>
  <c r="AA43" i="34"/>
  <c r="AA41" i="34"/>
  <c r="AA44" i="34"/>
  <c r="AA42" i="34"/>
  <c r="AA45" i="34"/>
  <c r="AA40" i="34"/>
  <c r="O39" i="36"/>
  <c r="N39" i="36"/>
  <c r="G21" i="38"/>
  <c r="F21" i="38"/>
  <c r="O48" i="40"/>
  <c r="N48" i="40"/>
  <c r="W39" i="41"/>
  <c r="V39" i="41"/>
  <c r="Z25" i="12"/>
  <c r="Z23" i="12"/>
  <c r="Z26" i="12"/>
  <c r="Z24" i="12"/>
  <c r="Z27" i="12"/>
  <c r="Z22" i="12"/>
  <c r="V35" i="11"/>
  <c r="V33" i="11"/>
  <c r="V36" i="11"/>
  <c r="V34" i="11"/>
  <c r="V32" i="11"/>
  <c r="Z54" i="17"/>
  <c r="Z49" i="17"/>
  <c r="Z52" i="17"/>
  <c r="Z50" i="17"/>
  <c r="Z53" i="17"/>
  <c r="Z51" i="17"/>
  <c r="Z30" i="18"/>
  <c r="AA30" i="18"/>
  <c r="O48" i="20"/>
  <c r="N48" i="20"/>
  <c r="J36" i="26"/>
  <c r="AA30" i="23"/>
  <c r="Z30" i="23"/>
  <c r="K30" i="27"/>
  <c r="J30" i="27"/>
  <c r="S32" i="31"/>
  <c r="S35" i="31"/>
  <c r="S33" i="31"/>
  <c r="S36" i="31"/>
  <c r="S34" i="31"/>
  <c r="AA51" i="33"/>
  <c r="AA54" i="33"/>
  <c r="AA49" i="33"/>
  <c r="AA52" i="33"/>
  <c r="AA50" i="33"/>
  <c r="AA53" i="33"/>
  <c r="K45" i="38"/>
  <c r="K40" i="38"/>
  <c r="K43" i="38"/>
  <c r="K41" i="38"/>
  <c r="K44" i="38"/>
  <c r="K42" i="38"/>
  <c r="R30" i="40"/>
  <c r="S30" i="40"/>
  <c r="J48" i="41"/>
  <c r="K48" i="41"/>
  <c r="W23" i="35"/>
  <c r="W26" i="35"/>
  <c r="W27" i="35"/>
  <c r="W25" i="35"/>
  <c r="W22" i="35"/>
  <c r="K44" i="10"/>
  <c r="K42" i="10"/>
  <c r="K45" i="10"/>
  <c r="K43" i="10"/>
  <c r="K41" i="10"/>
  <c r="K40" i="10"/>
  <c r="S52" i="13"/>
  <c r="S50" i="13"/>
  <c r="S53" i="13"/>
  <c r="S51" i="13"/>
  <c r="S54" i="13"/>
  <c r="S49" i="13"/>
  <c r="AA21" i="13"/>
  <c r="Z21" i="13"/>
  <c r="AA42" i="17"/>
  <c r="AA45" i="17"/>
  <c r="AA40" i="17"/>
  <c r="AA43" i="17"/>
  <c r="AA41" i="17"/>
  <c r="AA44" i="17"/>
  <c r="W30" i="16"/>
  <c r="V30" i="16"/>
  <c r="AA41" i="22"/>
  <c r="AA44" i="22"/>
  <c r="AA42" i="22"/>
  <c r="AA45" i="22"/>
  <c r="AA40" i="22"/>
  <c r="AA43" i="22"/>
  <c r="S41" i="21"/>
  <c r="S44" i="21"/>
  <c r="S42" i="21"/>
  <c r="S45" i="21"/>
  <c r="S40" i="21"/>
  <c r="S43" i="21"/>
  <c r="K48" i="22"/>
  <c r="J48" i="22"/>
  <c r="AE22" i="25"/>
  <c r="AD22" i="25" s="1"/>
  <c r="W22" i="25" s="1"/>
  <c r="AE49" i="25"/>
  <c r="AD49" i="25" s="1"/>
  <c r="Z49" i="25" s="1"/>
  <c r="AE31" i="25"/>
  <c r="AD31" i="25" s="1"/>
  <c r="N31" i="25" s="1"/>
  <c r="AE40" i="25"/>
  <c r="AD40" i="25" s="1"/>
  <c r="V40" i="25" s="1"/>
  <c r="G30" i="29"/>
  <c r="F30" i="29"/>
  <c r="O23" i="30"/>
  <c r="O26" i="30"/>
  <c r="O24" i="30"/>
  <c r="O27" i="30"/>
  <c r="O22" i="30"/>
  <c r="O25" i="30"/>
  <c r="W24" i="30"/>
  <c r="W27" i="30"/>
  <c r="W22" i="30"/>
  <c r="W25" i="30"/>
  <c r="W23" i="30"/>
  <c r="W26" i="30"/>
  <c r="O30" i="32"/>
  <c r="N30" i="32"/>
  <c r="BK26" i="34"/>
  <c r="BC26" i="34"/>
  <c r="G30" i="34"/>
  <c r="F30" i="34"/>
  <c r="AA32" i="37"/>
  <c r="AA35" i="37"/>
  <c r="AA33" i="37"/>
  <c r="AA36" i="37"/>
  <c r="AA34" i="37"/>
  <c r="AA31" i="37"/>
  <c r="Z48" i="41"/>
  <c r="AA48" i="41"/>
  <c r="O21" i="41"/>
  <c r="N21" i="41"/>
  <c r="N21" i="38"/>
  <c r="O21" i="38"/>
  <c r="G48" i="10"/>
  <c r="F48" i="10"/>
  <c r="Y49" i="10"/>
  <c r="AA49" i="10"/>
  <c r="T49" i="10"/>
  <c r="W49" i="10"/>
  <c r="R49" i="10"/>
  <c r="Z42" i="12"/>
  <c r="Z45" i="12"/>
  <c r="Z40" i="12"/>
  <c r="Z43" i="12"/>
  <c r="Z41" i="12"/>
  <c r="Z44" i="12"/>
  <c r="R26" i="15"/>
  <c r="R24" i="15"/>
  <c r="R27" i="15"/>
  <c r="R22" i="15"/>
  <c r="R25" i="15"/>
  <c r="R23" i="15"/>
  <c r="G39" i="16"/>
  <c r="F39" i="16"/>
  <c r="Z45" i="14"/>
  <c r="Z40" i="14"/>
  <c r="Z43" i="14"/>
  <c r="Z41" i="14"/>
  <c r="Z44" i="14"/>
  <c r="Z42" i="14"/>
  <c r="S21" i="16"/>
  <c r="R21" i="16"/>
  <c r="J39" i="18"/>
  <c r="K39" i="18"/>
  <c r="G48" i="20"/>
  <c r="F48" i="20"/>
  <c r="BA24" i="21"/>
  <c r="BI24" i="21"/>
  <c r="S53" i="21"/>
  <c r="S51" i="21"/>
  <c r="S54" i="21"/>
  <c r="S49" i="21"/>
  <c r="S52" i="21"/>
  <c r="S50" i="21"/>
  <c r="V23" i="25"/>
  <c r="V24" i="25"/>
  <c r="V27" i="25"/>
  <c r="V25" i="25"/>
  <c r="V26" i="25"/>
  <c r="G30" i="26"/>
  <c r="F30" i="26"/>
  <c r="J52" i="29"/>
  <c r="J53" i="29"/>
  <c r="J51" i="29"/>
  <c r="J50" i="29"/>
  <c r="J49" i="29"/>
  <c r="J54" i="29"/>
  <c r="S54" i="31"/>
  <c r="S52" i="31"/>
  <c r="S50" i="31"/>
  <c r="S53" i="31"/>
  <c r="S51" i="31"/>
  <c r="W48" i="32"/>
  <c r="V48" i="32"/>
  <c r="K39" i="37"/>
  <c r="J39" i="37"/>
  <c r="Z27" i="37"/>
  <c r="Z22" i="37"/>
  <c r="Z25" i="37"/>
  <c r="Z23" i="37"/>
  <c r="Z26" i="37"/>
  <c r="Z24" i="37"/>
  <c r="W39" i="39"/>
  <c r="V39" i="39"/>
  <c r="S42" i="41"/>
  <c r="BI42" i="41" s="1"/>
  <c r="G21" i="13"/>
  <c r="F21" i="13"/>
  <c r="R35" i="13"/>
  <c r="R33" i="13"/>
  <c r="R36" i="13"/>
  <c r="R31" i="13"/>
  <c r="R34" i="13"/>
  <c r="R32" i="13"/>
  <c r="K21" i="15"/>
  <c r="J21" i="15"/>
  <c r="S23" i="21"/>
  <c r="BA23" i="21" s="1"/>
  <c r="S39" i="19"/>
  <c r="R39" i="19"/>
  <c r="V27" i="21"/>
  <c r="V22" i="21"/>
  <c r="V25" i="21"/>
  <c r="V23" i="21"/>
  <c r="V26" i="21"/>
  <c r="V24" i="21"/>
  <c r="R30" i="26"/>
  <c r="S30" i="26"/>
  <c r="BK53" i="30"/>
  <c r="BC53" i="30"/>
  <c r="R32" i="28"/>
  <c r="R35" i="28"/>
  <c r="R33" i="28"/>
  <c r="R36" i="28"/>
  <c r="R31" i="28"/>
  <c r="R34" i="28"/>
  <c r="R44" i="31"/>
  <c r="R42" i="31"/>
  <c r="R45" i="31"/>
  <c r="R40" i="31"/>
  <c r="R43" i="31"/>
  <c r="R41" i="31"/>
  <c r="AE22" i="31"/>
  <c r="AD22" i="31" s="1"/>
  <c r="AA22" i="31" s="1"/>
  <c r="AE49" i="31"/>
  <c r="AD49" i="31" s="1"/>
  <c r="Z49" i="31" s="1"/>
  <c r="AE40" i="31"/>
  <c r="AD40" i="31" s="1"/>
  <c r="AE31" i="31"/>
  <c r="AD31" i="31" s="1"/>
  <c r="R53" i="38"/>
  <c r="R51" i="38"/>
  <c r="R54" i="38"/>
  <c r="R49" i="38"/>
  <c r="R52" i="38"/>
  <c r="R50" i="38"/>
  <c r="S39" i="39"/>
  <c r="R39" i="39"/>
  <c r="BI40" i="41"/>
  <c r="BA40" i="41"/>
  <c r="Z30" i="40"/>
  <c r="AA30" i="40"/>
  <c r="BC33" i="42"/>
  <c r="BK33" i="42"/>
  <c r="BC35" i="10"/>
  <c r="BK35" i="10"/>
  <c r="N21" i="14"/>
  <c r="O21" i="14"/>
  <c r="Z33" i="16"/>
  <c r="Z36" i="16"/>
  <c r="Z31" i="16"/>
  <c r="Z34" i="16"/>
  <c r="Z32" i="16"/>
  <c r="Z35" i="16"/>
  <c r="O36" i="25"/>
  <c r="O34" i="25"/>
  <c r="O35" i="25"/>
  <c r="O32" i="25"/>
  <c r="O33" i="25"/>
  <c r="AA45" i="25"/>
  <c r="AA43" i="25"/>
  <c r="AA44" i="25"/>
  <c r="AA41" i="25"/>
  <c r="AA42" i="25"/>
  <c r="AA40" i="25"/>
  <c r="J27" i="26"/>
  <c r="J22" i="26"/>
  <c r="J25" i="26"/>
  <c r="J23" i="26"/>
  <c r="J26" i="26"/>
  <c r="J24" i="26"/>
  <c r="K48" i="28"/>
  <c r="J48" i="28"/>
  <c r="AA42" i="29"/>
  <c r="AA45" i="29"/>
  <c r="AA40" i="29"/>
  <c r="AA43" i="29"/>
  <c r="AA41" i="29"/>
  <c r="AA44" i="29"/>
  <c r="J49" i="32"/>
  <c r="J52" i="32"/>
  <c r="J50" i="32"/>
  <c r="J53" i="32"/>
  <c r="J51" i="32"/>
  <c r="J54" i="32"/>
  <c r="W45" i="35"/>
  <c r="W40" i="35"/>
  <c r="W43" i="35"/>
  <c r="W41" i="35"/>
  <c r="W44" i="35"/>
  <c r="G30" i="33"/>
  <c r="F30" i="33"/>
  <c r="AA36" i="34"/>
  <c r="AA31" i="34"/>
  <c r="AA34" i="34"/>
  <c r="AA32" i="34"/>
  <c r="AA35" i="34"/>
  <c r="AA33" i="34"/>
  <c r="AA21" i="35"/>
  <c r="Z21" i="35"/>
  <c r="BC50" i="36"/>
  <c r="BK50" i="36"/>
  <c r="BK27" i="39"/>
  <c r="BC27" i="39"/>
  <c r="V43" i="42"/>
  <c r="V41" i="42"/>
  <c r="V45" i="42"/>
  <c r="V42" i="42"/>
  <c r="V44" i="42"/>
  <c r="V40" i="42"/>
  <c r="AA50" i="20"/>
  <c r="AA53" i="20"/>
  <c r="AA51" i="20"/>
  <c r="AA54" i="20"/>
  <c r="AA52" i="20"/>
  <c r="AA49" i="20"/>
  <c r="K30" i="19"/>
  <c r="J30" i="19"/>
  <c r="N21" i="31"/>
  <c r="O21" i="31"/>
  <c r="O30" i="11"/>
  <c r="N30" i="11"/>
  <c r="O21" i="34"/>
  <c r="N21" i="34"/>
  <c r="K48" i="17"/>
  <c r="J48" i="17"/>
  <c r="W39" i="17"/>
  <c r="V39" i="17"/>
  <c r="S21" i="23"/>
  <c r="R21" i="23"/>
  <c r="O30" i="42"/>
  <c r="N30" i="42"/>
  <c r="G48" i="23"/>
  <c r="F48" i="23"/>
  <c r="R21" i="17"/>
  <c r="S21" i="17"/>
  <c r="S39" i="35"/>
  <c r="R39" i="35"/>
  <c r="G39" i="12"/>
  <c r="F39" i="12"/>
  <c r="O30" i="13"/>
  <c r="N30" i="13"/>
  <c r="G39" i="36"/>
  <c r="F39" i="36"/>
  <c r="N23" i="12"/>
  <c r="N26" i="12"/>
  <c r="N24" i="12"/>
  <c r="N27" i="12"/>
  <c r="N22" i="12"/>
  <c r="N25" i="12"/>
  <c r="V41" i="21"/>
  <c r="V44" i="21"/>
  <c r="V42" i="21"/>
  <c r="V45" i="21"/>
  <c r="V40" i="21"/>
  <c r="V43" i="21"/>
  <c r="V23" i="24"/>
  <c r="V26" i="24"/>
  <c r="V27" i="24"/>
  <c r="V22" i="24"/>
  <c r="V25" i="24"/>
  <c r="K36" i="31"/>
  <c r="K31" i="31"/>
  <c r="K34" i="31"/>
  <c r="K32" i="31"/>
  <c r="K35" i="31"/>
  <c r="K33" i="31"/>
  <c r="V32" i="35"/>
  <c r="V35" i="35"/>
  <c r="V36" i="35"/>
  <c r="V31" i="35"/>
  <c r="V34" i="35"/>
  <c r="W32" i="42"/>
  <c r="W35" i="42"/>
  <c r="W33" i="42"/>
  <c r="W36" i="42"/>
  <c r="W31" i="42"/>
  <c r="W34" i="42"/>
  <c r="J48" i="42"/>
  <c r="K48" i="42"/>
  <c r="W39" i="29"/>
  <c r="V39" i="29"/>
  <c r="K39" i="13"/>
  <c r="J39" i="13"/>
  <c r="G48" i="15"/>
  <c r="F48" i="15"/>
  <c r="Z32" i="17"/>
  <c r="Z35" i="17"/>
  <c r="Z33" i="17"/>
  <c r="Z36" i="17"/>
  <c r="Z34" i="17"/>
  <c r="D36" i="6"/>
  <c r="C36" i="6"/>
  <c r="AM36" i="6" s="1"/>
  <c r="D107" i="6"/>
  <c r="C107" i="6"/>
  <c r="AM107" i="6" s="1"/>
  <c r="D171" i="6"/>
  <c r="C171" i="6"/>
  <c r="AM171" i="6" s="1"/>
  <c r="D43" i="6"/>
  <c r="C43" i="6"/>
  <c r="AM43" i="6" s="1"/>
  <c r="D110" i="6"/>
  <c r="C110" i="6"/>
  <c r="AM110" i="6" s="1"/>
  <c r="D174" i="6"/>
  <c r="C174" i="6"/>
  <c r="AM174" i="6" s="1"/>
  <c r="D50" i="6"/>
  <c r="C50" i="6"/>
  <c r="AM50" i="6" s="1"/>
  <c r="D113" i="6"/>
  <c r="C113" i="6"/>
  <c r="AM113" i="6" s="1"/>
  <c r="D177" i="6"/>
  <c r="C177" i="6"/>
  <c r="AM177" i="6" s="1"/>
  <c r="C34" i="6"/>
  <c r="AM34" i="6" s="1"/>
  <c r="D34" i="6"/>
  <c r="C84" i="6"/>
  <c r="AM84" i="6" s="1"/>
  <c r="D84" i="6"/>
  <c r="C148" i="6"/>
  <c r="AM148" i="6" s="1"/>
  <c r="D148" i="6"/>
  <c r="D31" i="6"/>
  <c r="C31" i="6"/>
  <c r="AM31" i="6" s="1"/>
  <c r="D111" i="6"/>
  <c r="C111" i="6"/>
  <c r="AM111" i="6" s="1"/>
  <c r="D175" i="6"/>
  <c r="C175" i="6"/>
  <c r="AM175" i="6" s="1"/>
  <c r="D28" i="6"/>
  <c r="C28" i="6"/>
  <c r="AM28" i="6" s="1"/>
  <c r="D66" i="6"/>
  <c r="C66" i="6"/>
  <c r="AM66" i="6" s="1"/>
  <c r="D130" i="6"/>
  <c r="C130" i="6"/>
  <c r="AM130" i="6" s="1"/>
  <c r="D194" i="6"/>
  <c r="C194" i="6"/>
  <c r="AM194" i="6" s="1"/>
  <c r="D109" i="6"/>
  <c r="C109" i="6"/>
  <c r="AM109" i="6" s="1"/>
  <c r="D173" i="6"/>
  <c r="C173" i="6"/>
  <c r="AM173" i="6" s="1"/>
  <c r="D46" i="6"/>
  <c r="C46" i="6"/>
  <c r="AM46" i="6" s="1"/>
  <c r="D96" i="6"/>
  <c r="C96" i="6"/>
  <c r="AM96" i="6" s="1"/>
  <c r="D160" i="6"/>
  <c r="C160" i="6"/>
  <c r="AM160" i="6" s="1"/>
  <c r="W30" i="13"/>
  <c r="V30" i="13"/>
  <c r="BC44" i="21"/>
  <c r="BK44" i="21"/>
  <c r="K30" i="21"/>
  <c r="J30" i="21"/>
  <c r="AE50" i="23"/>
  <c r="AD50" i="23" s="1"/>
  <c r="AE41" i="23"/>
  <c r="AD41" i="23" s="1"/>
  <c r="AE32" i="23"/>
  <c r="AD32" i="23" s="1"/>
  <c r="AE23" i="23"/>
  <c r="AD23" i="23" s="1"/>
  <c r="W45" i="25"/>
  <c r="W40" i="25"/>
  <c r="W41" i="25"/>
  <c r="W42" i="25"/>
  <c r="W44" i="25"/>
  <c r="W43" i="25"/>
  <c r="F43" i="30"/>
  <c r="F41" i="30"/>
  <c r="F44" i="30"/>
  <c r="F42" i="30"/>
  <c r="F45" i="30"/>
  <c r="F40" i="30"/>
  <c r="J25" i="32"/>
  <c r="J23" i="32"/>
  <c r="J26" i="32"/>
  <c r="J24" i="32"/>
  <c r="J22" i="32"/>
  <c r="J27" i="32"/>
  <c r="O21" i="29"/>
  <c r="N21" i="29"/>
  <c r="O48" i="36"/>
  <c r="N48" i="36"/>
  <c r="G30" i="38"/>
  <c r="F30" i="38"/>
  <c r="N39" i="40"/>
  <c r="O39" i="40"/>
  <c r="W21" i="41"/>
  <c r="V21" i="41"/>
  <c r="AA23" i="12"/>
  <c r="AA26" i="12"/>
  <c r="AA24" i="12"/>
  <c r="AA27" i="12"/>
  <c r="AA22" i="12"/>
  <c r="AA25" i="12"/>
  <c r="W36" i="11"/>
  <c r="W34" i="11"/>
  <c r="W32" i="11"/>
  <c r="W35" i="11"/>
  <c r="W33" i="11"/>
  <c r="AA49" i="17"/>
  <c r="AA52" i="17"/>
  <c r="AA50" i="17"/>
  <c r="AA53" i="17"/>
  <c r="AA51" i="17"/>
  <c r="AA54" i="17"/>
  <c r="Z39" i="18"/>
  <c r="AA39" i="18"/>
  <c r="Z32" i="20"/>
  <c r="Z35" i="20"/>
  <c r="Z33" i="20"/>
  <c r="Z36" i="20"/>
  <c r="Z31" i="20"/>
  <c r="Z34" i="20"/>
  <c r="AA39" i="23"/>
  <c r="Z39" i="23"/>
  <c r="K39" i="27"/>
  <c r="J39" i="27"/>
  <c r="F36" i="30"/>
  <c r="F31" i="30"/>
  <c r="F34" i="30"/>
  <c r="F32" i="30"/>
  <c r="F35" i="30"/>
  <c r="F33" i="30"/>
  <c r="Z51" i="33"/>
  <c r="Z54" i="33"/>
  <c r="Z49" i="33"/>
  <c r="Z52" i="33"/>
  <c r="Z50" i="33"/>
  <c r="Z53" i="33"/>
  <c r="R41" i="38"/>
  <c r="R44" i="38"/>
  <c r="R42" i="38"/>
  <c r="R45" i="38"/>
  <c r="R40" i="38"/>
  <c r="R43" i="38"/>
  <c r="R48" i="40"/>
  <c r="S48" i="40"/>
  <c r="K30" i="41"/>
  <c r="J30" i="41"/>
  <c r="R33" i="15"/>
  <c r="R36" i="15"/>
  <c r="R31" i="15"/>
  <c r="R34" i="15"/>
  <c r="R32" i="15"/>
  <c r="R35" i="15"/>
  <c r="BC27" i="14"/>
  <c r="BK27" i="14"/>
  <c r="AA30" i="13"/>
  <c r="Z30" i="13"/>
  <c r="Z42" i="17"/>
  <c r="Z45" i="17"/>
  <c r="Z40" i="17"/>
  <c r="Z43" i="17"/>
  <c r="Z41" i="17"/>
  <c r="Z44" i="17"/>
  <c r="W39" i="16"/>
  <c r="V39" i="16"/>
  <c r="W39" i="22"/>
  <c r="V39" i="22"/>
  <c r="Z54" i="21"/>
  <c r="Z49" i="21"/>
  <c r="Z52" i="21"/>
  <c r="Z50" i="21"/>
  <c r="Z53" i="21"/>
  <c r="Z51" i="21"/>
  <c r="K21" i="22"/>
  <c r="J21" i="22"/>
  <c r="G39" i="29"/>
  <c r="F39" i="29"/>
  <c r="W48" i="28"/>
  <c r="V48" i="28"/>
  <c r="V24" i="30"/>
  <c r="V27" i="30"/>
  <c r="V22" i="30"/>
  <c r="V25" i="30"/>
  <c r="V26" i="30"/>
  <c r="V23" i="30"/>
  <c r="N39" i="32"/>
  <c r="O39" i="32"/>
  <c r="R52" i="33"/>
  <c r="R50" i="33"/>
  <c r="R53" i="33"/>
  <c r="R51" i="33"/>
  <c r="R54" i="33"/>
  <c r="R49" i="33"/>
  <c r="G39" i="34"/>
  <c r="F39" i="34"/>
  <c r="AA30" i="41"/>
  <c r="Z30" i="41"/>
  <c r="O48" i="41"/>
  <c r="N48" i="41"/>
  <c r="J30" i="40"/>
  <c r="K30" i="40"/>
  <c r="S24" i="15"/>
  <c r="S27" i="15"/>
  <c r="S22" i="15"/>
  <c r="S25" i="15"/>
  <c r="S23" i="15"/>
  <c r="S26" i="15"/>
  <c r="G48" i="16"/>
  <c r="F48" i="16"/>
  <c r="AA40" i="14"/>
  <c r="AA43" i="14"/>
  <c r="AA41" i="14"/>
  <c r="AA44" i="14"/>
  <c r="AA42" i="14"/>
  <c r="AA45" i="14"/>
  <c r="S30" i="16"/>
  <c r="R30" i="16"/>
  <c r="O48" i="22"/>
  <c r="N48" i="22"/>
  <c r="V42" i="20"/>
  <c r="V45" i="20"/>
  <c r="V43" i="20"/>
  <c r="V44" i="20"/>
  <c r="V41" i="20"/>
  <c r="V40" i="20"/>
  <c r="O43" i="25"/>
  <c r="O41" i="25"/>
  <c r="O44" i="25"/>
  <c r="O42" i="25"/>
  <c r="O45" i="25"/>
  <c r="O40" i="25"/>
  <c r="Z35" i="25"/>
  <c r="Z33" i="25"/>
  <c r="Z36" i="25"/>
  <c r="Z34" i="25"/>
  <c r="Z31" i="25"/>
  <c r="Z32" i="25"/>
  <c r="G39" i="26"/>
  <c r="F39" i="26"/>
  <c r="K52" i="29"/>
  <c r="K51" i="29"/>
  <c r="K50" i="29"/>
  <c r="K49" i="29"/>
  <c r="K53" i="29"/>
  <c r="K54" i="29"/>
  <c r="R51" i="31"/>
  <c r="R54" i="31"/>
  <c r="R49" i="31"/>
  <c r="R52" i="31"/>
  <c r="R50" i="31"/>
  <c r="R53" i="31"/>
  <c r="R45" i="33"/>
  <c r="R40" i="33"/>
  <c r="R43" i="33"/>
  <c r="R41" i="33"/>
  <c r="R44" i="33"/>
  <c r="R42" i="33"/>
  <c r="V51" i="36"/>
  <c r="V54" i="36"/>
  <c r="V50" i="36"/>
  <c r="V52" i="36"/>
  <c r="V53" i="36"/>
  <c r="V49" i="36"/>
  <c r="J48" i="37"/>
  <c r="K48" i="37"/>
  <c r="AA22" i="37"/>
  <c r="AA25" i="37"/>
  <c r="AA23" i="37"/>
  <c r="AA26" i="37"/>
  <c r="AA27" i="37"/>
  <c r="AA24" i="37"/>
  <c r="W48" i="39"/>
  <c r="V48" i="39"/>
  <c r="S45" i="41"/>
  <c r="G30" i="13"/>
  <c r="F30" i="13"/>
  <c r="S33" i="13"/>
  <c r="S36" i="13"/>
  <c r="S31" i="13"/>
  <c r="S34" i="13"/>
  <c r="S32" i="13"/>
  <c r="S35" i="13"/>
  <c r="AE49" i="11"/>
  <c r="AD49" i="11" s="1"/>
  <c r="Z49" i="11" s="1"/>
  <c r="AE40" i="11"/>
  <c r="AD40" i="11" s="1"/>
  <c r="V40" i="11" s="1"/>
  <c r="AE31" i="11"/>
  <c r="AD31" i="11" s="1"/>
  <c r="W31" i="11" s="1"/>
  <c r="AE22" i="11"/>
  <c r="AD22" i="11" s="1"/>
  <c r="Z22" i="11" s="1"/>
  <c r="S48" i="19"/>
  <c r="R48" i="19"/>
  <c r="O39" i="21"/>
  <c r="N39" i="21"/>
  <c r="S39" i="26"/>
  <c r="R39" i="26"/>
  <c r="S32" i="28"/>
  <c r="S35" i="28"/>
  <c r="S33" i="28"/>
  <c r="S36" i="28"/>
  <c r="S31" i="28"/>
  <c r="S34" i="28"/>
  <c r="V43" i="30"/>
  <c r="S42" i="31"/>
  <c r="S45" i="31"/>
  <c r="S40" i="31"/>
  <c r="S43" i="31"/>
  <c r="S44" i="31"/>
  <c r="S41" i="31"/>
  <c r="S33" i="33"/>
  <c r="S36" i="33"/>
  <c r="S31" i="33"/>
  <c r="S34" i="33"/>
  <c r="S32" i="33"/>
  <c r="S35" i="33"/>
  <c r="S51" i="38"/>
  <c r="S54" i="38"/>
  <c r="S49" i="38"/>
  <c r="S52" i="38"/>
  <c r="S50" i="38"/>
  <c r="S53" i="38"/>
  <c r="S48" i="39"/>
  <c r="R48" i="39"/>
  <c r="R45" i="41"/>
  <c r="Z21" i="40"/>
  <c r="AA21" i="40"/>
  <c r="BK35" i="42"/>
  <c r="BC35" i="42"/>
  <c r="V31" i="36"/>
  <c r="V34" i="36"/>
  <c r="V32" i="36"/>
  <c r="V35" i="36"/>
  <c r="V33" i="36"/>
  <c r="V36" i="36"/>
  <c r="O33" i="12"/>
  <c r="O36" i="12"/>
  <c r="O31" i="12"/>
  <c r="O34" i="12"/>
  <c r="O32" i="12"/>
  <c r="O35" i="12"/>
  <c r="AA36" i="16"/>
  <c r="AA31" i="16"/>
  <c r="AA34" i="16"/>
  <c r="AA32" i="16"/>
  <c r="AA35" i="16"/>
  <c r="AA33" i="16"/>
  <c r="Z52" i="14"/>
  <c r="Z50" i="14"/>
  <c r="Z53" i="14"/>
  <c r="Z51" i="14"/>
  <c r="Z54" i="14"/>
  <c r="Z49" i="14"/>
  <c r="V49" i="20"/>
  <c r="V52" i="20"/>
  <c r="V50" i="20"/>
  <c r="V53" i="20"/>
  <c r="V51" i="20"/>
  <c r="V54" i="20"/>
  <c r="W51" i="21"/>
  <c r="W54" i="21"/>
  <c r="W49" i="21"/>
  <c r="W52" i="21"/>
  <c r="W50" i="21"/>
  <c r="W53" i="21"/>
  <c r="W33" i="24"/>
  <c r="W36" i="24"/>
  <c r="W31" i="24"/>
  <c r="W34" i="24"/>
  <c r="W32" i="24"/>
  <c r="W35" i="24"/>
  <c r="K22" i="26"/>
  <c r="K25" i="26"/>
  <c r="K23" i="26"/>
  <c r="K26" i="26"/>
  <c r="K24" i="26"/>
  <c r="K27" i="26"/>
  <c r="K21" i="28"/>
  <c r="J21" i="28"/>
  <c r="Z42" i="29"/>
  <c r="Z45" i="29"/>
  <c r="Z40" i="29"/>
  <c r="Z43" i="29"/>
  <c r="Z41" i="29"/>
  <c r="Z44" i="29"/>
  <c r="K52" i="32"/>
  <c r="K50" i="32"/>
  <c r="K53" i="32"/>
  <c r="K51" i="32"/>
  <c r="K54" i="32"/>
  <c r="K49" i="32"/>
  <c r="V45" i="35"/>
  <c r="V40" i="35"/>
  <c r="V43" i="35"/>
  <c r="V44" i="35"/>
  <c r="V41" i="35"/>
  <c r="G39" i="33"/>
  <c r="F39" i="33"/>
  <c r="V24" i="36"/>
  <c r="V27" i="36"/>
  <c r="V22" i="36"/>
  <c r="V25" i="36"/>
  <c r="V23" i="36"/>
  <c r="V26" i="36"/>
  <c r="AE24" i="35"/>
  <c r="AD24" i="35" s="1"/>
  <c r="AE51" i="35"/>
  <c r="AD51" i="35" s="1"/>
  <c r="AE42" i="35"/>
  <c r="AD42" i="35" s="1"/>
  <c r="V42" i="35" s="1"/>
  <c r="AE33" i="35"/>
  <c r="AD33" i="35" s="1"/>
  <c r="W33" i="35" s="1"/>
  <c r="Z35" i="38"/>
  <c r="Z33" i="38"/>
  <c r="Z36" i="38"/>
  <c r="Z31" i="38"/>
  <c r="Z34" i="38"/>
  <c r="Z32" i="38"/>
  <c r="Z51" i="36"/>
  <c r="O21" i="39"/>
  <c r="N21" i="39"/>
  <c r="J41" i="26"/>
  <c r="J44" i="26"/>
  <c r="J42" i="26"/>
  <c r="J45" i="26"/>
  <c r="J40" i="26"/>
  <c r="J43" i="26"/>
  <c r="K21" i="12"/>
  <c r="J21" i="12"/>
  <c r="K39" i="19"/>
  <c r="J39" i="19"/>
  <c r="O30" i="31"/>
  <c r="N30" i="31"/>
  <c r="O39" i="11"/>
  <c r="N39" i="11"/>
  <c r="O30" i="34"/>
  <c r="N30" i="34"/>
  <c r="V48" i="17"/>
  <c r="W48" i="17"/>
  <c r="R39" i="23"/>
  <c r="S39" i="23"/>
  <c r="O21" i="42"/>
  <c r="N21" i="42"/>
  <c r="G21" i="23"/>
  <c r="F21" i="23"/>
  <c r="S30" i="17"/>
  <c r="R30" i="17"/>
  <c r="R48" i="35"/>
  <c r="S48" i="35"/>
  <c r="W30" i="15"/>
  <c r="V30" i="15"/>
  <c r="O39" i="13"/>
  <c r="N39" i="13"/>
  <c r="G30" i="41"/>
  <c r="F30" i="41"/>
  <c r="G48" i="36"/>
  <c r="F48" i="36"/>
  <c r="BB40" i="25" l="1"/>
  <c r="BJ40" i="25"/>
  <c r="BK49" i="25"/>
  <c r="BC49" i="25"/>
  <c r="BJ33" i="24"/>
  <c r="BB33" i="24"/>
  <c r="BJ24" i="18"/>
  <c r="BB24" i="18"/>
  <c r="BC34" i="22"/>
  <c r="BK34" i="22"/>
  <c r="BC51" i="36"/>
  <c r="BK51" i="36"/>
  <c r="BC54" i="14"/>
  <c r="BK54" i="14"/>
  <c r="BJ43" i="30"/>
  <c r="BB43" i="30"/>
  <c r="BA53" i="31"/>
  <c r="BI53" i="31"/>
  <c r="BA52" i="33"/>
  <c r="BI52" i="33"/>
  <c r="BC51" i="33"/>
  <c r="BK51" i="33"/>
  <c r="AX44" i="30"/>
  <c r="BF44" i="30"/>
  <c r="BB31" i="35"/>
  <c r="BJ31" i="35"/>
  <c r="K49" i="17"/>
  <c r="K52" i="17"/>
  <c r="K50" i="17"/>
  <c r="K53" i="17"/>
  <c r="K51" i="17"/>
  <c r="K54" i="17"/>
  <c r="AY26" i="26"/>
  <c r="BG26" i="26"/>
  <c r="N24" i="14"/>
  <c r="N27" i="14"/>
  <c r="N22" i="14"/>
  <c r="N25" i="14"/>
  <c r="N23" i="14"/>
  <c r="N26" i="14"/>
  <c r="K25" i="15"/>
  <c r="K23" i="15"/>
  <c r="K26" i="15"/>
  <c r="K24" i="15"/>
  <c r="K27" i="15"/>
  <c r="K22" i="15"/>
  <c r="BJ23" i="25"/>
  <c r="BB23" i="25"/>
  <c r="BC26" i="12"/>
  <c r="BK26" i="12"/>
  <c r="AZ41" i="30"/>
  <c r="BH41" i="30"/>
  <c r="BA50" i="21"/>
  <c r="BI50" i="21"/>
  <c r="W34" i="15"/>
  <c r="W32" i="15"/>
  <c r="W35" i="15"/>
  <c r="W33" i="15"/>
  <c r="W36" i="15"/>
  <c r="W31" i="15"/>
  <c r="O41" i="11"/>
  <c r="O44" i="11"/>
  <c r="O42" i="11"/>
  <c r="O45" i="11"/>
  <c r="O40" i="11"/>
  <c r="O43" i="11"/>
  <c r="O48" i="35"/>
  <c r="N48" i="35"/>
  <c r="BC51" i="14"/>
  <c r="BK51" i="14"/>
  <c r="BB36" i="36"/>
  <c r="BJ36" i="36"/>
  <c r="N45" i="21"/>
  <c r="N40" i="21"/>
  <c r="N43" i="21"/>
  <c r="N41" i="21"/>
  <c r="N44" i="21"/>
  <c r="N42" i="21"/>
  <c r="F51" i="36"/>
  <c r="F54" i="36"/>
  <c r="F50" i="36"/>
  <c r="F49" i="36"/>
  <c r="F52" i="36"/>
  <c r="F53" i="36"/>
  <c r="S51" i="35"/>
  <c r="S54" i="35"/>
  <c r="S49" i="35"/>
  <c r="S52" i="35"/>
  <c r="S50" i="35"/>
  <c r="S53" i="35"/>
  <c r="S43" i="23"/>
  <c r="S41" i="23"/>
  <c r="S44" i="23"/>
  <c r="S42" i="23"/>
  <c r="S45" i="23"/>
  <c r="S40" i="23"/>
  <c r="N31" i="31"/>
  <c r="N34" i="31"/>
  <c r="N32" i="31"/>
  <c r="N35" i="31"/>
  <c r="N36" i="31"/>
  <c r="N33" i="31"/>
  <c r="BG45" i="26"/>
  <c r="AY45" i="26"/>
  <c r="BC34" i="38"/>
  <c r="BK34" i="38"/>
  <c r="N21" i="35"/>
  <c r="O21" i="35"/>
  <c r="G41" i="33"/>
  <c r="G44" i="33"/>
  <c r="G42" i="33"/>
  <c r="G45" i="33"/>
  <c r="G40" i="33"/>
  <c r="G43" i="33"/>
  <c r="BC40" i="29"/>
  <c r="BK40" i="29"/>
  <c r="BB51" i="20"/>
  <c r="BJ51" i="20"/>
  <c r="BC53" i="14"/>
  <c r="BK53" i="14"/>
  <c r="BB33" i="36"/>
  <c r="BJ33" i="36"/>
  <c r="Z27" i="40"/>
  <c r="Z26" i="40"/>
  <c r="Z24" i="40"/>
  <c r="Z25" i="40"/>
  <c r="Z22" i="40"/>
  <c r="Z23" i="40"/>
  <c r="O40" i="21"/>
  <c r="O43" i="21"/>
  <c r="O41" i="21"/>
  <c r="O44" i="21"/>
  <c r="O42" i="21"/>
  <c r="O45" i="21"/>
  <c r="V53" i="39"/>
  <c r="V51" i="39"/>
  <c r="V54" i="39"/>
  <c r="V49" i="39"/>
  <c r="V52" i="39"/>
  <c r="V50" i="39"/>
  <c r="K51" i="37"/>
  <c r="K54" i="37"/>
  <c r="K49" i="37"/>
  <c r="K52" i="37"/>
  <c r="K50" i="37"/>
  <c r="K53" i="37"/>
  <c r="BA42" i="33"/>
  <c r="BI42" i="33"/>
  <c r="BA52" i="31"/>
  <c r="BI52" i="31"/>
  <c r="BK33" i="25"/>
  <c r="BC33" i="25"/>
  <c r="O54" i="22"/>
  <c r="O49" i="22"/>
  <c r="O52" i="22"/>
  <c r="O50" i="22"/>
  <c r="O53" i="22"/>
  <c r="O51" i="22"/>
  <c r="G45" i="34"/>
  <c r="G40" i="34"/>
  <c r="G43" i="34"/>
  <c r="G41" i="34"/>
  <c r="G44" i="34"/>
  <c r="G42" i="34"/>
  <c r="N40" i="32"/>
  <c r="N43" i="32"/>
  <c r="N41" i="32"/>
  <c r="N44" i="32"/>
  <c r="N42" i="32"/>
  <c r="N45" i="32"/>
  <c r="W52" i="28"/>
  <c r="W50" i="28"/>
  <c r="W53" i="28"/>
  <c r="W51" i="28"/>
  <c r="W54" i="28"/>
  <c r="W49" i="28"/>
  <c r="BC52" i="21"/>
  <c r="BK52" i="21"/>
  <c r="BC41" i="17"/>
  <c r="BK41" i="17"/>
  <c r="K32" i="41"/>
  <c r="K36" i="41"/>
  <c r="K33" i="41"/>
  <c r="K34" i="41"/>
  <c r="K35" i="41"/>
  <c r="K31" i="41"/>
  <c r="BA41" i="38"/>
  <c r="BI41" i="38"/>
  <c r="BF35" i="30"/>
  <c r="AX35" i="30"/>
  <c r="AA45" i="23"/>
  <c r="AA40" i="23"/>
  <c r="AA43" i="23"/>
  <c r="AA41" i="23"/>
  <c r="AA44" i="23"/>
  <c r="AA42" i="23"/>
  <c r="Z41" i="18"/>
  <c r="Z45" i="18"/>
  <c r="Z40" i="18"/>
  <c r="Z43" i="18"/>
  <c r="Z42" i="18"/>
  <c r="Z44" i="18"/>
  <c r="G32" i="38"/>
  <c r="G35" i="38"/>
  <c r="G33" i="38"/>
  <c r="G36" i="38"/>
  <c r="G31" i="38"/>
  <c r="G34" i="38"/>
  <c r="BG26" i="32"/>
  <c r="AY26" i="32"/>
  <c r="AX43" i="30"/>
  <c r="BF43" i="30"/>
  <c r="K30" i="23"/>
  <c r="J30" i="23"/>
  <c r="W36" i="13"/>
  <c r="W31" i="13"/>
  <c r="W34" i="13"/>
  <c r="W32" i="13"/>
  <c r="W35" i="13"/>
  <c r="W33" i="13"/>
  <c r="G51" i="15"/>
  <c r="G54" i="15"/>
  <c r="G49" i="15"/>
  <c r="G52" i="15"/>
  <c r="G50" i="15"/>
  <c r="G53" i="15"/>
  <c r="V33" i="35"/>
  <c r="BB40" i="21"/>
  <c r="BJ40" i="21"/>
  <c r="BH24" i="12"/>
  <c r="AZ24" i="12"/>
  <c r="G44" i="12"/>
  <c r="G42" i="12"/>
  <c r="G45" i="12"/>
  <c r="G40" i="12"/>
  <c r="G43" i="12"/>
  <c r="G41" i="12"/>
  <c r="O36" i="42"/>
  <c r="O31" i="42"/>
  <c r="O34" i="42"/>
  <c r="O32" i="42"/>
  <c r="O35" i="42"/>
  <c r="O33" i="42"/>
  <c r="O27" i="34"/>
  <c r="O22" i="34"/>
  <c r="O25" i="34"/>
  <c r="O23" i="34"/>
  <c r="O26" i="34"/>
  <c r="O24" i="34"/>
  <c r="BB45" i="42"/>
  <c r="BJ45" i="42"/>
  <c r="AA26" i="35"/>
  <c r="AA24" i="35"/>
  <c r="AA27" i="35"/>
  <c r="AA22" i="35"/>
  <c r="AA25" i="35"/>
  <c r="AA23" i="35"/>
  <c r="G31" i="33"/>
  <c r="G34" i="33"/>
  <c r="G32" i="33"/>
  <c r="G35" i="33"/>
  <c r="G33" i="33"/>
  <c r="G36" i="33"/>
  <c r="AY51" i="32"/>
  <c r="BG51" i="32"/>
  <c r="AY25" i="26"/>
  <c r="BG25" i="26"/>
  <c r="BC32" i="16"/>
  <c r="BK32" i="16"/>
  <c r="S43" i="39"/>
  <c r="S41" i="39"/>
  <c r="S44" i="39"/>
  <c r="S42" i="39"/>
  <c r="S45" i="39"/>
  <c r="S40" i="39"/>
  <c r="G30" i="31"/>
  <c r="F30" i="31"/>
  <c r="BI42" i="31"/>
  <c r="BA42" i="31"/>
  <c r="BJ22" i="21"/>
  <c r="BB22" i="21"/>
  <c r="BA34" i="13"/>
  <c r="BI34" i="13"/>
  <c r="V41" i="39"/>
  <c r="V44" i="39"/>
  <c r="V42" i="39"/>
  <c r="V45" i="39"/>
  <c r="V43" i="39"/>
  <c r="V40" i="39"/>
  <c r="J41" i="37"/>
  <c r="J44" i="37"/>
  <c r="J42" i="37"/>
  <c r="J45" i="37"/>
  <c r="J40" i="37"/>
  <c r="J43" i="37"/>
  <c r="S49" i="31"/>
  <c r="F36" i="26"/>
  <c r="F31" i="26"/>
  <c r="F34" i="26"/>
  <c r="F32" i="26"/>
  <c r="F35" i="26"/>
  <c r="F33" i="26"/>
  <c r="F49" i="20"/>
  <c r="F52" i="20"/>
  <c r="F50" i="20"/>
  <c r="F53" i="20"/>
  <c r="F51" i="20"/>
  <c r="F54" i="20"/>
  <c r="BC41" i="14"/>
  <c r="BK41" i="14"/>
  <c r="BA22" i="15"/>
  <c r="BI22" i="15"/>
  <c r="BC45" i="12"/>
  <c r="BK45" i="12"/>
  <c r="G54" i="10"/>
  <c r="G52" i="10"/>
  <c r="G50" i="10"/>
  <c r="G49" i="10"/>
  <c r="G51" i="10"/>
  <c r="G53" i="10"/>
  <c r="G32" i="29"/>
  <c r="G35" i="29"/>
  <c r="G33" i="29"/>
  <c r="G36" i="29"/>
  <c r="G31" i="29"/>
  <c r="G34" i="29"/>
  <c r="K53" i="41"/>
  <c r="K51" i="41"/>
  <c r="K54" i="41"/>
  <c r="K49" i="41"/>
  <c r="K50" i="41"/>
  <c r="K52" i="41"/>
  <c r="Z35" i="23"/>
  <c r="Z36" i="23"/>
  <c r="Z31" i="23"/>
  <c r="Z34" i="23"/>
  <c r="Z32" i="23"/>
  <c r="Z33" i="23"/>
  <c r="BC53" i="17"/>
  <c r="BK53" i="17"/>
  <c r="BB36" i="11"/>
  <c r="BJ36" i="11"/>
  <c r="BK25" i="12"/>
  <c r="BC25" i="12"/>
  <c r="O40" i="36"/>
  <c r="O45" i="36"/>
  <c r="O41" i="36"/>
  <c r="O43" i="36"/>
  <c r="O44" i="36"/>
  <c r="O42" i="36"/>
  <c r="BH40" i="30"/>
  <c r="AZ40" i="30"/>
  <c r="W24" i="13"/>
  <c r="W27" i="13"/>
  <c r="W22" i="13"/>
  <c r="W25" i="13"/>
  <c r="W23" i="13"/>
  <c r="W26" i="13"/>
  <c r="V34" i="29"/>
  <c r="V32" i="29"/>
  <c r="V35" i="29"/>
  <c r="V33" i="29"/>
  <c r="V36" i="29"/>
  <c r="V31" i="29"/>
  <c r="BB36" i="42"/>
  <c r="BJ36" i="42"/>
  <c r="K30" i="30"/>
  <c r="J30" i="30"/>
  <c r="BA54" i="28"/>
  <c r="BI54" i="28"/>
  <c r="N41" i="27"/>
  <c r="N44" i="27"/>
  <c r="N42" i="27"/>
  <c r="N45" i="27"/>
  <c r="N40" i="27"/>
  <c r="N43" i="27"/>
  <c r="R33" i="36"/>
  <c r="R36" i="36"/>
  <c r="R31" i="36"/>
  <c r="R34" i="36"/>
  <c r="R32" i="36"/>
  <c r="R35" i="36"/>
  <c r="K42" i="17"/>
  <c r="K45" i="17"/>
  <c r="K40" i="17"/>
  <c r="K43" i="17"/>
  <c r="K41" i="17"/>
  <c r="K44" i="17"/>
  <c r="BK49" i="20"/>
  <c r="BC49" i="20"/>
  <c r="AA50" i="35"/>
  <c r="AA53" i="35"/>
  <c r="AA51" i="35"/>
  <c r="AA54" i="35"/>
  <c r="AA49" i="35"/>
  <c r="AA52" i="35"/>
  <c r="F24" i="33"/>
  <c r="F27" i="33"/>
  <c r="F22" i="33"/>
  <c r="F25" i="33"/>
  <c r="F23" i="33"/>
  <c r="F26" i="33"/>
  <c r="BC44" i="25"/>
  <c r="BK44" i="25"/>
  <c r="BH34" i="25"/>
  <c r="AZ34" i="25"/>
  <c r="R35" i="11"/>
  <c r="R33" i="11"/>
  <c r="R36" i="11"/>
  <c r="R31" i="11"/>
  <c r="R34" i="11"/>
  <c r="R32" i="11"/>
  <c r="BH52" i="10"/>
  <c r="AZ52" i="10"/>
  <c r="J51" i="15"/>
  <c r="J54" i="15"/>
  <c r="J49" i="15"/>
  <c r="J52" i="15"/>
  <c r="J50" i="15"/>
  <c r="J53" i="15"/>
  <c r="V44" i="32"/>
  <c r="V42" i="32"/>
  <c r="V45" i="32"/>
  <c r="V43" i="32"/>
  <c r="V41" i="32"/>
  <c r="V40" i="32"/>
  <c r="F50" i="18"/>
  <c r="F54" i="18"/>
  <c r="F49" i="18"/>
  <c r="F52" i="18"/>
  <c r="F51" i="18"/>
  <c r="F53" i="18"/>
  <c r="BB31" i="10"/>
  <c r="BJ31" i="10"/>
  <c r="N35" i="41"/>
  <c r="N31" i="41"/>
  <c r="N33" i="41"/>
  <c r="N34" i="41"/>
  <c r="N36" i="41"/>
  <c r="N32" i="41"/>
  <c r="BC36" i="37"/>
  <c r="BK36" i="37"/>
  <c r="AZ22" i="30"/>
  <c r="BH22" i="30"/>
  <c r="J41" i="22"/>
  <c r="J44" i="22"/>
  <c r="J42" i="22"/>
  <c r="J45" i="22"/>
  <c r="J40" i="22"/>
  <c r="J43" i="22"/>
  <c r="BC43" i="22"/>
  <c r="BK43" i="22"/>
  <c r="BC25" i="14"/>
  <c r="BK25" i="14"/>
  <c r="BG42" i="10"/>
  <c r="AY42" i="10"/>
  <c r="BB26" i="35"/>
  <c r="BJ26" i="35"/>
  <c r="BC45" i="42"/>
  <c r="BK45" i="42"/>
  <c r="AY42" i="38"/>
  <c r="BG42" i="38"/>
  <c r="J54" i="27"/>
  <c r="J53" i="27"/>
  <c r="J51" i="27"/>
  <c r="J50" i="27"/>
  <c r="J52" i="27"/>
  <c r="J49" i="27"/>
  <c r="BK50" i="42"/>
  <c r="BC50" i="42"/>
  <c r="O35" i="40"/>
  <c r="O31" i="40"/>
  <c r="O34" i="40"/>
  <c r="O33" i="40"/>
  <c r="O32" i="40"/>
  <c r="O36" i="40"/>
  <c r="BK40" i="34"/>
  <c r="BC40" i="34"/>
  <c r="BC40" i="30"/>
  <c r="BK40" i="30"/>
  <c r="O39" i="24"/>
  <c r="N39" i="24"/>
  <c r="J33" i="11"/>
  <c r="J31" i="11"/>
  <c r="J34" i="11"/>
  <c r="J32" i="11"/>
  <c r="J35" i="11"/>
  <c r="J36" i="11"/>
  <c r="AZ40" i="12"/>
  <c r="BH40" i="12"/>
  <c r="BC36" i="15"/>
  <c r="BK36" i="15"/>
  <c r="F49" i="19"/>
  <c r="F52" i="19"/>
  <c r="F50" i="19"/>
  <c r="F53" i="19"/>
  <c r="F51" i="19"/>
  <c r="F54" i="19"/>
  <c r="BB33" i="20"/>
  <c r="BJ33" i="20"/>
  <c r="F27" i="12"/>
  <c r="F22" i="12"/>
  <c r="F25" i="12"/>
  <c r="F23" i="12"/>
  <c r="F26" i="12"/>
  <c r="F24" i="12"/>
  <c r="S34" i="32"/>
  <c r="S32" i="32"/>
  <c r="S35" i="32"/>
  <c r="S33" i="32"/>
  <c r="S36" i="32"/>
  <c r="S31" i="32"/>
  <c r="F23" i="27"/>
  <c r="F26" i="27"/>
  <c r="F24" i="27"/>
  <c r="F27" i="27"/>
  <c r="F22" i="27"/>
  <c r="F25" i="27"/>
  <c r="BB51" i="37"/>
  <c r="BJ51" i="37"/>
  <c r="AY45" i="31"/>
  <c r="BG45" i="31"/>
  <c r="BA23" i="28"/>
  <c r="BI23" i="28"/>
  <c r="O33" i="15"/>
  <c r="O36" i="15"/>
  <c r="O31" i="15"/>
  <c r="O34" i="15"/>
  <c r="O32" i="15"/>
  <c r="O35" i="15"/>
  <c r="BA44" i="28"/>
  <c r="BI44" i="28"/>
  <c r="BJ49" i="35"/>
  <c r="BB49" i="35"/>
  <c r="BC24" i="28"/>
  <c r="BK24" i="28"/>
  <c r="BK26" i="31"/>
  <c r="BC26" i="31"/>
  <c r="BC27" i="19"/>
  <c r="BK27" i="19"/>
  <c r="BB27" i="20"/>
  <c r="BJ27" i="20"/>
  <c r="K42" i="15"/>
  <c r="K45" i="15"/>
  <c r="K40" i="15"/>
  <c r="K43" i="15"/>
  <c r="K41" i="15"/>
  <c r="K44" i="15"/>
  <c r="BC51" i="32"/>
  <c r="BK51" i="32"/>
  <c r="BF35" i="37"/>
  <c r="AX35" i="37"/>
  <c r="BH40" i="37"/>
  <c r="AZ40" i="37"/>
  <c r="BK25" i="29"/>
  <c r="BC25" i="29"/>
  <c r="BA35" i="21"/>
  <c r="BI35" i="21"/>
  <c r="G32" i="20"/>
  <c r="G35" i="20"/>
  <c r="G33" i="20"/>
  <c r="G36" i="20"/>
  <c r="G31" i="20"/>
  <c r="G34" i="20"/>
  <c r="BA41" i="13"/>
  <c r="BI41" i="13"/>
  <c r="BC53" i="39"/>
  <c r="BK53" i="39"/>
  <c r="AY33" i="38"/>
  <c r="BG33" i="38"/>
  <c r="W52" i="16"/>
  <c r="W50" i="16"/>
  <c r="W53" i="16"/>
  <c r="W51" i="16"/>
  <c r="W54" i="16"/>
  <c r="W49" i="16"/>
  <c r="S40" i="40"/>
  <c r="S43" i="40"/>
  <c r="S44" i="40"/>
  <c r="S45" i="40"/>
  <c r="S42" i="40"/>
  <c r="S41" i="40"/>
  <c r="G48" i="35"/>
  <c r="F48" i="35"/>
  <c r="BC26" i="32"/>
  <c r="BK26" i="32"/>
  <c r="W31" i="25"/>
  <c r="BA40" i="15"/>
  <c r="BI40" i="15"/>
  <c r="W53" i="41"/>
  <c r="W51" i="41"/>
  <c r="W52" i="41"/>
  <c r="W50" i="41"/>
  <c r="W54" i="41"/>
  <c r="W49" i="41"/>
  <c r="BC23" i="36"/>
  <c r="BK23" i="36"/>
  <c r="AZ45" i="10"/>
  <c r="BH45" i="10"/>
  <c r="G52" i="28"/>
  <c r="G50" i="28"/>
  <c r="G53" i="28"/>
  <c r="G51" i="28"/>
  <c r="G54" i="28"/>
  <c r="G49" i="28"/>
  <c r="BC33" i="36"/>
  <c r="BK33" i="36"/>
  <c r="BC41" i="31"/>
  <c r="BK41" i="31"/>
  <c r="S23" i="24"/>
  <c r="S26" i="24"/>
  <c r="S24" i="24"/>
  <c r="S27" i="24"/>
  <c r="S22" i="24"/>
  <c r="S25" i="24"/>
  <c r="F26" i="19"/>
  <c r="F24" i="19"/>
  <c r="F27" i="19"/>
  <c r="F22" i="19"/>
  <c r="F25" i="19"/>
  <c r="F23" i="19"/>
  <c r="BK33" i="32"/>
  <c r="BC33" i="32"/>
  <c r="S53" i="18"/>
  <c r="S51" i="18"/>
  <c r="S54" i="18"/>
  <c r="S49" i="18"/>
  <c r="S50" i="18"/>
  <c r="S52" i="18"/>
  <c r="BJ34" i="10"/>
  <c r="BB34" i="10"/>
  <c r="F51" i="12"/>
  <c r="F54" i="12"/>
  <c r="F49" i="12"/>
  <c r="F52" i="12"/>
  <c r="F50" i="12"/>
  <c r="F53" i="12"/>
  <c r="G44" i="21"/>
  <c r="G42" i="21"/>
  <c r="G45" i="21"/>
  <c r="G40" i="21"/>
  <c r="G43" i="21"/>
  <c r="G41" i="21"/>
  <c r="O51" i="16"/>
  <c r="O54" i="16"/>
  <c r="O49" i="16"/>
  <c r="O52" i="16"/>
  <c r="O50" i="16"/>
  <c r="O53" i="16"/>
  <c r="N23" i="15"/>
  <c r="N26" i="15"/>
  <c r="N24" i="15"/>
  <c r="N27" i="15"/>
  <c r="N22" i="15"/>
  <c r="N25" i="15"/>
  <c r="BC53" i="11"/>
  <c r="BK53" i="11"/>
  <c r="BA43" i="34"/>
  <c r="BI43" i="34"/>
  <c r="S41" i="29"/>
  <c r="S44" i="29"/>
  <c r="S42" i="29"/>
  <c r="S45" i="29"/>
  <c r="S40" i="29"/>
  <c r="S43" i="29"/>
  <c r="W42" i="24"/>
  <c r="O21" i="23"/>
  <c r="N21" i="23"/>
  <c r="W31" i="40"/>
  <c r="W34" i="40"/>
  <c r="W35" i="40"/>
  <c r="W36" i="40"/>
  <c r="W33" i="40"/>
  <c r="W32" i="40"/>
  <c r="G41" i="39"/>
  <c r="G44" i="39"/>
  <c r="G42" i="39"/>
  <c r="G45" i="39"/>
  <c r="G40" i="39"/>
  <c r="G43" i="39"/>
  <c r="BA54" i="34"/>
  <c r="BI54" i="34"/>
  <c r="BK43" i="24"/>
  <c r="BC43" i="24"/>
  <c r="F44" i="10"/>
  <c r="F42" i="10"/>
  <c r="F45" i="10"/>
  <c r="F43" i="10"/>
  <c r="F41" i="10"/>
  <c r="F40" i="10"/>
  <c r="AX45" i="37"/>
  <c r="BF45" i="37"/>
  <c r="BK24" i="30"/>
  <c r="BC24" i="30"/>
  <c r="BA26" i="31"/>
  <c r="BI26" i="31"/>
  <c r="BC35" i="29"/>
  <c r="BK35" i="29"/>
  <c r="AZ52" i="25"/>
  <c r="BH52" i="25"/>
  <c r="J45" i="14"/>
  <c r="J40" i="14"/>
  <c r="J43" i="14"/>
  <c r="J41" i="14"/>
  <c r="J44" i="14"/>
  <c r="J42" i="14"/>
  <c r="AY33" i="32"/>
  <c r="BG33" i="32"/>
  <c r="F50" i="40"/>
  <c r="F53" i="40"/>
  <c r="F54" i="40"/>
  <c r="F49" i="40"/>
  <c r="F52" i="40"/>
  <c r="F51" i="40"/>
  <c r="V50" i="33"/>
  <c r="V53" i="33"/>
  <c r="V51" i="33"/>
  <c r="V54" i="33"/>
  <c r="V49" i="33"/>
  <c r="V52" i="33"/>
  <c r="AZ34" i="30"/>
  <c r="BH34" i="30"/>
  <c r="F23" i="24"/>
  <c r="F26" i="24"/>
  <c r="F24" i="24"/>
  <c r="F27" i="24"/>
  <c r="F22" i="24"/>
  <c r="F25" i="24"/>
  <c r="BC49" i="22"/>
  <c r="BK49" i="22"/>
  <c r="J23" i="35"/>
  <c r="J26" i="35"/>
  <c r="J24" i="35"/>
  <c r="J27" i="35"/>
  <c r="J22" i="35"/>
  <c r="J25" i="35"/>
  <c r="R45" i="30"/>
  <c r="R40" i="30"/>
  <c r="R43" i="30"/>
  <c r="R41" i="30"/>
  <c r="R44" i="30"/>
  <c r="R42" i="30"/>
  <c r="BB44" i="11"/>
  <c r="BJ44" i="11"/>
  <c r="BC32" i="11"/>
  <c r="BK32" i="11"/>
  <c r="AZ50" i="12"/>
  <c r="BH50" i="12"/>
  <c r="F42" i="28"/>
  <c r="F45" i="28"/>
  <c r="F40" i="28"/>
  <c r="F43" i="28"/>
  <c r="F41" i="28"/>
  <c r="F44" i="28"/>
  <c r="J33" i="34"/>
  <c r="J36" i="34"/>
  <c r="J31" i="34"/>
  <c r="J34" i="34"/>
  <c r="J32" i="34"/>
  <c r="J35" i="34"/>
  <c r="BC43" i="11"/>
  <c r="BK43" i="11"/>
  <c r="S40" i="18"/>
  <c r="S44" i="18"/>
  <c r="S42" i="18"/>
  <c r="S41" i="18"/>
  <c r="S43" i="18"/>
  <c r="S45" i="18"/>
  <c r="W35" i="14"/>
  <c r="W33" i="14"/>
  <c r="W36" i="14"/>
  <c r="W31" i="14"/>
  <c r="W34" i="14"/>
  <c r="W32" i="14"/>
  <c r="O27" i="27"/>
  <c r="O22" i="27"/>
  <c r="O25" i="27"/>
  <c r="O23" i="27"/>
  <c r="O26" i="27"/>
  <c r="O24" i="27"/>
  <c r="S44" i="36"/>
  <c r="S45" i="36"/>
  <c r="S41" i="36"/>
  <c r="S43" i="36"/>
  <c r="S42" i="36"/>
  <c r="S40" i="36"/>
  <c r="S31" i="20"/>
  <c r="S34" i="20"/>
  <c r="S32" i="20"/>
  <c r="S35" i="20"/>
  <c r="S33" i="20"/>
  <c r="S36" i="20"/>
  <c r="Z31" i="31"/>
  <c r="W23" i="34"/>
  <c r="W26" i="34"/>
  <c r="W24" i="34"/>
  <c r="W27" i="34"/>
  <c r="W22" i="34"/>
  <c r="W25" i="34"/>
  <c r="BA23" i="33"/>
  <c r="BI23" i="33"/>
  <c r="W41" i="26"/>
  <c r="W44" i="26"/>
  <c r="W42" i="26"/>
  <c r="W45" i="26"/>
  <c r="W40" i="26"/>
  <c r="W43" i="26"/>
  <c r="G36" i="22"/>
  <c r="G31" i="22"/>
  <c r="G34" i="22"/>
  <c r="G32" i="22"/>
  <c r="G35" i="22"/>
  <c r="G33" i="22"/>
  <c r="O26" i="17"/>
  <c r="O24" i="17"/>
  <c r="O27" i="17"/>
  <c r="O22" i="17"/>
  <c r="O25" i="17"/>
  <c r="O23" i="17"/>
  <c r="N33" i="21"/>
  <c r="N36" i="21"/>
  <c r="N31" i="21"/>
  <c r="N34" i="21"/>
  <c r="N32" i="21"/>
  <c r="N35" i="21"/>
  <c r="BC25" i="11"/>
  <c r="BK25" i="11"/>
  <c r="AY25" i="31"/>
  <c r="BG25" i="31"/>
  <c r="BB35" i="37"/>
  <c r="BJ35" i="37"/>
  <c r="BI22" i="38"/>
  <c r="BA22" i="38"/>
  <c r="O42" i="22"/>
  <c r="O45" i="22"/>
  <c r="O40" i="22"/>
  <c r="O43" i="22"/>
  <c r="O41" i="22"/>
  <c r="O44" i="22"/>
  <c r="BC50" i="16"/>
  <c r="BK50" i="16"/>
  <c r="K44" i="40"/>
  <c r="K42" i="40"/>
  <c r="K40" i="40"/>
  <c r="K43" i="40"/>
  <c r="K41" i="40"/>
  <c r="K45" i="40"/>
  <c r="G39" i="42"/>
  <c r="F39" i="42"/>
  <c r="AX22" i="30"/>
  <c r="BF22" i="30"/>
  <c r="BK25" i="20"/>
  <c r="BC25" i="20"/>
  <c r="BC25" i="16"/>
  <c r="BK25" i="16"/>
  <c r="BA27" i="42"/>
  <c r="BI27" i="42"/>
  <c r="BJ31" i="30"/>
  <c r="BB31" i="30"/>
  <c r="Z26" i="27"/>
  <c r="Z24" i="27"/>
  <c r="Z27" i="27"/>
  <c r="Z22" i="27"/>
  <c r="Z25" i="27"/>
  <c r="Z23" i="27"/>
  <c r="BK27" i="21"/>
  <c r="BC27" i="21"/>
  <c r="BJ31" i="18"/>
  <c r="BB31" i="18"/>
  <c r="BC34" i="14"/>
  <c r="BK34" i="14"/>
  <c r="BI26" i="13"/>
  <c r="BA26" i="13"/>
  <c r="BI32" i="41"/>
  <c r="BA32" i="41"/>
  <c r="BA23" i="41"/>
  <c r="BI23" i="41"/>
  <c r="BB41" i="37"/>
  <c r="BJ41" i="37"/>
  <c r="J52" i="35"/>
  <c r="J50" i="35"/>
  <c r="J53" i="35"/>
  <c r="J51" i="35"/>
  <c r="J54" i="35"/>
  <c r="J49" i="35"/>
  <c r="N31" i="28"/>
  <c r="N34" i="28"/>
  <c r="N32" i="28"/>
  <c r="N35" i="28"/>
  <c r="N33" i="28"/>
  <c r="N36" i="28"/>
  <c r="AZ27" i="10"/>
  <c r="BH27" i="10"/>
  <c r="BC43" i="28"/>
  <c r="BK43" i="28"/>
  <c r="BC22" i="38"/>
  <c r="BK22" i="38"/>
  <c r="BG52" i="26"/>
  <c r="AY52" i="26"/>
  <c r="BC53" i="15"/>
  <c r="BK53" i="15"/>
  <c r="BA25" i="10"/>
  <c r="BI25" i="10"/>
  <c r="W51" i="15"/>
  <c r="W49" i="15"/>
  <c r="W54" i="15"/>
  <c r="W52" i="15"/>
  <c r="W50" i="15"/>
  <c r="W53" i="15"/>
  <c r="O42" i="42"/>
  <c r="O43" i="42"/>
  <c r="O44" i="42"/>
  <c r="O40" i="42"/>
  <c r="O41" i="42"/>
  <c r="O45" i="42"/>
  <c r="R24" i="20"/>
  <c r="R27" i="20"/>
  <c r="R22" i="20"/>
  <c r="R25" i="20"/>
  <c r="R23" i="20"/>
  <c r="R26" i="20"/>
  <c r="O45" i="15"/>
  <c r="O40" i="15"/>
  <c r="O43" i="15"/>
  <c r="O41" i="15"/>
  <c r="O44" i="15"/>
  <c r="O42" i="15"/>
  <c r="BA42" i="42"/>
  <c r="BI42" i="42"/>
  <c r="BB50" i="42"/>
  <c r="BJ50" i="42"/>
  <c r="BJ24" i="37"/>
  <c r="BB24" i="37"/>
  <c r="AZ31" i="37"/>
  <c r="BH31" i="37"/>
  <c r="BG51" i="31"/>
  <c r="AY51" i="31"/>
  <c r="AY41" i="29"/>
  <c r="BG41" i="29"/>
  <c r="BC23" i="25"/>
  <c r="BK23" i="25"/>
  <c r="S32" i="19"/>
  <c r="S33" i="19"/>
  <c r="S36" i="19"/>
  <c r="S31" i="19"/>
  <c r="S34" i="19"/>
  <c r="S35" i="19"/>
  <c r="G50" i="13"/>
  <c r="G53" i="13"/>
  <c r="G51" i="13"/>
  <c r="G54" i="13"/>
  <c r="G49" i="13"/>
  <c r="G52" i="13"/>
  <c r="BG24" i="38"/>
  <c r="AY24" i="38"/>
  <c r="BC35" i="22"/>
  <c r="BK35" i="22"/>
  <c r="BJ53" i="18"/>
  <c r="BB53" i="18"/>
  <c r="N30" i="18"/>
  <c r="O30" i="18"/>
  <c r="AY32" i="10"/>
  <c r="BG32" i="10"/>
  <c r="BC31" i="33"/>
  <c r="BK31" i="33"/>
  <c r="BA36" i="38"/>
  <c r="BI36" i="38"/>
  <c r="BA27" i="34"/>
  <c r="BI27" i="34"/>
  <c r="BC52" i="24"/>
  <c r="BK52" i="24"/>
  <c r="BC51" i="12"/>
  <c r="BK51" i="12"/>
  <c r="BB26" i="42"/>
  <c r="BJ26" i="42"/>
  <c r="BF54" i="37"/>
  <c r="AX54" i="37"/>
  <c r="BC50" i="29"/>
  <c r="BK50" i="29"/>
  <c r="F45" i="24"/>
  <c r="F40" i="24"/>
  <c r="F43" i="24"/>
  <c r="F41" i="24"/>
  <c r="F44" i="24"/>
  <c r="F42" i="24"/>
  <c r="BC49" i="34"/>
  <c r="BK49" i="34"/>
  <c r="BC40" i="32"/>
  <c r="BK40" i="32"/>
  <c r="K49" i="21"/>
  <c r="K52" i="21"/>
  <c r="K50" i="21"/>
  <c r="K53" i="21"/>
  <c r="K51" i="21"/>
  <c r="K54" i="21"/>
  <c r="BA51" i="15"/>
  <c r="BI51" i="15"/>
  <c r="K27" i="13"/>
  <c r="K22" i="13"/>
  <c r="K25" i="13"/>
  <c r="K23" i="13"/>
  <c r="K26" i="13"/>
  <c r="K24" i="13"/>
  <c r="AY40" i="32"/>
  <c r="BG40" i="32"/>
  <c r="R31" i="25"/>
  <c r="R32" i="25"/>
  <c r="R33" i="25"/>
  <c r="R36" i="25"/>
  <c r="R34" i="25"/>
  <c r="R35" i="25"/>
  <c r="G27" i="41"/>
  <c r="G23" i="41"/>
  <c r="G24" i="41"/>
  <c r="G25" i="41"/>
  <c r="G26" i="41"/>
  <c r="G22" i="41"/>
  <c r="S41" i="17"/>
  <c r="S44" i="17"/>
  <c r="S42" i="17"/>
  <c r="S45" i="17"/>
  <c r="S40" i="17"/>
  <c r="S43" i="17"/>
  <c r="O50" i="42"/>
  <c r="O53" i="42"/>
  <c r="O49" i="42"/>
  <c r="O52" i="42"/>
  <c r="O51" i="42"/>
  <c r="O54" i="42"/>
  <c r="O41" i="34"/>
  <c r="O44" i="34"/>
  <c r="O42" i="34"/>
  <c r="O45" i="34"/>
  <c r="O40" i="34"/>
  <c r="O43" i="34"/>
  <c r="AZ22" i="37"/>
  <c r="BH22" i="37"/>
  <c r="AY33" i="29"/>
  <c r="BG33" i="29"/>
  <c r="BB31" i="24"/>
  <c r="BJ31" i="24"/>
  <c r="BJ51" i="21"/>
  <c r="BB51" i="21"/>
  <c r="O40" i="17"/>
  <c r="O43" i="17"/>
  <c r="O41" i="17"/>
  <c r="O44" i="17"/>
  <c r="O42" i="17"/>
  <c r="O45" i="17"/>
  <c r="AZ32" i="12"/>
  <c r="BH32" i="12"/>
  <c r="BA35" i="33"/>
  <c r="BI35" i="33"/>
  <c r="S24" i="29"/>
  <c r="S27" i="29"/>
  <c r="S22" i="29"/>
  <c r="S25" i="29"/>
  <c r="S23" i="29"/>
  <c r="S26" i="29"/>
  <c r="AA22" i="25"/>
  <c r="G43" i="13"/>
  <c r="G41" i="13"/>
  <c r="G44" i="13"/>
  <c r="G42" i="13"/>
  <c r="G45" i="13"/>
  <c r="G40" i="13"/>
  <c r="G53" i="26"/>
  <c r="G51" i="26"/>
  <c r="G54" i="26"/>
  <c r="G49" i="26"/>
  <c r="G52" i="26"/>
  <c r="G50" i="26"/>
  <c r="AZ44" i="25"/>
  <c r="BH44" i="25"/>
  <c r="BB50" i="11"/>
  <c r="BJ50" i="11"/>
  <c r="BI50" i="42"/>
  <c r="BA50" i="42"/>
  <c r="G52" i="34"/>
  <c r="G50" i="34"/>
  <c r="G53" i="34"/>
  <c r="G51" i="34"/>
  <c r="G54" i="34"/>
  <c r="G49" i="34"/>
  <c r="O50" i="32"/>
  <c r="O53" i="32"/>
  <c r="O51" i="32"/>
  <c r="O54" i="32"/>
  <c r="O49" i="32"/>
  <c r="O52" i="32"/>
  <c r="W23" i="28"/>
  <c r="W26" i="28"/>
  <c r="W24" i="28"/>
  <c r="W27" i="28"/>
  <c r="W22" i="28"/>
  <c r="W25" i="28"/>
  <c r="W30" i="19"/>
  <c r="V30" i="19"/>
  <c r="G27" i="40"/>
  <c r="G25" i="40"/>
  <c r="G24" i="40"/>
  <c r="G22" i="40"/>
  <c r="G26" i="40"/>
  <c r="G23" i="40"/>
  <c r="BA33" i="34"/>
  <c r="BI33" i="34"/>
  <c r="BK34" i="30"/>
  <c r="BC34" i="30"/>
  <c r="AA36" i="27"/>
  <c r="AA31" i="27"/>
  <c r="AA34" i="27"/>
  <c r="AA32" i="27"/>
  <c r="AA35" i="27"/>
  <c r="AA33" i="27"/>
  <c r="BC51" i="38"/>
  <c r="BK51" i="38"/>
  <c r="BA32" i="42"/>
  <c r="BI32" i="42"/>
  <c r="BK44" i="39"/>
  <c r="BC44" i="39"/>
  <c r="O23" i="36"/>
  <c r="O26" i="36"/>
  <c r="O24" i="36"/>
  <c r="O27" i="36"/>
  <c r="O22" i="36"/>
  <c r="O25" i="36"/>
  <c r="J42" i="21"/>
  <c r="J45" i="21"/>
  <c r="J40" i="21"/>
  <c r="J43" i="21"/>
  <c r="J41" i="21"/>
  <c r="J44" i="21"/>
  <c r="BK25" i="17"/>
  <c r="BC25" i="17"/>
  <c r="BC31" i="12"/>
  <c r="BK31" i="12"/>
  <c r="BB35" i="21"/>
  <c r="BJ35" i="21"/>
  <c r="BK33" i="19"/>
  <c r="BC33" i="19"/>
  <c r="K48" i="16"/>
  <c r="J48" i="16"/>
  <c r="V27" i="29"/>
  <c r="V22" i="29"/>
  <c r="V25" i="29"/>
  <c r="V23" i="29"/>
  <c r="V26" i="29"/>
  <c r="V24" i="29"/>
  <c r="BC26" i="42"/>
  <c r="BK26" i="42"/>
  <c r="V44" i="38"/>
  <c r="V42" i="38"/>
  <c r="V45" i="38"/>
  <c r="V40" i="38"/>
  <c r="V43" i="38"/>
  <c r="V41" i="38"/>
  <c r="BG34" i="31"/>
  <c r="AY34" i="31"/>
  <c r="AY23" i="29"/>
  <c r="BG23" i="29"/>
  <c r="W24" i="24"/>
  <c r="BB24" i="24" s="1"/>
  <c r="V32" i="38"/>
  <c r="V35" i="38"/>
  <c r="V33" i="38"/>
  <c r="V36" i="38"/>
  <c r="V31" i="38"/>
  <c r="V34" i="38"/>
  <c r="G33" i="32"/>
  <c r="G34" i="32"/>
  <c r="G32" i="32"/>
  <c r="G31" i="32"/>
  <c r="G36" i="32"/>
  <c r="G35" i="32"/>
  <c r="R24" i="25"/>
  <c r="R25" i="25"/>
  <c r="R23" i="25"/>
  <c r="R26" i="25"/>
  <c r="R27" i="25"/>
  <c r="R22" i="25"/>
  <c r="BC43" i="19"/>
  <c r="BK43" i="19"/>
  <c r="BC53" i="25"/>
  <c r="BK53" i="25"/>
  <c r="AZ33" i="10"/>
  <c r="BH33" i="10"/>
  <c r="BK23" i="34"/>
  <c r="V31" i="15"/>
  <c r="V34" i="15"/>
  <c r="V32" i="15"/>
  <c r="V35" i="15"/>
  <c r="V33" i="15"/>
  <c r="V36" i="15"/>
  <c r="BB42" i="20"/>
  <c r="BJ42" i="20"/>
  <c r="W45" i="16"/>
  <c r="W40" i="16"/>
  <c r="W43" i="16"/>
  <c r="W41" i="16"/>
  <c r="W44" i="16"/>
  <c r="W42" i="16"/>
  <c r="BB23" i="24"/>
  <c r="BJ23" i="24"/>
  <c r="BB23" i="21"/>
  <c r="BJ23" i="21"/>
  <c r="BG53" i="29"/>
  <c r="AY53" i="29"/>
  <c r="BC43" i="12"/>
  <c r="BK43" i="12"/>
  <c r="Z34" i="18"/>
  <c r="Z32" i="18"/>
  <c r="Z33" i="18"/>
  <c r="Z36" i="18"/>
  <c r="Z35" i="18"/>
  <c r="Z31" i="18"/>
  <c r="G25" i="38"/>
  <c r="G23" i="38"/>
  <c r="G26" i="38"/>
  <c r="G24" i="38"/>
  <c r="G27" i="38"/>
  <c r="G22" i="38"/>
  <c r="S54" i="16"/>
  <c r="S49" i="16"/>
  <c r="S52" i="16"/>
  <c r="S50" i="16"/>
  <c r="S53" i="16"/>
  <c r="S51" i="16"/>
  <c r="O24" i="42"/>
  <c r="O27" i="42"/>
  <c r="O22" i="42"/>
  <c r="O25" i="42"/>
  <c r="O23" i="42"/>
  <c r="O26" i="42"/>
  <c r="AY40" i="26"/>
  <c r="BG40" i="26"/>
  <c r="F43" i="33"/>
  <c r="F41" i="33"/>
  <c r="F44" i="33"/>
  <c r="F42" i="33"/>
  <c r="F45" i="33"/>
  <c r="F40" i="33"/>
  <c r="BC43" i="29"/>
  <c r="BK43" i="29"/>
  <c r="AA25" i="40"/>
  <c r="AA26" i="40"/>
  <c r="AA24" i="40"/>
  <c r="AA27" i="40"/>
  <c r="AA22" i="40"/>
  <c r="AA23" i="40"/>
  <c r="BJ51" i="36"/>
  <c r="BB51" i="36"/>
  <c r="BC36" i="25"/>
  <c r="BK36" i="25"/>
  <c r="G54" i="36"/>
  <c r="G49" i="36"/>
  <c r="G50" i="36"/>
  <c r="G53" i="36"/>
  <c r="G52" i="36"/>
  <c r="G51" i="36"/>
  <c r="R51" i="35"/>
  <c r="R54" i="35"/>
  <c r="R49" i="35"/>
  <c r="R52" i="35"/>
  <c r="R50" i="35"/>
  <c r="R53" i="35"/>
  <c r="R41" i="23"/>
  <c r="R44" i="23"/>
  <c r="R42" i="23"/>
  <c r="R45" i="23"/>
  <c r="R43" i="23"/>
  <c r="R40" i="23"/>
  <c r="O34" i="31"/>
  <c r="O32" i="31"/>
  <c r="O35" i="31"/>
  <c r="O33" i="31"/>
  <c r="O31" i="31"/>
  <c r="O36" i="31"/>
  <c r="AY42" i="26"/>
  <c r="BG42" i="26"/>
  <c r="BC31" i="38"/>
  <c r="BK31" i="38"/>
  <c r="BB26" i="36"/>
  <c r="BJ26" i="36"/>
  <c r="BB41" i="35"/>
  <c r="BJ41" i="35"/>
  <c r="BC45" i="29"/>
  <c r="BK45" i="29"/>
  <c r="BB53" i="20"/>
  <c r="BJ53" i="20"/>
  <c r="BC50" i="14"/>
  <c r="BK50" i="14"/>
  <c r="BB35" i="36"/>
  <c r="BJ35" i="36"/>
  <c r="BA45" i="41"/>
  <c r="BI45" i="41"/>
  <c r="R51" i="19"/>
  <c r="R54" i="19"/>
  <c r="R49" i="19"/>
  <c r="R52" i="19"/>
  <c r="R50" i="19"/>
  <c r="R53" i="19"/>
  <c r="W51" i="39"/>
  <c r="W54" i="39"/>
  <c r="W49" i="39"/>
  <c r="W52" i="39"/>
  <c r="W50" i="39"/>
  <c r="W53" i="39"/>
  <c r="J51" i="37"/>
  <c r="J54" i="37"/>
  <c r="J49" i="37"/>
  <c r="J52" i="37"/>
  <c r="J53" i="37"/>
  <c r="J50" i="37"/>
  <c r="BA44" i="33"/>
  <c r="BI44" i="33"/>
  <c r="BI49" i="31"/>
  <c r="BA49" i="31"/>
  <c r="BK35" i="25"/>
  <c r="BC35" i="25"/>
  <c r="BB40" i="20"/>
  <c r="BJ40" i="20"/>
  <c r="R32" i="16"/>
  <c r="R35" i="16"/>
  <c r="R33" i="16"/>
  <c r="R36" i="16"/>
  <c r="R31" i="16"/>
  <c r="R34" i="16"/>
  <c r="F49" i="16"/>
  <c r="F52" i="16"/>
  <c r="F50" i="16"/>
  <c r="F53" i="16"/>
  <c r="F51" i="16"/>
  <c r="F54" i="16"/>
  <c r="K32" i="40"/>
  <c r="K35" i="40"/>
  <c r="K33" i="40"/>
  <c r="K36" i="40"/>
  <c r="K31" i="40"/>
  <c r="K34" i="40"/>
  <c r="BA49" i="33"/>
  <c r="BI49" i="33"/>
  <c r="BB23" i="30"/>
  <c r="BJ23" i="30"/>
  <c r="F41" i="29"/>
  <c r="F44" i="29"/>
  <c r="F42" i="29"/>
  <c r="F45" i="29"/>
  <c r="F40" i="29"/>
  <c r="F43" i="29"/>
  <c r="BC49" i="21"/>
  <c r="BK49" i="21"/>
  <c r="BC43" i="17"/>
  <c r="BK43" i="17"/>
  <c r="BA35" i="15"/>
  <c r="BI35" i="15"/>
  <c r="S50" i="40"/>
  <c r="S53" i="40"/>
  <c r="S51" i="40"/>
  <c r="S54" i="40"/>
  <c r="S52" i="40"/>
  <c r="S49" i="40"/>
  <c r="BC53" i="33"/>
  <c r="BK53" i="33"/>
  <c r="BC34" i="20"/>
  <c r="BK34" i="20"/>
  <c r="N50" i="36"/>
  <c r="N51" i="36"/>
  <c r="N54" i="36"/>
  <c r="N49" i="36"/>
  <c r="N52" i="36"/>
  <c r="N53" i="36"/>
  <c r="AY23" i="32"/>
  <c r="BG23" i="32"/>
  <c r="K39" i="23"/>
  <c r="J39" i="23"/>
  <c r="BC34" i="17"/>
  <c r="BK34" i="17"/>
  <c r="J41" i="13"/>
  <c r="J44" i="13"/>
  <c r="J42" i="13"/>
  <c r="J45" i="13"/>
  <c r="J40" i="13"/>
  <c r="J43" i="13"/>
  <c r="BJ35" i="35"/>
  <c r="BB35" i="35"/>
  <c r="BB25" i="24"/>
  <c r="BJ25" i="24"/>
  <c r="BB45" i="21"/>
  <c r="BJ45" i="21"/>
  <c r="AZ26" i="12"/>
  <c r="BH26" i="12"/>
  <c r="R41" i="35"/>
  <c r="R44" i="35"/>
  <c r="R42" i="35"/>
  <c r="R45" i="35"/>
  <c r="R40" i="35"/>
  <c r="R43" i="35"/>
  <c r="R24" i="23"/>
  <c r="R27" i="23"/>
  <c r="R25" i="23"/>
  <c r="R23" i="23"/>
  <c r="R26" i="23"/>
  <c r="R22" i="23"/>
  <c r="N31" i="11"/>
  <c r="N32" i="11"/>
  <c r="N35" i="11"/>
  <c r="N33" i="11"/>
  <c r="N36" i="11"/>
  <c r="N34" i="11"/>
  <c r="BB41" i="42"/>
  <c r="BJ41" i="42"/>
  <c r="BG53" i="32"/>
  <c r="AY53" i="32"/>
  <c r="AY22" i="26"/>
  <c r="BG22" i="26"/>
  <c r="O31" i="25"/>
  <c r="AZ31" i="25" s="1"/>
  <c r="BC34" i="16"/>
  <c r="BK34" i="16"/>
  <c r="BA50" i="38"/>
  <c r="BI50" i="38"/>
  <c r="F39" i="31"/>
  <c r="G39" i="31"/>
  <c r="BA44" i="31"/>
  <c r="BI44" i="31"/>
  <c r="BB27" i="21"/>
  <c r="BJ27" i="21"/>
  <c r="BA31" i="13"/>
  <c r="BI31" i="13"/>
  <c r="W41" i="39"/>
  <c r="W44" i="39"/>
  <c r="W42" i="39"/>
  <c r="W45" i="39"/>
  <c r="W40" i="39"/>
  <c r="W43" i="39"/>
  <c r="K44" i="37"/>
  <c r="K42" i="37"/>
  <c r="K45" i="37"/>
  <c r="K40" i="37"/>
  <c r="K43" i="37"/>
  <c r="K41" i="37"/>
  <c r="G31" i="26"/>
  <c r="G34" i="26"/>
  <c r="G32" i="26"/>
  <c r="G35" i="26"/>
  <c r="G33" i="26"/>
  <c r="G36" i="26"/>
  <c r="G52" i="20"/>
  <c r="G50" i="20"/>
  <c r="G53" i="20"/>
  <c r="G54" i="20"/>
  <c r="G51" i="20"/>
  <c r="G49" i="20"/>
  <c r="BC43" i="14"/>
  <c r="BK43" i="14"/>
  <c r="BA27" i="15"/>
  <c r="BI27" i="15"/>
  <c r="BC42" i="12"/>
  <c r="BK42" i="12"/>
  <c r="O24" i="38"/>
  <c r="O27" i="38"/>
  <c r="O22" i="38"/>
  <c r="O25" i="38"/>
  <c r="O23" i="38"/>
  <c r="O26" i="38"/>
  <c r="N31" i="32"/>
  <c r="N34" i="32"/>
  <c r="N32" i="32"/>
  <c r="N35" i="32"/>
  <c r="N36" i="32"/>
  <c r="N33" i="32"/>
  <c r="J50" i="41"/>
  <c r="J51" i="41"/>
  <c r="J54" i="41"/>
  <c r="J53" i="41"/>
  <c r="J49" i="41"/>
  <c r="J52" i="41"/>
  <c r="S31" i="31"/>
  <c r="AA33" i="23"/>
  <c r="AA31" i="23"/>
  <c r="AA34" i="23"/>
  <c r="AA32" i="23"/>
  <c r="AA36" i="23"/>
  <c r="AA35" i="23"/>
  <c r="BC50" i="17"/>
  <c r="BK50" i="17"/>
  <c r="BB33" i="11"/>
  <c r="BJ33" i="11"/>
  <c r="V42" i="41"/>
  <c r="V44" i="41"/>
  <c r="V45" i="41"/>
  <c r="V43" i="41"/>
  <c r="V40" i="41"/>
  <c r="V41" i="41"/>
  <c r="BH45" i="30"/>
  <c r="AZ45" i="30"/>
  <c r="BB43" i="25"/>
  <c r="BJ43" i="25"/>
  <c r="G2" i="61"/>
  <c r="F3" i="60"/>
  <c r="I3" i="57"/>
  <c r="L194" i="54"/>
  <c r="L192" i="54"/>
  <c r="L190" i="54"/>
  <c r="L188" i="54"/>
  <c r="L186" i="54"/>
  <c r="L184" i="54"/>
  <c r="L182" i="54"/>
  <c r="L180" i="54"/>
  <c r="L178" i="54"/>
  <c r="L176" i="54"/>
  <c r="L174" i="54"/>
  <c r="L172" i="54"/>
  <c r="L170" i="54"/>
  <c r="L168" i="54"/>
  <c r="L166" i="54"/>
  <c r="L164" i="54"/>
  <c r="L162" i="54"/>
  <c r="L160" i="54"/>
  <c r="L158" i="54"/>
  <c r="L156" i="54"/>
  <c r="L154" i="54"/>
  <c r="L152" i="54"/>
  <c r="L150" i="54"/>
  <c r="L148" i="54"/>
  <c r="L146" i="54"/>
  <c r="L144" i="54"/>
  <c r="L142" i="54"/>
  <c r="L140" i="54"/>
  <c r="L138" i="54"/>
  <c r="L193" i="54"/>
  <c r="L191" i="54"/>
  <c r="L189" i="54"/>
  <c r="L187" i="54"/>
  <c r="L185" i="54"/>
  <c r="L183" i="54"/>
  <c r="L181" i="54"/>
  <c r="L179" i="54"/>
  <c r="L177" i="54"/>
  <c r="L175" i="54"/>
  <c r="L173" i="54"/>
  <c r="L171" i="54"/>
  <c r="L169" i="54"/>
  <c r="L167" i="54"/>
  <c r="L165" i="54"/>
  <c r="L163" i="54"/>
  <c r="L161" i="54"/>
  <c r="L159" i="54"/>
  <c r="L157" i="54"/>
  <c r="L155" i="54"/>
  <c r="L153" i="54"/>
  <c r="L151" i="54"/>
  <c r="L149" i="54"/>
  <c r="L147" i="54"/>
  <c r="L145" i="54"/>
  <c r="L143" i="54"/>
  <c r="L141" i="54"/>
  <c r="L139" i="54"/>
  <c r="L137" i="54"/>
  <c r="L135" i="54"/>
  <c r="L133" i="54"/>
  <c r="L131" i="54"/>
  <c r="L129" i="54"/>
  <c r="L127" i="54"/>
  <c r="L125" i="54"/>
  <c r="L123" i="54"/>
  <c r="L136" i="54"/>
  <c r="L134" i="54"/>
  <c r="L132" i="54"/>
  <c r="L130" i="54"/>
  <c r="L128" i="54"/>
  <c r="L126" i="54"/>
  <c r="L124" i="54"/>
  <c r="L122" i="54"/>
  <c r="L117" i="54"/>
  <c r="L109" i="54"/>
  <c r="L102" i="54"/>
  <c r="L114" i="54"/>
  <c r="L106" i="54"/>
  <c r="L119" i="54"/>
  <c r="L111" i="54"/>
  <c r="L97" i="54"/>
  <c r="L95" i="54"/>
  <c r="L93" i="54"/>
  <c r="L91" i="54"/>
  <c r="L89" i="54"/>
  <c r="L87" i="54"/>
  <c r="L85" i="54"/>
  <c r="L83" i="54"/>
  <c r="L81" i="54"/>
  <c r="L79" i="54"/>
  <c r="L77" i="54"/>
  <c r="L75" i="54"/>
  <c r="L73" i="54"/>
  <c r="L71" i="54"/>
  <c r="L69" i="54"/>
  <c r="L67" i="54"/>
  <c r="L65" i="54"/>
  <c r="L63" i="54"/>
  <c r="L61" i="54"/>
  <c r="L59" i="54"/>
  <c r="L57" i="54"/>
  <c r="L55" i="54"/>
  <c r="L53" i="54"/>
  <c r="L51" i="54"/>
  <c r="L49" i="54"/>
  <c r="L116" i="54"/>
  <c r="L108" i="54"/>
  <c r="L121" i="54"/>
  <c r="L113" i="54"/>
  <c r="L105" i="54"/>
  <c r="L103" i="54"/>
  <c r="L100" i="54"/>
  <c r="L118" i="54"/>
  <c r="L110" i="54"/>
  <c r="L115" i="54"/>
  <c r="L107" i="54"/>
  <c r="L99" i="54"/>
  <c r="L98" i="54"/>
  <c r="L96" i="54"/>
  <c r="L94" i="54"/>
  <c r="L92" i="54"/>
  <c r="L90" i="54"/>
  <c r="L88" i="54"/>
  <c r="L86" i="54"/>
  <c r="L84" i="54"/>
  <c r="L82" i="54"/>
  <c r="L80" i="54"/>
  <c r="L78" i="54"/>
  <c r="L76" i="54"/>
  <c r="L74" i="54"/>
  <c r="L72" i="54"/>
  <c r="L70" i="54"/>
  <c r="L68" i="54"/>
  <c r="L66" i="54"/>
  <c r="L64" i="54"/>
  <c r="L62" i="54"/>
  <c r="L60" i="54"/>
  <c r="L58" i="54"/>
  <c r="L56" i="54"/>
  <c r="L54" i="54"/>
  <c r="L52" i="54"/>
  <c r="L50" i="54"/>
  <c r="L120" i="54"/>
  <c r="L112" i="54"/>
  <c r="L104" i="54"/>
  <c r="L101" i="54"/>
  <c r="L47" i="54"/>
  <c r="L45" i="54"/>
  <c r="L43" i="54"/>
  <c r="L41" i="54"/>
  <c r="L39" i="54"/>
  <c r="L37" i="54"/>
  <c r="L35" i="54"/>
  <c r="L33" i="54"/>
  <c r="L31" i="54"/>
  <c r="L29" i="54"/>
  <c r="L27" i="54"/>
  <c r="L25" i="54"/>
  <c r="L23" i="54"/>
  <c r="L21" i="54"/>
  <c r="L19" i="54"/>
  <c r="L17" i="54"/>
  <c r="L15" i="54"/>
  <c r="L13" i="54"/>
  <c r="L11" i="54"/>
  <c r="L9" i="54"/>
  <c r="L7" i="54"/>
  <c r="L5" i="54"/>
  <c r="L3" i="54"/>
  <c r="L48" i="54"/>
  <c r="L46" i="54"/>
  <c r="L44" i="54"/>
  <c r="L42" i="54"/>
  <c r="L40" i="54"/>
  <c r="L38" i="54"/>
  <c r="L36" i="54"/>
  <c r="L34" i="54"/>
  <c r="L32" i="54"/>
  <c r="L30" i="54"/>
  <c r="L28" i="54"/>
  <c r="L26" i="54"/>
  <c r="L24" i="54"/>
  <c r="L22" i="54"/>
  <c r="L20" i="54"/>
  <c r="L18" i="54"/>
  <c r="L16" i="54"/>
  <c r="L14" i="54"/>
  <c r="L12" i="54"/>
  <c r="L10" i="54"/>
  <c r="L8" i="54"/>
  <c r="L6" i="54"/>
  <c r="L4" i="54"/>
  <c r="P2" i="54"/>
  <c r="AL198" i="6"/>
  <c r="C190" i="54" s="1"/>
  <c r="AL190" i="6"/>
  <c r="C182" i="54" s="1"/>
  <c r="AL182" i="6"/>
  <c r="C174" i="54" s="1"/>
  <c r="AL174" i="6"/>
  <c r="C166" i="54" s="1"/>
  <c r="AL166" i="6"/>
  <c r="C158" i="54" s="1"/>
  <c r="AL158" i="6"/>
  <c r="C150" i="54" s="1"/>
  <c r="AL150" i="6"/>
  <c r="C142" i="54" s="1"/>
  <c r="AL142" i="6"/>
  <c r="C134" i="54" s="1"/>
  <c r="AL134" i="6"/>
  <c r="C126" i="54" s="1"/>
  <c r="AL126" i="6"/>
  <c r="C118" i="54" s="1"/>
  <c r="AL118" i="6"/>
  <c r="C110" i="54" s="1"/>
  <c r="AL110" i="6"/>
  <c r="C102" i="54" s="1"/>
  <c r="AL102" i="6"/>
  <c r="C94" i="54" s="1"/>
  <c r="AL94" i="6"/>
  <c r="C86" i="54" s="1"/>
  <c r="AL86" i="6"/>
  <c r="C78" i="54" s="1"/>
  <c r="AL78" i="6"/>
  <c r="C70" i="54" s="1"/>
  <c r="AL70" i="6"/>
  <c r="C62" i="54" s="1"/>
  <c r="AL62" i="6"/>
  <c r="C54" i="54" s="1"/>
  <c r="AL47" i="6"/>
  <c r="C39" i="54" s="1"/>
  <c r="AL30" i="6"/>
  <c r="C22" i="54" s="1"/>
  <c r="AL23" i="6"/>
  <c r="C15" i="54" s="1"/>
  <c r="AL20" i="6"/>
  <c r="C12" i="54" s="1"/>
  <c r="AL11" i="6"/>
  <c r="C3" i="54" s="1"/>
  <c r="AL36" i="6"/>
  <c r="C28" i="54" s="1"/>
  <c r="AL195" i="6"/>
  <c r="C187" i="54" s="1"/>
  <c r="AL187" i="6"/>
  <c r="C179" i="54" s="1"/>
  <c r="AL179" i="6"/>
  <c r="C171" i="54" s="1"/>
  <c r="AL171" i="6"/>
  <c r="C163" i="54" s="1"/>
  <c r="AL163" i="6"/>
  <c r="C155" i="54" s="1"/>
  <c r="AL155" i="6"/>
  <c r="C147" i="54" s="1"/>
  <c r="AL147" i="6"/>
  <c r="C139" i="54" s="1"/>
  <c r="AL139" i="6"/>
  <c r="C131" i="54" s="1"/>
  <c r="AL131" i="6"/>
  <c r="C123" i="54" s="1"/>
  <c r="AL123" i="6"/>
  <c r="C115" i="54" s="1"/>
  <c r="AL115" i="6"/>
  <c r="C107" i="54" s="1"/>
  <c r="AL107" i="6"/>
  <c r="C99" i="54" s="1"/>
  <c r="AL99" i="6"/>
  <c r="C91" i="54" s="1"/>
  <c r="AL91" i="6"/>
  <c r="C83" i="54" s="1"/>
  <c r="AL83" i="6"/>
  <c r="C75" i="54" s="1"/>
  <c r="AL75" i="6"/>
  <c r="C67" i="54" s="1"/>
  <c r="AL67" i="6"/>
  <c r="C59" i="54" s="1"/>
  <c r="AL59" i="6"/>
  <c r="C51" i="54" s="1"/>
  <c r="AL53" i="6"/>
  <c r="C45" i="54" s="1"/>
  <c r="AL43" i="6"/>
  <c r="C35" i="54" s="1"/>
  <c r="AL39" i="6"/>
  <c r="C31" i="54" s="1"/>
  <c r="AL33" i="6"/>
  <c r="C25" i="54" s="1"/>
  <c r="AL200" i="6"/>
  <c r="C192" i="54" s="1"/>
  <c r="AL192" i="6"/>
  <c r="C184" i="54" s="1"/>
  <c r="AL184" i="6"/>
  <c r="C176" i="54" s="1"/>
  <c r="AL176" i="6"/>
  <c r="C168" i="54" s="1"/>
  <c r="AL168" i="6"/>
  <c r="C160" i="54" s="1"/>
  <c r="AL160" i="6"/>
  <c r="C152" i="54" s="1"/>
  <c r="AL152" i="6"/>
  <c r="C144" i="54" s="1"/>
  <c r="AL144" i="6"/>
  <c r="C136" i="54" s="1"/>
  <c r="AL136" i="6"/>
  <c r="C128" i="54" s="1"/>
  <c r="AL128" i="6"/>
  <c r="C120" i="54" s="1"/>
  <c r="AL120" i="6"/>
  <c r="C112" i="54" s="1"/>
  <c r="AL112" i="6"/>
  <c r="C104" i="54" s="1"/>
  <c r="AL104" i="6"/>
  <c r="C96" i="54" s="1"/>
  <c r="AL96" i="6"/>
  <c r="C88" i="54" s="1"/>
  <c r="AL88" i="6"/>
  <c r="C80" i="54" s="1"/>
  <c r="AL80" i="6"/>
  <c r="C72" i="54" s="1"/>
  <c r="AL72" i="6"/>
  <c r="C64" i="54" s="1"/>
  <c r="AL64" i="6"/>
  <c r="C56" i="54" s="1"/>
  <c r="AL56" i="6"/>
  <c r="C48" i="54" s="1"/>
  <c r="AL49" i="6"/>
  <c r="C41" i="54" s="1"/>
  <c r="AL46" i="6"/>
  <c r="C38" i="54" s="1"/>
  <c r="AL29" i="6"/>
  <c r="C21" i="54" s="1"/>
  <c r="AL22" i="6"/>
  <c r="C14" i="54" s="1"/>
  <c r="AL19" i="6"/>
  <c r="C11" i="54" s="1"/>
  <c r="AL13" i="6"/>
  <c r="C5" i="54" s="1"/>
  <c r="N6" i="6"/>
  <c r="AL197" i="6"/>
  <c r="C189" i="54" s="1"/>
  <c r="AL189" i="6"/>
  <c r="C181" i="54" s="1"/>
  <c r="AL181" i="6"/>
  <c r="C173" i="54" s="1"/>
  <c r="AL173" i="6"/>
  <c r="C165" i="54" s="1"/>
  <c r="AL165" i="6"/>
  <c r="C157" i="54" s="1"/>
  <c r="AL157" i="6"/>
  <c r="C149" i="54" s="1"/>
  <c r="AL149" i="6"/>
  <c r="C141" i="54" s="1"/>
  <c r="AL141" i="6"/>
  <c r="C133" i="54" s="1"/>
  <c r="AL133" i="6"/>
  <c r="C125" i="54" s="1"/>
  <c r="AL125" i="6"/>
  <c r="C117" i="54" s="1"/>
  <c r="AL117" i="6"/>
  <c r="C109" i="54" s="1"/>
  <c r="AL109" i="6"/>
  <c r="C101" i="54" s="1"/>
  <c r="AL101" i="6"/>
  <c r="C93" i="54" s="1"/>
  <c r="AL93" i="6"/>
  <c r="C85" i="54" s="1"/>
  <c r="AL85" i="6"/>
  <c r="C77" i="54" s="1"/>
  <c r="AL77" i="6"/>
  <c r="C69" i="54" s="1"/>
  <c r="AL69" i="6"/>
  <c r="C61" i="54" s="1"/>
  <c r="AL61" i="6"/>
  <c r="C53" i="54" s="1"/>
  <c r="AL52" i="6"/>
  <c r="C44" i="54" s="1"/>
  <c r="AL42" i="6"/>
  <c r="C34" i="54" s="1"/>
  <c r="AL16" i="6"/>
  <c r="C8" i="54" s="1"/>
  <c r="AL202" i="6"/>
  <c r="C194" i="54" s="1"/>
  <c r="AL194" i="6"/>
  <c r="C186" i="54" s="1"/>
  <c r="AL186" i="6"/>
  <c r="C178" i="54" s="1"/>
  <c r="AL178" i="6"/>
  <c r="C170" i="54" s="1"/>
  <c r="AL170" i="6"/>
  <c r="C162" i="54" s="1"/>
  <c r="AL162" i="6"/>
  <c r="C154" i="54" s="1"/>
  <c r="AL154" i="6"/>
  <c r="C146" i="54" s="1"/>
  <c r="AL146" i="6"/>
  <c r="C138" i="54" s="1"/>
  <c r="AL138" i="6"/>
  <c r="C130" i="54" s="1"/>
  <c r="AL130" i="6"/>
  <c r="C122" i="54" s="1"/>
  <c r="AL122" i="6"/>
  <c r="C114" i="54" s="1"/>
  <c r="AL114" i="6"/>
  <c r="C106" i="54" s="1"/>
  <c r="AL106" i="6"/>
  <c r="C98" i="54" s="1"/>
  <c r="AL98" i="6"/>
  <c r="C90" i="54" s="1"/>
  <c r="AL90" i="6"/>
  <c r="C82" i="54" s="1"/>
  <c r="AL82" i="6"/>
  <c r="C74" i="54" s="1"/>
  <c r="AL74" i="6"/>
  <c r="C66" i="54" s="1"/>
  <c r="AL66" i="6"/>
  <c r="C58" i="54" s="1"/>
  <c r="AL58" i="6"/>
  <c r="C50" i="54" s="1"/>
  <c r="AL38" i="6"/>
  <c r="C30" i="54" s="1"/>
  <c r="AL35" i="6"/>
  <c r="C27" i="54" s="1"/>
  <c r="AL32" i="6"/>
  <c r="C24" i="54" s="1"/>
  <c r="AL28" i="6"/>
  <c r="C20" i="54" s="1"/>
  <c r="AL25" i="6"/>
  <c r="C17" i="54" s="1"/>
  <c r="AL18" i="6"/>
  <c r="C10" i="54" s="1"/>
  <c r="AL15" i="6"/>
  <c r="C7" i="54" s="1"/>
  <c r="AL199" i="6"/>
  <c r="C191" i="54" s="1"/>
  <c r="AL191" i="6"/>
  <c r="C183" i="54" s="1"/>
  <c r="AL183" i="6"/>
  <c r="C175" i="54" s="1"/>
  <c r="AL175" i="6"/>
  <c r="C167" i="54" s="1"/>
  <c r="AL167" i="6"/>
  <c r="C159" i="54" s="1"/>
  <c r="AL159" i="6"/>
  <c r="C151" i="54" s="1"/>
  <c r="AL151" i="6"/>
  <c r="C143" i="54" s="1"/>
  <c r="AL143" i="6"/>
  <c r="C135" i="54" s="1"/>
  <c r="AL135" i="6"/>
  <c r="C127" i="54" s="1"/>
  <c r="AL127" i="6"/>
  <c r="C119" i="54" s="1"/>
  <c r="AL119" i="6"/>
  <c r="C111" i="54" s="1"/>
  <c r="AL111" i="6"/>
  <c r="C103" i="54" s="1"/>
  <c r="AL103" i="6"/>
  <c r="C95" i="54" s="1"/>
  <c r="AL95" i="6"/>
  <c r="C87" i="54" s="1"/>
  <c r="AL87" i="6"/>
  <c r="C79" i="54" s="1"/>
  <c r="AL79" i="6"/>
  <c r="C71" i="54" s="1"/>
  <c r="AL71" i="6"/>
  <c r="C63" i="54" s="1"/>
  <c r="AL63" i="6"/>
  <c r="C55" i="54" s="1"/>
  <c r="AL55" i="6"/>
  <c r="C47" i="54" s="1"/>
  <c r="AL51" i="6"/>
  <c r="C43" i="54" s="1"/>
  <c r="AL48" i="6"/>
  <c r="C40" i="54" s="1"/>
  <c r="AL45" i="6"/>
  <c r="C37" i="54" s="1"/>
  <c r="AL41" i="6"/>
  <c r="C33" i="54" s="1"/>
  <c r="AL21" i="6"/>
  <c r="C13" i="54" s="1"/>
  <c r="AL12" i="6"/>
  <c r="C4" i="54" s="1"/>
  <c r="AL196" i="6"/>
  <c r="C188" i="54" s="1"/>
  <c r="AL188" i="6"/>
  <c r="C180" i="54" s="1"/>
  <c r="AL180" i="6"/>
  <c r="C172" i="54" s="1"/>
  <c r="AL172" i="6"/>
  <c r="C164" i="54" s="1"/>
  <c r="AL164" i="6"/>
  <c r="C156" i="54" s="1"/>
  <c r="AL156" i="6"/>
  <c r="C148" i="54" s="1"/>
  <c r="AL148" i="6"/>
  <c r="C140" i="54" s="1"/>
  <c r="AL140" i="6"/>
  <c r="C132" i="54" s="1"/>
  <c r="AL132" i="6"/>
  <c r="C124" i="54" s="1"/>
  <c r="AL124" i="6"/>
  <c r="C116" i="54" s="1"/>
  <c r="AL116" i="6"/>
  <c r="C108" i="54" s="1"/>
  <c r="AL108" i="6"/>
  <c r="C100" i="54" s="1"/>
  <c r="AL100" i="6"/>
  <c r="C92" i="54" s="1"/>
  <c r="AL92" i="6"/>
  <c r="C84" i="54" s="1"/>
  <c r="AL84" i="6"/>
  <c r="C76" i="54" s="1"/>
  <c r="AL76" i="6"/>
  <c r="C68" i="54" s="1"/>
  <c r="AL68" i="6"/>
  <c r="C60" i="54" s="1"/>
  <c r="AL60" i="6"/>
  <c r="C52" i="54" s="1"/>
  <c r="AL31" i="6"/>
  <c r="C23" i="54" s="1"/>
  <c r="AL24" i="6"/>
  <c r="C16" i="54" s="1"/>
  <c r="AL27" i="6"/>
  <c r="C19" i="54" s="1"/>
  <c r="AL17" i="6"/>
  <c r="C9" i="54" s="1"/>
  <c r="AL26" i="6"/>
  <c r="C18" i="54" s="1"/>
  <c r="AL201" i="6"/>
  <c r="C193" i="54" s="1"/>
  <c r="AL193" i="6"/>
  <c r="C185" i="54" s="1"/>
  <c r="AL185" i="6"/>
  <c r="C177" i="54" s="1"/>
  <c r="AL177" i="6"/>
  <c r="C169" i="54" s="1"/>
  <c r="AL169" i="6"/>
  <c r="C161" i="54" s="1"/>
  <c r="AL161" i="6"/>
  <c r="C153" i="54" s="1"/>
  <c r="AL153" i="6"/>
  <c r="C145" i="54" s="1"/>
  <c r="AL145" i="6"/>
  <c r="C137" i="54" s="1"/>
  <c r="AL137" i="6"/>
  <c r="C129" i="54" s="1"/>
  <c r="AL129" i="6"/>
  <c r="C121" i="54" s="1"/>
  <c r="AL121" i="6"/>
  <c r="C113" i="54" s="1"/>
  <c r="AL113" i="6"/>
  <c r="C105" i="54" s="1"/>
  <c r="AL105" i="6"/>
  <c r="C97" i="54" s="1"/>
  <c r="AL97" i="6"/>
  <c r="C89" i="54" s="1"/>
  <c r="AL89" i="6"/>
  <c r="C81" i="54" s="1"/>
  <c r="AL81" i="6"/>
  <c r="C73" i="54" s="1"/>
  <c r="AL73" i="6"/>
  <c r="C65" i="54" s="1"/>
  <c r="AL65" i="6"/>
  <c r="C57" i="54" s="1"/>
  <c r="AL57" i="6"/>
  <c r="C49" i="54" s="1"/>
  <c r="AL54" i="6"/>
  <c r="C46" i="54" s="1"/>
  <c r="AL50" i="6"/>
  <c r="C42" i="54" s="1"/>
  <c r="AL44" i="6"/>
  <c r="C36" i="54" s="1"/>
  <c r="AL40" i="6"/>
  <c r="C32" i="54" s="1"/>
  <c r="AL37" i="6"/>
  <c r="C29" i="54" s="1"/>
  <c r="AL34" i="6"/>
  <c r="C26" i="54" s="1"/>
  <c r="AL14" i="6"/>
  <c r="C6" i="54" s="1"/>
  <c r="A44" i="54"/>
  <c r="A104" i="54"/>
  <c r="A28" i="54"/>
  <c r="A62" i="54"/>
  <c r="A126" i="54"/>
  <c r="A42" i="54"/>
  <c r="A19" i="54"/>
  <c r="A60" i="54"/>
  <c r="A124" i="54"/>
  <c r="A188" i="54"/>
  <c r="A16" i="54"/>
  <c r="A71" i="54"/>
  <c r="A103" i="54"/>
  <c r="A135" i="54"/>
  <c r="A167" i="54"/>
  <c r="A58" i="54"/>
  <c r="A122" i="54"/>
  <c r="A173" i="54"/>
  <c r="A48" i="54"/>
  <c r="A112" i="54"/>
  <c r="A160" i="54"/>
  <c r="A192" i="54"/>
  <c r="A31" i="54"/>
  <c r="A67" i="54"/>
  <c r="A99" i="54"/>
  <c r="A131" i="54"/>
  <c r="A163" i="54"/>
  <c r="A70" i="54"/>
  <c r="A134" i="54"/>
  <c r="A182" i="54"/>
  <c r="A10" i="54"/>
  <c r="A49" i="54"/>
  <c r="A81" i="54"/>
  <c r="A113" i="54"/>
  <c r="A145" i="54"/>
  <c r="A177" i="54"/>
  <c r="A68" i="54"/>
  <c r="A132" i="54"/>
  <c r="A23" i="54"/>
  <c r="A66" i="54"/>
  <c r="A130" i="54"/>
  <c r="A178" i="54"/>
  <c r="A69" i="54"/>
  <c r="A101" i="54"/>
  <c r="A133" i="54"/>
  <c r="A56" i="54"/>
  <c r="A120" i="54"/>
  <c r="A8" i="54"/>
  <c r="A78" i="54"/>
  <c r="A142" i="54"/>
  <c r="A26" i="54"/>
  <c r="A76" i="54"/>
  <c r="A140" i="54"/>
  <c r="A40" i="54"/>
  <c r="A79" i="54"/>
  <c r="A111" i="54"/>
  <c r="A143" i="54"/>
  <c r="A175" i="54"/>
  <c r="A74" i="54"/>
  <c r="A138" i="54"/>
  <c r="A157" i="54"/>
  <c r="A64" i="54"/>
  <c r="A128" i="54"/>
  <c r="A168" i="54"/>
  <c r="A11" i="54"/>
  <c r="A75" i="54"/>
  <c r="A107" i="54"/>
  <c r="A139" i="54"/>
  <c r="A171" i="54"/>
  <c r="A86" i="54"/>
  <c r="A150" i="54"/>
  <c r="A190" i="54"/>
  <c r="A6" i="54"/>
  <c r="A57" i="54"/>
  <c r="A89" i="54"/>
  <c r="A121" i="54"/>
  <c r="A153" i="54"/>
  <c r="A185" i="54"/>
  <c r="A7" i="54"/>
  <c r="A29" i="54"/>
  <c r="A84" i="54"/>
  <c r="A148" i="54"/>
  <c r="A27" i="54"/>
  <c r="A82" i="54"/>
  <c r="A146" i="54"/>
  <c r="A186" i="54"/>
  <c r="A77" i="54"/>
  <c r="A109" i="54"/>
  <c r="A181" i="54"/>
  <c r="A14" i="54"/>
  <c r="A72" i="54"/>
  <c r="A136" i="54"/>
  <c r="A94" i="54"/>
  <c r="A158" i="54"/>
  <c r="A12" i="54"/>
  <c r="A20" i="54"/>
  <c r="A32" i="54"/>
  <c r="A92" i="54"/>
  <c r="A156" i="54"/>
  <c r="A3" i="54"/>
  <c r="A55" i="54"/>
  <c r="A87" i="54"/>
  <c r="A119" i="54"/>
  <c r="A151" i="54"/>
  <c r="A183" i="54"/>
  <c r="A33" i="54"/>
  <c r="A90" i="54"/>
  <c r="A154" i="54"/>
  <c r="A141" i="54"/>
  <c r="A34" i="54"/>
  <c r="A80" i="54"/>
  <c r="A144" i="54"/>
  <c r="A176" i="54"/>
  <c r="A18" i="54"/>
  <c r="A51" i="54"/>
  <c r="A83" i="54"/>
  <c r="A115" i="54"/>
  <c r="A147" i="54"/>
  <c r="A179" i="54"/>
  <c r="A35" i="54"/>
  <c r="A102" i="54"/>
  <c r="A166" i="54"/>
  <c r="A15" i="54"/>
  <c r="A65" i="54"/>
  <c r="A97" i="54"/>
  <c r="A129" i="54"/>
  <c r="A161" i="54"/>
  <c r="A193" i="54"/>
  <c r="A36" i="54"/>
  <c r="A100" i="54"/>
  <c r="A164" i="54"/>
  <c r="A37" i="54"/>
  <c r="A98" i="54"/>
  <c r="A162" i="54"/>
  <c r="A194" i="54"/>
  <c r="A17" i="54"/>
  <c r="A53" i="54"/>
  <c r="A85" i="54"/>
  <c r="A117" i="54"/>
  <c r="A165" i="54"/>
  <c r="A38" i="54"/>
  <c r="A88" i="54"/>
  <c r="A21" i="54"/>
  <c r="A45" i="54"/>
  <c r="A110" i="54"/>
  <c r="A22" i="54"/>
  <c r="A9" i="54"/>
  <c r="A46" i="54"/>
  <c r="A108" i="54"/>
  <c r="A172" i="54"/>
  <c r="A4" i="54"/>
  <c r="A63" i="54"/>
  <c r="A95" i="54"/>
  <c r="A127" i="54"/>
  <c r="A159" i="54"/>
  <c r="A191" i="54"/>
  <c r="A47" i="54"/>
  <c r="A106" i="54"/>
  <c r="A170" i="54"/>
  <c r="A30" i="54"/>
  <c r="A189" i="54"/>
  <c r="A41" i="54"/>
  <c r="A96" i="54"/>
  <c r="A152" i="54"/>
  <c r="A184" i="54"/>
  <c r="A5" i="54"/>
  <c r="A25" i="54"/>
  <c r="A59" i="54"/>
  <c r="A91" i="54"/>
  <c r="A123" i="54"/>
  <c r="A155" i="54"/>
  <c r="A187" i="54"/>
  <c r="A54" i="54"/>
  <c r="A118" i="54"/>
  <c r="A174" i="54"/>
  <c r="A39" i="54"/>
  <c r="A73" i="54"/>
  <c r="A105" i="54"/>
  <c r="A137" i="54"/>
  <c r="A169" i="54"/>
  <c r="A52" i="54"/>
  <c r="A116" i="54"/>
  <c r="A180" i="54"/>
  <c r="A13" i="54"/>
  <c r="A50" i="54"/>
  <c r="A114" i="54"/>
  <c r="A43" i="54"/>
  <c r="A24" i="54"/>
  <c r="A61" i="54"/>
  <c r="A93" i="54"/>
  <c r="A125" i="54"/>
  <c r="A149" i="54"/>
  <c r="N2" i="6"/>
  <c r="W32" i="29"/>
  <c r="W35" i="29"/>
  <c r="W33" i="29"/>
  <c r="W36" i="29"/>
  <c r="W31" i="29"/>
  <c r="W34" i="29"/>
  <c r="BB33" i="42"/>
  <c r="BJ33" i="42"/>
  <c r="K39" i="30"/>
  <c r="J39" i="30"/>
  <c r="W41" i="30"/>
  <c r="V41" i="30"/>
  <c r="BA51" i="28"/>
  <c r="BI51" i="28"/>
  <c r="O41" i="27"/>
  <c r="O44" i="27"/>
  <c r="O42" i="27"/>
  <c r="O45" i="27"/>
  <c r="O40" i="27"/>
  <c r="O43" i="27"/>
  <c r="S36" i="36"/>
  <c r="S31" i="36"/>
  <c r="S34" i="36"/>
  <c r="S32" i="36"/>
  <c r="S35" i="36"/>
  <c r="S33" i="36"/>
  <c r="J42" i="17"/>
  <c r="J45" i="17"/>
  <c r="J40" i="17"/>
  <c r="J43" i="17"/>
  <c r="J41" i="17"/>
  <c r="J44" i="17"/>
  <c r="BC51" i="20"/>
  <c r="BK51" i="20"/>
  <c r="AX23" i="37"/>
  <c r="BF23" i="37"/>
  <c r="BC35" i="34"/>
  <c r="BK35" i="34"/>
  <c r="BK41" i="25"/>
  <c r="BC41" i="25"/>
  <c r="S32" i="11"/>
  <c r="S33" i="11"/>
  <c r="S36" i="11"/>
  <c r="S31" i="11"/>
  <c r="S34" i="11"/>
  <c r="S35" i="11"/>
  <c r="BH54" i="10"/>
  <c r="AZ54" i="10"/>
  <c r="W51" i="35"/>
  <c r="K54" i="15"/>
  <c r="K49" i="15"/>
  <c r="K52" i="15"/>
  <c r="K50" i="15"/>
  <c r="K53" i="15"/>
  <c r="K51" i="15"/>
  <c r="W42" i="32"/>
  <c r="W45" i="32"/>
  <c r="W40" i="32"/>
  <c r="W43" i="32"/>
  <c r="W41" i="32"/>
  <c r="W44" i="32"/>
  <c r="G24" i="26"/>
  <c r="G27" i="26"/>
  <c r="G22" i="26"/>
  <c r="G25" i="26"/>
  <c r="G23" i="26"/>
  <c r="G26" i="26"/>
  <c r="BA52" i="21"/>
  <c r="BI52" i="21"/>
  <c r="F42" i="20"/>
  <c r="F45" i="20"/>
  <c r="F43" i="20"/>
  <c r="F44" i="20"/>
  <c r="F41" i="20"/>
  <c r="F40" i="20"/>
  <c r="F35" i="16"/>
  <c r="F33" i="16"/>
  <c r="F36" i="16"/>
  <c r="F31" i="16"/>
  <c r="F34" i="16"/>
  <c r="F32" i="16"/>
  <c r="O34" i="41"/>
  <c r="O33" i="41"/>
  <c r="O35" i="41"/>
  <c r="O31" i="41"/>
  <c r="O36" i="41"/>
  <c r="O32" i="41"/>
  <c r="BK31" i="37"/>
  <c r="BC31" i="37"/>
  <c r="AZ27" i="30"/>
  <c r="BH27" i="30"/>
  <c r="K41" i="22"/>
  <c r="K44" i="22"/>
  <c r="K42" i="22"/>
  <c r="K45" i="22"/>
  <c r="K40" i="22"/>
  <c r="K43" i="22"/>
  <c r="BC40" i="22"/>
  <c r="BK40" i="22"/>
  <c r="BA54" i="13"/>
  <c r="BI54" i="13"/>
  <c r="BG41" i="10"/>
  <c r="AY41" i="10"/>
  <c r="BB23" i="35"/>
  <c r="BJ23" i="35"/>
  <c r="R26" i="40"/>
  <c r="R27" i="40"/>
  <c r="R23" i="40"/>
  <c r="R25" i="40"/>
  <c r="R24" i="40"/>
  <c r="R22" i="40"/>
  <c r="V36" i="33"/>
  <c r="V31" i="33"/>
  <c r="V34" i="33"/>
  <c r="V32" i="33"/>
  <c r="V35" i="33"/>
  <c r="V33" i="33"/>
  <c r="K51" i="27"/>
  <c r="K52" i="27"/>
  <c r="K50" i="27"/>
  <c r="K54" i="27"/>
  <c r="K53" i="27"/>
  <c r="K49" i="27"/>
  <c r="BK54" i="42"/>
  <c r="BC54" i="42"/>
  <c r="F51" i="38"/>
  <c r="F54" i="38"/>
  <c r="F49" i="38"/>
  <c r="F52" i="38"/>
  <c r="F50" i="38"/>
  <c r="F53" i="38"/>
  <c r="J45" i="35"/>
  <c r="J40" i="35"/>
  <c r="J43" i="35"/>
  <c r="J41" i="35"/>
  <c r="J44" i="35"/>
  <c r="J42" i="35"/>
  <c r="BC24" i="33"/>
  <c r="BK24" i="33"/>
  <c r="BC45" i="30"/>
  <c r="BK45" i="30"/>
  <c r="N48" i="24"/>
  <c r="O48" i="24"/>
  <c r="K36" i="11"/>
  <c r="K34" i="11"/>
  <c r="K32" i="11"/>
  <c r="K35" i="11"/>
  <c r="K33" i="11"/>
  <c r="K31" i="11"/>
  <c r="AZ45" i="12"/>
  <c r="BH45" i="12"/>
  <c r="BC33" i="15"/>
  <c r="BK33" i="15"/>
  <c r="G52" i="19"/>
  <c r="G50" i="19"/>
  <c r="G53" i="19"/>
  <c r="G51" i="19"/>
  <c r="G54" i="19"/>
  <c r="G49" i="19"/>
  <c r="BB35" i="20"/>
  <c r="BJ35" i="20"/>
  <c r="G22" i="12"/>
  <c r="G25" i="12"/>
  <c r="G23" i="12"/>
  <c r="G26" i="12"/>
  <c r="G24" i="12"/>
  <c r="G27" i="12"/>
  <c r="R32" i="32"/>
  <c r="R33" i="32"/>
  <c r="R36" i="32"/>
  <c r="R31" i="32"/>
  <c r="R35" i="32"/>
  <c r="R34" i="32"/>
  <c r="G23" i="27"/>
  <c r="G26" i="27"/>
  <c r="G24" i="27"/>
  <c r="G27" i="27"/>
  <c r="G22" i="27"/>
  <c r="G25" i="27"/>
  <c r="BJ53" i="37"/>
  <c r="BB53" i="37"/>
  <c r="Z45" i="35"/>
  <c r="Z40" i="35"/>
  <c r="Z43" i="35"/>
  <c r="Z41" i="35"/>
  <c r="Z44" i="35"/>
  <c r="Z42" i="35"/>
  <c r="BG44" i="31"/>
  <c r="AY44" i="31"/>
  <c r="BA25" i="28"/>
  <c r="BI25" i="28"/>
  <c r="R22" i="11"/>
  <c r="R23" i="11"/>
  <c r="R26" i="11"/>
  <c r="R24" i="11"/>
  <c r="R27" i="11"/>
  <c r="R25" i="11"/>
  <c r="N43" i="14"/>
  <c r="N41" i="14"/>
  <c r="N44" i="14"/>
  <c r="N42" i="14"/>
  <c r="N45" i="14"/>
  <c r="N40" i="14"/>
  <c r="BA41" i="41"/>
  <c r="BI41" i="41"/>
  <c r="BB54" i="35"/>
  <c r="BJ54" i="35"/>
  <c r="Z33" i="24"/>
  <c r="BK24" i="19"/>
  <c r="BC24" i="19"/>
  <c r="BB40" i="18"/>
  <c r="BJ40" i="18"/>
  <c r="AY22" i="10"/>
  <c r="BG22" i="10"/>
  <c r="BC53" i="32"/>
  <c r="BK53" i="32"/>
  <c r="BF32" i="37"/>
  <c r="AX32" i="37"/>
  <c r="BH45" i="37"/>
  <c r="AZ45" i="37"/>
  <c r="V35" i="32"/>
  <c r="V36" i="32"/>
  <c r="V31" i="32"/>
  <c r="V34" i="32"/>
  <c r="V32" i="32"/>
  <c r="V33" i="32"/>
  <c r="BA32" i="21"/>
  <c r="BI32" i="21"/>
  <c r="K35" i="18"/>
  <c r="K33" i="18"/>
  <c r="K36" i="18"/>
  <c r="K31" i="18"/>
  <c r="K32" i="18"/>
  <c r="K34" i="18"/>
  <c r="BA43" i="13"/>
  <c r="BI43" i="13"/>
  <c r="F27" i="10"/>
  <c r="F25" i="10"/>
  <c r="F23" i="10"/>
  <c r="F26" i="10"/>
  <c r="F24" i="10"/>
  <c r="F22" i="10"/>
  <c r="BC50" i="39"/>
  <c r="BK50" i="39"/>
  <c r="AY35" i="38"/>
  <c r="BG35" i="38"/>
  <c r="G21" i="35"/>
  <c r="F21" i="35"/>
  <c r="BC23" i="32"/>
  <c r="BK23" i="32"/>
  <c r="J26" i="27"/>
  <c r="J24" i="27"/>
  <c r="J27" i="27"/>
  <c r="J22" i="27"/>
  <c r="J25" i="27"/>
  <c r="J23" i="27"/>
  <c r="O33" i="20"/>
  <c r="O36" i="20"/>
  <c r="O31" i="20"/>
  <c r="O34" i="20"/>
  <c r="O32" i="20"/>
  <c r="O35" i="20"/>
  <c r="N25" i="40"/>
  <c r="N22" i="40"/>
  <c r="N26" i="40"/>
  <c r="N27" i="40"/>
  <c r="N23" i="40"/>
  <c r="N24" i="40"/>
  <c r="BC25" i="36"/>
  <c r="BK25" i="36"/>
  <c r="J26" i="11"/>
  <c r="J24" i="11"/>
  <c r="J27" i="11"/>
  <c r="J22" i="11"/>
  <c r="J25" i="11"/>
  <c r="J23" i="11"/>
  <c r="W40" i="11"/>
  <c r="BB40" i="11" s="1"/>
  <c r="BB49" i="24"/>
  <c r="BJ49" i="24"/>
  <c r="F42" i="19"/>
  <c r="F40" i="19"/>
  <c r="F43" i="19"/>
  <c r="F41" i="19"/>
  <c r="F44" i="19"/>
  <c r="F45" i="19"/>
  <c r="BC35" i="36"/>
  <c r="BK35" i="36"/>
  <c r="BC43" i="31"/>
  <c r="BK43" i="31"/>
  <c r="J50" i="24"/>
  <c r="J53" i="24"/>
  <c r="J51" i="24"/>
  <c r="J54" i="24"/>
  <c r="J49" i="24"/>
  <c r="J52" i="24"/>
  <c r="G23" i="19"/>
  <c r="G24" i="19"/>
  <c r="G27" i="19"/>
  <c r="G22" i="19"/>
  <c r="G25" i="19"/>
  <c r="G26" i="19"/>
  <c r="BK35" i="32"/>
  <c r="BC35" i="32"/>
  <c r="R52" i="18"/>
  <c r="R50" i="18"/>
  <c r="R51" i="18"/>
  <c r="R54" i="18"/>
  <c r="R53" i="18"/>
  <c r="R49" i="18"/>
  <c r="N31" i="27"/>
  <c r="N34" i="27"/>
  <c r="N32" i="27"/>
  <c r="N35" i="27"/>
  <c r="N33" i="27"/>
  <c r="N36" i="27"/>
  <c r="R26" i="36"/>
  <c r="R24" i="36"/>
  <c r="R27" i="36"/>
  <c r="R22" i="36"/>
  <c r="R25" i="36"/>
  <c r="R23" i="36"/>
  <c r="J25" i="17"/>
  <c r="J23" i="17"/>
  <c r="J26" i="17"/>
  <c r="J24" i="17"/>
  <c r="J27" i="17"/>
  <c r="J22" i="17"/>
  <c r="O23" i="15"/>
  <c r="O26" i="15"/>
  <c r="O24" i="15"/>
  <c r="O27" i="15"/>
  <c r="O22" i="15"/>
  <c r="O25" i="15"/>
  <c r="BC50" i="11"/>
  <c r="BK50" i="11"/>
  <c r="BA40" i="34"/>
  <c r="BI40" i="34"/>
  <c r="BC26" i="22"/>
  <c r="BK26" i="22"/>
  <c r="AA22" i="11"/>
  <c r="BC22" i="11" s="1"/>
  <c r="V27" i="32"/>
  <c r="V22" i="32"/>
  <c r="V25" i="32"/>
  <c r="V23" i="32"/>
  <c r="V26" i="32"/>
  <c r="V24" i="32"/>
  <c r="F27" i="20"/>
  <c r="F22" i="20"/>
  <c r="F25" i="20"/>
  <c r="F23" i="20"/>
  <c r="F26" i="20"/>
  <c r="F24" i="20"/>
  <c r="G45" i="10"/>
  <c r="G43" i="10"/>
  <c r="G41" i="10"/>
  <c r="G44" i="10"/>
  <c r="G42" i="10"/>
  <c r="G40" i="10"/>
  <c r="AX40" i="37"/>
  <c r="BF40" i="37"/>
  <c r="BC26" i="30"/>
  <c r="BK26" i="30"/>
  <c r="BA23" i="31"/>
  <c r="BI23" i="31"/>
  <c r="BK32" i="29"/>
  <c r="BC32" i="29"/>
  <c r="AZ50" i="25"/>
  <c r="BH50" i="25"/>
  <c r="K40" i="14"/>
  <c r="K43" i="14"/>
  <c r="K41" i="14"/>
  <c r="K44" i="14"/>
  <c r="K42" i="14"/>
  <c r="K45" i="14"/>
  <c r="AY35" i="32"/>
  <c r="BG35" i="32"/>
  <c r="G53" i="40"/>
  <c r="G51" i="40"/>
  <c r="G49" i="40"/>
  <c r="G52" i="40"/>
  <c r="G50" i="40"/>
  <c r="G54" i="40"/>
  <c r="W53" i="33"/>
  <c r="W51" i="33"/>
  <c r="W54" i="33"/>
  <c r="W49" i="33"/>
  <c r="W52" i="33"/>
  <c r="W50" i="33"/>
  <c r="AZ31" i="30"/>
  <c r="BH31" i="30"/>
  <c r="G26" i="24"/>
  <c r="G24" i="24"/>
  <c r="G27" i="24"/>
  <c r="G22" i="24"/>
  <c r="G25" i="24"/>
  <c r="G23" i="24"/>
  <c r="BC54" i="22"/>
  <c r="BK54" i="22"/>
  <c r="K26" i="35"/>
  <c r="K24" i="35"/>
  <c r="K27" i="35"/>
  <c r="K22" i="35"/>
  <c r="K25" i="35"/>
  <c r="K23" i="35"/>
  <c r="S40" i="30"/>
  <c r="S43" i="30"/>
  <c r="S41" i="30"/>
  <c r="S44" i="30"/>
  <c r="S42" i="30"/>
  <c r="S45" i="30"/>
  <c r="BB41" i="11"/>
  <c r="BJ41" i="11"/>
  <c r="BC34" i="11"/>
  <c r="BK34" i="11"/>
  <c r="AZ52" i="12"/>
  <c r="BH52" i="12"/>
  <c r="G45" i="28"/>
  <c r="G40" i="28"/>
  <c r="G43" i="28"/>
  <c r="G41" i="28"/>
  <c r="G44" i="28"/>
  <c r="G42" i="28"/>
  <c r="K36" i="34"/>
  <c r="K31" i="34"/>
  <c r="K34" i="34"/>
  <c r="K32" i="34"/>
  <c r="K35" i="34"/>
  <c r="K33" i="34"/>
  <c r="Z40" i="11"/>
  <c r="F52" i="41"/>
  <c r="F50" i="41"/>
  <c r="F53" i="41"/>
  <c r="F49" i="41"/>
  <c r="F51" i="41"/>
  <c r="F54" i="41"/>
  <c r="R36" i="12"/>
  <c r="R31" i="12"/>
  <c r="R34" i="12"/>
  <c r="R32" i="12"/>
  <c r="R35" i="12"/>
  <c r="R33" i="12"/>
  <c r="S24" i="32"/>
  <c r="S27" i="32"/>
  <c r="S22" i="32"/>
  <c r="S25" i="32"/>
  <c r="S23" i="32"/>
  <c r="S26" i="32"/>
  <c r="F42" i="27"/>
  <c r="F45" i="27"/>
  <c r="F40" i="27"/>
  <c r="F43" i="27"/>
  <c r="F41" i="27"/>
  <c r="F44" i="27"/>
  <c r="BC36" i="31"/>
  <c r="BK36" i="31"/>
  <c r="N25" i="33"/>
  <c r="N23" i="33"/>
  <c r="N26" i="33"/>
  <c r="N24" i="33"/>
  <c r="N27" i="33"/>
  <c r="N22" i="33"/>
  <c r="BC26" i="24"/>
  <c r="BK26" i="24"/>
  <c r="BC52" i="19"/>
  <c r="BK52" i="19"/>
  <c r="N54" i="15"/>
  <c r="N49" i="15"/>
  <c r="N52" i="15"/>
  <c r="N50" i="15"/>
  <c r="N53" i="15"/>
  <c r="N51" i="15"/>
  <c r="BC32" i="42"/>
  <c r="BK32" i="42"/>
  <c r="V42" i="24"/>
  <c r="J22" i="31"/>
  <c r="BB32" i="37"/>
  <c r="BJ32" i="37"/>
  <c r="BA27" i="38"/>
  <c r="BI27" i="38"/>
  <c r="F27" i="18"/>
  <c r="F25" i="18"/>
  <c r="F23" i="18"/>
  <c r="F24" i="18"/>
  <c r="F22" i="18"/>
  <c r="F26" i="18"/>
  <c r="G30" i="42"/>
  <c r="F30" i="42"/>
  <c r="AA31" i="42"/>
  <c r="Z31" i="42"/>
  <c r="AX27" i="30"/>
  <c r="BF27" i="30"/>
  <c r="V33" i="22"/>
  <c r="V36" i="22"/>
  <c r="V31" i="22"/>
  <c r="V34" i="22"/>
  <c r="V32" i="22"/>
  <c r="V35" i="22"/>
  <c r="BC22" i="16"/>
  <c r="BK22" i="16"/>
  <c r="BA24" i="42"/>
  <c r="BI24" i="42"/>
  <c r="BJ36" i="30"/>
  <c r="BB36" i="30"/>
  <c r="AA24" i="27"/>
  <c r="AA27" i="27"/>
  <c r="AA22" i="27"/>
  <c r="AA25" i="27"/>
  <c r="AA23" i="27"/>
  <c r="AA26" i="27"/>
  <c r="BC26" i="21"/>
  <c r="BK26" i="21"/>
  <c r="BB33" i="18"/>
  <c r="BJ33" i="18"/>
  <c r="BC31" i="14"/>
  <c r="BK31" i="14"/>
  <c r="BA23" i="13"/>
  <c r="BI23" i="13"/>
  <c r="BI36" i="41"/>
  <c r="BA36" i="41"/>
  <c r="BA27" i="41"/>
  <c r="BI27" i="41"/>
  <c r="BJ43" i="37"/>
  <c r="BB43" i="37"/>
  <c r="K50" i="35"/>
  <c r="K53" i="35"/>
  <c r="K51" i="35"/>
  <c r="K54" i="35"/>
  <c r="K49" i="35"/>
  <c r="K52" i="35"/>
  <c r="O34" i="28"/>
  <c r="O32" i="28"/>
  <c r="O35" i="28"/>
  <c r="O33" i="28"/>
  <c r="O36" i="28"/>
  <c r="O31" i="28"/>
  <c r="AZ22" i="10"/>
  <c r="BH22" i="10"/>
  <c r="BK40" i="28"/>
  <c r="BC40" i="28"/>
  <c r="BC27" i="38"/>
  <c r="BK27" i="38"/>
  <c r="AY49" i="26"/>
  <c r="BG49" i="26"/>
  <c r="BC50" i="15"/>
  <c r="BK50" i="15"/>
  <c r="BB25" i="10"/>
  <c r="BJ25" i="10"/>
  <c r="R34" i="35"/>
  <c r="R32" i="35"/>
  <c r="R35" i="35"/>
  <c r="R33" i="35"/>
  <c r="R31" i="35"/>
  <c r="R36" i="35"/>
  <c r="N24" i="19"/>
  <c r="N22" i="19"/>
  <c r="N25" i="19"/>
  <c r="N23" i="19"/>
  <c r="N26" i="19"/>
  <c r="N27" i="19"/>
  <c r="N53" i="31"/>
  <c r="N51" i="31"/>
  <c r="N54" i="31"/>
  <c r="N49" i="31"/>
  <c r="N52" i="31"/>
  <c r="N50" i="31"/>
  <c r="V49" i="34"/>
  <c r="V54" i="34"/>
  <c r="V52" i="34"/>
  <c r="V50" i="34"/>
  <c r="V53" i="34"/>
  <c r="V51" i="34"/>
  <c r="BC41" i="15"/>
  <c r="BK41" i="15"/>
  <c r="R40" i="42"/>
  <c r="BJ54" i="42"/>
  <c r="BB54" i="42"/>
  <c r="BC50" i="37"/>
  <c r="BK50" i="37"/>
  <c r="AZ36" i="37"/>
  <c r="BH36" i="37"/>
  <c r="AY53" i="31"/>
  <c r="BG53" i="31"/>
  <c r="BG43" i="29"/>
  <c r="AY43" i="29"/>
  <c r="BC25" i="25"/>
  <c r="BK25" i="25"/>
  <c r="BC45" i="16"/>
  <c r="BK45" i="16"/>
  <c r="W41" i="40"/>
  <c r="W44" i="40"/>
  <c r="W42" i="40"/>
  <c r="W45" i="40"/>
  <c r="W43" i="40"/>
  <c r="W40" i="40"/>
  <c r="AY26" i="38"/>
  <c r="BG26" i="38"/>
  <c r="BC32" i="22"/>
  <c r="BK32" i="22"/>
  <c r="V51" i="18"/>
  <c r="N39" i="18"/>
  <c r="O39" i="18"/>
  <c r="AY34" i="10"/>
  <c r="BG34" i="10"/>
  <c r="BC36" i="33"/>
  <c r="BK36" i="33"/>
  <c r="BA33" i="38"/>
  <c r="BI33" i="38"/>
  <c r="BA24" i="34"/>
  <c r="BI24" i="34"/>
  <c r="BC49" i="24"/>
  <c r="BK49" i="24"/>
  <c r="BJ22" i="18"/>
  <c r="BB22" i="18"/>
  <c r="F39" i="14"/>
  <c r="G39" i="14"/>
  <c r="BC53" i="12"/>
  <c r="BK53" i="12"/>
  <c r="BB23" i="42"/>
  <c r="BJ23" i="42"/>
  <c r="AX51" i="37"/>
  <c r="BF51" i="37"/>
  <c r="BC51" i="29"/>
  <c r="BK51" i="29"/>
  <c r="G40" i="24"/>
  <c r="G43" i="24"/>
  <c r="G41" i="24"/>
  <c r="G44" i="24"/>
  <c r="G42" i="24"/>
  <c r="G45" i="24"/>
  <c r="BC51" i="34"/>
  <c r="BK51" i="34"/>
  <c r="BC45" i="32"/>
  <c r="BK45" i="32"/>
  <c r="BI53" i="15"/>
  <c r="BA53" i="15"/>
  <c r="W54" i="29"/>
  <c r="W49" i="29"/>
  <c r="W50" i="29"/>
  <c r="W53" i="29"/>
  <c r="W52" i="29"/>
  <c r="W51" i="29"/>
  <c r="V51" i="38"/>
  <c r="V54" i="38"/>
  <c r="V49" i="38"/>
  <c r="V52" i="38"/>
  <c r="V50" i="38"/>
  <c r="V53" i="38"/>
  <c r="J54" i="34"/>
  <c r="J50" i="34"/>
  <c r="J53" i="34"/>
  <c r="J51" i="34"/>
  <c r="J49" i="34"/>
  <c r="J52" i="34"/>
  <c r="AY45" i="32"/>
  <c r="BG45" i="32"/>
  <c r="R32" i="24"/>
  <c r="R35" i="24"/>
  <c r="R33" i="24"/>
  <c r="R36" i="24"/>
  <c r="R31" i="24"/>
  <c r="R34" i="24"/>
  <c r="V22" i="23"/>
  <c r="V25" i="23"/>
  <c r="V23" i="23"/>
  <c r="V26" i="23"/>
  <c r="V27" i="23"/>
  <c r="V24" i="23"/>
  <c r="R50" i="12"/>
  <c r="R53" i="12"/>
  <c r="R51" i="12"/>
  <c r="R54" i="12"/>
  <c r="R49" i="12"/>
  <c r="R52" i="12"/>
  <c r="R53" i="23"/>
  <c r="R51" i="23"/>
  <c r="R54" i="23"/>
  <c r="R49" i="23"/>
  <c r="R52" i="23"/>
  <c r="R50" i="23"/>
  <c r="N53" i="11"/>
  <c r="N51" i="11"/>
  <c r="N54" i="11"/>
  <c r="N49" i="11"/>
  <c r="N52" i="11"/>
  <c r="N50" i="11"/>
  <c r="AZ24" i="37"/>
  <c r="BH24" i="37"/>
  <c r="AY35" i="29"/>
  <c r="BG35" i="29"/>
  <c r="BB36" i="24"/>
  <c r="BJ36" i="24"/>
  <c r="AZ34" i="12"/>
  <c r="BH34" i="12"/>
  <c r="BA32" i="33"/>
  <c r="BI32" i="33"/>
  <c r="R24" i="29"/>
  <c r="R27" i="29"/>
  <c r="R22" i="29"/>
  <c r="R25" i="29"/>
  <c r="R23" i="29"/>
  <c r="R26" i="29"/>
  <c r="V25" i="40"/>
  <c r="V23" i="40"/>
  <c r="V26" i="40"/>
  <c r="V27" i="40"/>
  <c r="V24" i="40"/>
  <c r="V22" i="40"/>
  <c r="AZ51" i="30"/>
  <c r="BH51" i="30"/>
  <c r="AZ45" i="25"/>
  <c r="BH45" i="25"/>
  <c r="BJ52" i="11"/>
  <c r="BB52" i="11"/>
  <c r="BA52" i="42"/>
  <c r="BI52" i="42"/>
  <c r="BC52" i="28"/>
  <c r="BK52" i="28"/>
  <c r="G54" i="29"/>
  <c r="G49" i="29"/>
  <c r="G50" i="29"/>
  <c r="G53" i="29"/>
  <c r="G52" i="29"/>
  <c r="G51" i="29"/>
  <c r="Z41" i="13"/>
  <c r="Z44" i="13"/>
  <c r="Z42" i="13"/>
  <c r="Z45" i="13"/>
  <c r="Z40" i="13"/>
  <c r="Z43" i="13"/>
  <c r="BC31" i="39"/>
  <c r="BK31" i="39"/>
  <c r="BI35" i="34"/>
  <c r="BA35" i="34"/>
  <c r="G33" i="24"/>
  <c r="G36" i="24"/>
  <c r="G31" i="24"/>
  <c r="G34" i="24"/>
  <c r="G32" i="24"/>
  <c r="G35" i="24"/>
  <c r="BC53" i="38"/>
  <c r="BK53" i="38"/>
  <c r="BA34" i="42"/>
  <c r="BI34" i="42"/>
  <c r="BC41" i="36"/>
  <c r="BK41" i="36"/>
  <c r="O33" i="29"/>
  <c r="O36" i="29"/>
  <c r="O31" i="29"/>
  <c r="O34" i="29"/>
  <c r="O32" i="29"/>
  <c r="O35" i="29"/>
  <c r="BC27" i="15"/>
  <c r="BK27" i="15"/>
  <c r="BC36" i="12"/>
  <c r="BK36" i="12"/>
  <c r="BB32" i="21"/>
  <c r="BJ32" i="21"/>
  <c r="K21" i="16"/>
  <c r="J21" i="16"/>
  <c r="W22" i="29"/>
  <c r="W25" i="29"/>
  <c r="W23" i="29"/>
  <c r="W26" i="29"/>
  <c r="W24" i="29"/>
  <c r="W27" i="29"/>
  <c r="BC23" i="42"/>
  <c r="BK23" i="42"/>
  <c r="W42" i="38"/>
  <c r="W45" i="38"/>
  <c r="W40" i="38"/>
  <c r="W43" i="38"/>
  <c r="W41" i="38"/>
  <c r="W44" i="38"/>
  <c r="J31" i="31"/>
  <c r="AY25" i="29"/>
  <c r="BG25" i="29"/>
  <c r="AA44" i="19"/>
  <c r="BC44" i="19" s="1"/>
  <c r="W32" i="38"/>
  <c r="W35" i="38"/>
  <c r="W33" i="38"/>
  <c r="W36" i="38"/>
  <c r="W31" i="38"/>
  <c r="W34" i="38"/>
  <c r="F35" i="32"/>
  <c r="F36" i="32"/>
  <c r="F31" i="32"/>
  <c r="F34" i="32"/>
  <c r="F33" i="32"/>
  <c r="F32" i="32"/>
  <c r="S27" i="25"/>
  <c r="S25" i="25"/>
  <c r="S26" i="25"/>
  <c r="S22" i="25"/>
  <c r="S23" i="25"/>
  <c r="S24" i="25"/>
  <c r="BC45" i="19"/>
  <c r="BK45" i="19"/>
  <c r="BC51" i="25"/>
  <c r="BK51" i="25"/>
  <c r="AZ35" i="10"/>
  <c r="BH35" i="10"/>
  <c r="N41" i="11"/>
  <c r="N44" i="11"/>
  <c r="N42" i="11"/>
  <c r="N45" i="11"/>
  <c r="N40" i="11"/>
  <c r="N43" i="11"/>
  <c r="BJ54" i="36"/>
  <c r="BB54" i="36"/>
  <c r="BA33" i="15"/>
  <c r="BI33" i="15"/>
  <c r="J49" i="42"/>
  <c r="J52" i="42"/>
  <c r="J54" i="42"/>
  <c r="J50" i="42"/>
  <c r="J53" i="42"/>
  <c r="J51" i="42"/>
  <c r="G54" i="23"/>
  <c r="G49" i="23"/>
  <c r="G52" i="23"/>
  <c r="G50" i="23"/>
  <c r="G53" i="23"/>
  <c r="G51" i="23"/>
  <c r="BI35" i="28"/>
  <c r="BA35" i="28"/>
  <c r="Z50" i="41"/>
  <c r="Z51" i="41"/>
  <c r="Z54" i="41"/>
  <c r="Z52" i="41"/>
  <c r="Z49" i="41"/>
  <c r="Z53" i="41"/>
  <c r="F31" i="41"/>
  <c r="F35" i="41"/>
  <c r="F36" i="41"/>
  <c r="F32" i="41"/>
  <c r="F33" i="41"/>
  <c r="F34" i="41"/>
  <c r="AY44" i="26"/>
  <c r="BG44" i="26"/>
  <c r="BB44" i="35"/>
  <c r="BJ44" i="35"/>
  <c r="BC42" i="29"/>
  <c r="BK42" i="29"/>
  <c r="BB50" i="20"/>
  <c r="BJ50" i="20"/>
  <c r="BK52" i="14"/>
  <c r="BC52" i="14"/>
  <c r="BB32" i="36"/>
  <c r="BJ32" i="36"/>
  <c r="R50" i="39"/>
  <c r="R53" i="39"/>
  <c r="R51" i="39"/>
  <c r="R54" i="39"/>
  <c r="R49" i="39"/>
  <c r="R52" i="39"/>
  <c r="S54" i="19"/>
  <c r="S52" i="19"/>
  <c r="S50" i="19"/>
  <c r="S53" i="19"/>
  <c r="S51" i="19"/>
  <c r="S49" i="19"/>
  <c r="BB49" i="36"/>
  <c r="BJ49" i="36"/>
  <c r="BA41" i="33"/>
  <c r="BI41" i="33"/>
  <c r="BI54" i="31"/>
  <c r="BA54" i="31"/>
  <c r="F43" i="26"/>
  <c r="F41" i="26"/>
  <c r="F44" i="26"/>
  <c r="F42" i="26"/>
  <c r="F45" i="26"/>
  <c r="F40" i="26"/>
  <c r="S32" i="16"/>
  <c r="S35" i="16"/>
  <c r="S33" i="16"/>
  <c r="S36" i="16"/>
  <c r="S31" i="16"/>
  <c r="S34" i="16"/>
  <c r="G52" i="16"/>
  <c r="G50" i="16"/>
  <c r="G53" i="16"/>
  <c r="G51" i="16"/>
  <c r="G54" i="16"/>
  <c r="G49" i="16"/>
  <c r="J34" i="40"/>
  <c r="J33" i="40"/>
  <c r="J35" i="40"/>
  <c r="J32" i="40"/>
  <c r="J31" i="40"/>
  <c r="J36" i="40"/>
  <c r="BA54" i="33"/>
  <c r="BI54" i="33"/>
  <c r="BB26" i="30"/>
  <c r="BJ26" i="30"/>
  <c r="G44" i="29"/>
  <c r="G42" i="29"/>
  <c r="G45" i="29"/>
  <c r="G40" i="29"/>
  <c r="G43" i="29"/>
  <c r="G41" i="29"/>
  <c r="BK54" i="21"/>
  <c r="BC54" i="21"/>
  <c r="BC40" i="17"/>
  <c r="BK40" i="17"/>
  <c r="BA32" i="15"/>
  <c r="BI32" i="15"/>
  <c r="R52" i="40"/>
  <c r="R50" i="40"/>
  <c r="R51" i="40"/>
  <c r="R54" i="40"/>
  <c r="R49" i="40"/>
  <c r="R53" i="40"/>
  <c r="BC50" i="33"/>
  <c r="BK50" i="33"/>
  <c r="AX34" i="30"/>
  <c r="BF34" i="30"/>
  <c r="BC31" i="20"/>
  <c r="BK31" i="20"/>
  <c r="O50" i="36"/>
  <c r="O53" i="36"/>
  <c r="O54" i="36"/>
  <c r="O49" i="36"/>
  <c r="O52" i="36"/>
  <c r="O51" i="36"/>
  <c r="AY25" i="32"/>
  <c r="BG25" i="32"/>
  <c r="K48" i="23"/>
  <c r="J48" i="23"/>
  <c r="Z31" i="17"/>
  <c r="K41" i="13"/>
  <c r="K44" i="13"/>
  <c r="K42" i="13"/>
  <c r="K45" i="13"/>
  <c r="K40" i="13"/>
  <c r="K43" i="13"/>
  <c r="BJ32" i="35"/>
  <c r="BB32" i="35"/>
  <c r="BB22" i="24"/>
  <c r="BJ22" i="24"/>
  <c r="BB42" i="21"/>
  <c r="BJ42" i="21"/>
  <c r="AZ23" i="12"/>
  <c r="BH23" i="12"/>
  <c r="S44" i="35"/>
  <c r="S42" i="35"/>
  <c r="S45" i="35"/>
  <c r="S40" i="35"/>
  <c r="S43" i="35"/>
  <c r="S41" i="35"/>
  <c r="S27" i="23"/>
  <c r="S22" i="23"/>
  <c r="S23" i="23"/>
  <c r="S26" i="23"/>
  <c r="S24" i="23"/>
  <c r="S25" i="23"/>
  <c r="O34" i="11"/>
  <c r="O32" i="11"/>
  <c r="O35" i="11"/>
  <c r="O33" i="11"/>
  <c r="O36" i="11"/>
  <c r="O31" i="11"/>
  <c r="BJ43" i="42"/>
  <c r="BB43" i="42"/>
  <c r="AY50" i="32"/>
  <c r="BG50" i="32"/>
  <c r="AY27" i="26"/>
  <c r="BG27" i="26"/>
  <c r="BC31" i="16"/>
  <c r="BK31" i="16"/>
  <c r="BA52" i="38"/>
  <c r="BI52" i="38"/>
  <c r="G48" i="31"/>
  <c r="F48" i="31"/>
  <c r="BA34" i="28"/>
  <c r="BI34" i="28"/>
  <c r="S33" i="26"/>
  <c r="S36" i="26"/>
  <c r="S31" i="26"/>
  <c r="S34" i="26"/>
  <c r="S32" i="26"/>
  <c r="S35" i="26"/>
  <c r="R44" i="19"/>
  <c r="R42" i="19"/>
  <c r="R45" i="19"/>
  <c r="R40" i="19"/>
  <c r="R43" i="19"/>
  <c r="R41" i="19"/>
  <c r="BA36" i="13"/>
  <c r="BI36" i="13"/>
  <c r="BK24" i="37"/>
  <c r="BC24" i="37"/>
  <c r="V51" i="32"/>
  <c r="V54" i="32"/>
  <c r="V49" i="32"/>
  <c r="V52" i="32"/>
  <c r="V50" i="32"/>
  <c r="V53" i="32"/>
  <c r="BG54" i="29"/>
  <c r="AY54" i="29"/>
  <c r="BB26" i="25"/>
  <c r="BJ26" i="25"/>
  <c r="K44" i="18"/>
  <c r="K42" i="18"/>
  <c r="K40" i="18"/>
  <c r="K43" i="18"/>
  <c r="K41" i="18"/>
  <c r="K45" i="18"/>
  <c r="BC40" i="14"/>
  <c r="BK40" i="14"/>
  <c r="BI24" i="15"/>
  <c r="BA24" i="15"/>
  <c r="BA49" i="10"/>
  <c r="BI49" i="10"/>
  <c r="N26" i="38"/>
  <c r="N24" i="38"/>
  <c r="N27" i="38"/>
  <c r="N22" i="38"/>
  <c r="N25" i="38"/>
  <c r="N23" i="38"/>
  <c r="O36" i="32"/>
  <c r="O34" i="32"/>
  <c r="O35" i="32"/>
  <c r="O33" i="32"/>
  <c r="O31" i="32"/>
  <c r="O32" i="32"/>
  <c r="G39" i="25"/>
  <c r="F39" i="25"/>
  <c r="S33" i="40"/>
  <c r="S36" i="40"/>
  <c r="S32" i="40"/>
  <c r="S34" i="40"/>
  <c r="S35" i="40"/>
  <c r="S31" i="40"/>
  <c r="AY36" i="26"/>
  <c r="BG36" i="26"/>
  <c r="BC52" i="17"/>
  <c r="BK52" i="17"/>
  <c r="BB35" i="11"/>
  <c r="BJ35" i="11"/>
  <c r="W41" i="41"/>
  <c r="W44" i="41"/>
  <c r="W45" i="41"/>
  <c r="W42" i="41"/>
  <c r="W43" i="41"/>
  <c r="W40" i="41"/>
  <c r="AZ42" i="30"/>
  <c r="BH42" i="30"/>
  <c r="BJ45" i="25"/>
  <c r="BB45" i="25"/>
  <c r="R52" i="27"/>
  <c r="R50" i="27"/>
  <c r="R53" i="27"/>
  <c r="R51" i="27"/>
  <c r="R54" i="27"/>
  <c r="R49" i="27"/>
  <c r="BB35" i="42"/>
  <c r="BJ35" i="42"/>
  <c r="J48" i="30"/>
  <c r="K48" i="30"/>
  <c r="Z50" i="30"/>
  <c r="AA50" i="30"/>
  <c r="Z41" i="26"/>
  <c r="Z44" i="26"/>
  <c r="Z42" i="26"/>
  <c r="Z45" i="26"/>
  <c r="Z40" i="26"/>
  <c r="Z43" i="26"/>
  <c r="F31" i="36"/>
  <c r="F34" i="36"/>
  <c r="F32" i="36"/>
  <c r="F35" i="36"/>
  <c r="F33" i="36"/>
  <c r="F36" i="36"/>
  <c r="R50" i="17"/>
  <c r="R53" i="17"/>
  <c r="R51" i="17"/>
  <c r="R54" i="17"/>
  <c r="R49" i="17"/>
  <c r="R52" i="17"/>
  <c r="R41" i="32"/>
  <c r="R44" i="32"/>
  <c r="R42" i="32"/>
  <c r="R45" i="32"/>
  <c r="R40" i="32"/>
  <c r="R43" i="32"/>
  <c r="N24" i="11"/>
  <c r="N22" i="11"/>
  <c r="N25" i="11"/>
  <c r="N23" i="11"/>
  <c r="N26" i="11"/>
  <c r="N27" i="11"/>
  <c r="BC53" i="20"/>
  <c r="BK53" i="20"/>
  <c r="BC22" i="39"/>
  <c r="BK22" i="39"/>
  <c r="AX26" i="37"/>
  <c r="BF26" i="37"/>
  <c r="BC32" i="34"/>
  <c r="BK32" i="34"/>
  <c r="K40" i="31"/>
  <c r="BC43" i="25"/>
  <c r="BK43" i="25"/>
  <c r="BH33" i="25"/>
  <c r="AZ33" i="25"/>
  <c r="N50" i="14"/>
  <c r="N53" i="14"/>
  <c r="N51" i="14"/>
  <c r="N54" i="14"/>
  <c r="N49" i="14"/>
  <c r="N52" i="14"/>
  <c r="AA51" i="40"/>
  <c r="AA54" i="40"/>
  <c r="AA49" i="40"/>
  <c r="AA50" i="40"/>
  <c r="AA53" i="40"/>
  <c r="AA52" i="40"/>
  <c r="F24" i="26"/>
  <c r="F27" i="26"/>
  <c r="F22" i="26"/>
  <c r="F25" i="26"/>
  <c r="F23" i="26"/>
  <c r="F26" i="26"/>
  <c r="BA49" i="21"/>
  <c r="BI49" i="21"/>
  <c r="G45" i="20"/>
  <c r="G43" i="20"/>
  <c r="G44" i="20"/>
  <c r="G42" i="20"/>
  <c r="G40" i="20"/>
  <c r="G41" i="20"/>
  <c r="G33" i="16"/>
  <c r="G36" i="16"/>
  <c r="G31" i="16"/>
  <c r="G34" i="16"/>
  <c r="G32" i="16"/>
  <c r="G35" i="16"/>
  <c r="G35" i="10"/>
  <c r="G33" i="10"/>
  <c r="G31" i="10"/>
  <c r="G36" i="10"/>
  <c r="G34" i="10"/>
  <c r="G32" i="10"/>
  <c r="BC33" i="37"/>
  <c r="BK33" i="37"/>
  <c r="AZ24" i="30"/>
  <c r="BH24" i="30"/>
  <c r="BA40" i="21"/>
  <c r="BI40" i="21"/>
  <c r="BC45" i="22"/>
  <c r="BK45" i="22"/>
  <c r="BA51" i="13"/>
  <c r="BI51" i="13"/>
  <c r="AY43" i="10"/>
  <c r="BG43" i="10"/>
  <c r="BJ25" i="35"/>
  <c r="BB25" i="35"/>
  <c r="S26" i="40"/>
  <c r="S23" i="40"/>
  <c r="S27" i="40"/>
  <c r="S25" i="40"/>
  <c r="S24" i="40"/>
  <c r="S22" i="40"/>
  <c r="W31" i="33"/>
  <c r="W34" i="33"/>
  <c r="W32" i="33"/>
  <c r="W35" i="33"/>
  <c r="W33" i="33"/>
  <c r="W36" i="33"/>
  <c r="R31" i="31"/>
  <c r="Z51" i="23"/>
  <c r="Z49" i="23"/>
  <c r="Z52" i="23"/>
  <c r="Z50" i="23"/>
  <c r="Z53" i="23"/>
  <c r="Z54" i="23"/>
  <c r="BC51" i="42"/>
  <c r="BK51" i="42"/>
  <c r="G54" i="38"/>
  <c r="G49" i="38"/>
  <c r="G52" i="38"/>
  <c r="G50" i="38"/>
  <c r="G53" i="38"/>
  <c r="G51" i="38"/>
  <c r="K40" i="35"/>
  <c r="K43" i="35"/>
  <c r="K41" i="35"/>
  <c r="K44" i="35"/>
  <c r="K45" i="35"/>
  <c r="K42" i="35"/>
  <c r="BC26" i="33"/>
  <c r="BK26" i="33"/>
  <c r="BC42" i="30"/>
  <c r="BK42" i="30"/>
  <c r="BC31" i="21"/>
  <c r="BK31" i="21"/>
  <c r="V50" i="13"/>
  <c r="V53" i="13"/>
  <c r="V51" i="13"/>
  <c r="V54" i="13"/>
  <c r="V49" i="13"/>
  <c r="V52" i="13"/>
  <c r="BC35" i="15"/>
  <c r="BK35" i="15"/>
  <c r="J45" i="42"/>
  <c r="J41" i="42"/>
  <c r="J42" i="42"/>
  <c r="J43" i="42"/>
  <c r="J44" i="42"/>
  <c r="J40" i="42"/>
  <c r="K51" i="33"/>
  <c r="K54" i="33"/>
  <c r="K49" i="33"/>
  <c r="K52" i="33"/>
  <c r="K50" i="33"/>
  <c r="K53" i="33"/>
  <c r="Z34" i="26"/>
  <c r="Z32" i="26"/>
  <c r="Z35" i="26"/>
  <c r="Z33" i="26"/>
  <c r="Z36" i="26"/>
  <c r="Z31" i="26"/>
  <c r="BB32" i="20"/>
  <c r="BJ32" i="20"/>
  <c r="N54" i="27"/>
  <c r="N52" i="27"/>
  <c r="N53" i="27"/>
  <c r="N51" i="27"/>
  <c r="N50" i="27"/>
  <c r="N49" i="27"/>
  <c r="N53" i="19"/>
  <c r="N51" i="19"/>
  <c r="N54" i="19"/>
  <c r="N49" i="19"/>
  <c r="N52" i="19"/>
  <c r="N50" i="19"/>
  <c r="J50" i="19"/>
  <c r="J53" i="19"/>
  <c r="J51" i="19"/>
  <c r="J54" i="19"/>
  <c r="J49" i="19"/>
  <c r="J52" i="19"/>
  <c r="BJ50" i="37"/>
  <c r="BB50" i="37"/>
  <c r="AA40" i="35"/>
  <c r="AA43" i="35"/>
  <c r="AA41" i="35"/>
  <c r="AA44" i="35"/>
  <c r="AA42" i="35"/>
  <c r="AA45" i="35"/>
  <c r="BG41" i="31"/>
  <c r="AY41" i="31"/>
  <c r="BA22" i="28"/>
  <c r="BI22" i="28"/>
  <c r="S25" i="11"/>
  <c r="S23" i="11"/>
  <c r="S26" i="11"/>
  <c r="S24" i="11"/>
  <c r="S27" i="11"/>
  <c r="S22" i="11"/>
  <c r="O41" i="14"/>
  <c r="O44" i="14"/>
  <c r="O42" i="14"/>
  <c r="O45" i="14"/>
  <c r="O40" i="14"/>
  <c r="O43" i="14"/>
  <c r="R23" i="39"/>
  <c r="R26" i="39"/>
  <c r="R24" i="39"/>
  <c r="R27" i="39"/>
  <c r="R22" i="39"/>
  <c r="R25" i="39"/>
  <c r="BC35" i="28"/>
  <c r="BK35" i="28"/>
  <c r="BC35" i="24"/>
  <c r="BK35" i="24"/>
  <c r="BK26" i="19"/>
  <c r="BC26" i="19"/>
  <c r="BJ44" i="18"/>
  <c r="BB44" i="18"/>
  <c r="AY24" i="10"/>
  <c r="BG24" i="10"/>
  <c r="BC50" i="32"/>
  <c r="BK50" i="32"/>
  <c r="AX34" i="37"/>
  <c r="BF34" i="37"/>
  <c r="AZ42" i="37"/>
  <c r="BH42" i="37"/>
  <c r="W33" i="32"/>
  <c r="W34" i="32"/>
  <c r="W32" i="32"/>
  <c r="W36" i="32"/>
  <c r="W35" i="32"/>
  <c r="W31" i="32"/>
  <c r="BI34" i="21"/>
  <c r="BA34" i="21"/>
  <c r="J34" i="18"/>
  <c r="J32" i="18"/>
  <c r="J33" i="18"/>
  <c r="J36" i="18"/>
  <c r="J31" i="18"/>
  <c r="J35" i="18"/>
  <c r="BI40" i="13"/>
  <c r="BA40" i="13"/>
  <c r="G27" i="10"/>
  <c r="G25" i="10"/>
  <c r="G23" i="10"/>
  <c r="G26" i="10"/>
  <c r="G24" i="10"/>
  <c r="G22" i="10"/>
  <c r="BC52" i="39"/>
  <c r="BK52" i="39"/>
  <c r="G30" i="35"/>
  <c r="F30" i="35"/>
  <c r="BK25" i="32"/>
  <c r="BC25" i="32"/>
  <c r="K24" i="27"/>
  <c r="K27" i="27"/>
  <c r="K22" i="27"/>
  <c r="K25" i="27"/>
  <c r="K23" i="27"/>
  <c r="K26" i="27"/>
  <c r="N33" i="20"/>
  <c r="N36" i="20"/>
  <c r="N31" i="20"/>
  <c r="N34" i="20"/>
  <c r="N32" i="20"/>
  <c r="N35" i="20"/>
  <c r="O27" i="40"/>
  <c r="O22" i="40"/>
  <c r="O26" i="40"/>
  <c r="O23" i="40"/>
  <c r="O25" i="40"/>
  <c r="O24" i="40"/>
  <c r="BK22" i="36"/>
  <c r="BC22" i="36"/>
  <c r="K27" i="11"/>
  <c r="K22" i="11"/>
  <c r="K25" i="11"/>
  <c r="K23" i="11"/>
  <c r="K26" i="11"/>
  <c r="K24" i="11"/>
  <c r="BB54" i="24"/>
  <c r="BJ54" i="24"/>
  <c r="G45" i="19"/>
  <c r="G43" i="19"/>
  <c r="G41" i="19"/>
  <c r="G44" i="19"/>
  <c r="G42" i="19"/>
  <c r="G40" i="19"/>
  <c r="BC32" i="36"/>
  <c r="BK32" i="36"/>
  <c r="Z40" i="31"/>
  <c r="K53" i="24"/>
  <c r="K51" i="24"/>
  <c r="K54" i="24"/>
  <c r="K49" i="24"/>
  <c r="K52" i="24"/>
  <c r="K50" i="24"/>
  <c r="J34" i="33"/>
  <c r="J32" i="33"/>
  <c r="J35" i="33"/>
  <c r="J33" i="33"/>
  <c r="J36" i="33"/>
  <c r="J31" i="33"/>
  <c r="AA51" i="26"/>
  <c r="AA54" i="26"/>
  <c r="AA49" i="26"/>
  <c r="AA52" i="26"/>
  <c r="AA50" i="26"/>
  <c r="AA53" i="26"/>
  <c r="V54" i="14"/>
  <c r="V49" i="14"/>
  <c r="V52" i="14"/>
  <c r="V50" i="14"/>
  <c r="V53" i="14"/>
  <c r="V51" i="14"/>
  <c r="BC34" i="10"/>
  <c r="BK34" i="10"/>
  <c r="O34" i="27"/>
  <c r="O32" i="27"/>
  <c r="O35" i="27"/>
  <c r="O33" i="27"/>
  <c r="O36" i="27"/>
  <c r="O31" i="27"/>
  <c r="S24" i="36"/>
  <c r="S27" i="36"/>
  <c r="S22" i="36"/>
  <c r="S25" i="36"/>
  <c r="S23" i="36"/>
  <c r="S26" i="36"/>
  <c r="K23" i="17"/>
  <c r="K26" i="17"/>
  <c r="K24" i="17"/>
  <c r="K27" i="17"/>
  <c r="K22" i="17"/>
  <c r="K25" i="17"/>
  <c r="AA33" i="35"/>
  <c r="AA36" i="35"/>
  <c r="AA31" i="35"/>
  <c r="AA34" i="35"/>
  <c r="AA32" i="35"/>
  <c r="AA35" i="35"/>
  <c r="R51" i="11"/>
  <c r="R54" i="11"/>
  <c r="R49" i="11"/>
  <c r="R52" i="11"/>
  <c r="R50" i="11"/>
  <c r="R53" i="11"/>
  <c r="N36" i="14"/>
  <c r="N31" i="14"/>
  <c r="N34" i="14"/>
  <c r="N32" i="14"/>
  <c r="N35" i="14"/>
  <c r="N33" i="14"/>
  <c r="BA45" i="34"/>
  <c r="BI45" i="34"/>
  <c r="BC23" i="22"/>
  <c r="BK23" i="22"/>
  <c r="W22" i="32"/>
  <c r="W25" i="32"/>
  <c r="W23" i="32"/>
  <c r="W26" i="32"/>
  <c r="W27" i="32"/>
  <c r="W24" i="32"/>
  <c r="G22" i="20"/>
  <c r="G25" i="20"/>
  <c r="G23" i="20"/>
  <c r="G26" i="20"/>
  <c r="G24" i="20"/>
  <c r="G27" i="20"/>
  <c r="BI40" i="10"/>
  <c r="BA40" i="10"/>
  <c r="BF42" i="37"/>
  <c r="AX42" i="37"/>
  <c r="BI25" i="31"/>
  <c r="BA25" i="31"/>
  <c r="BJ54" i="25"/>
  <c r="BB54" i="25"/>
  <c r="AZ51" i="25"/>
  <c r="BH51" i="25"/>
  <c r="BJ23" i="11"/>
  <c r="BB23" i="11"/>
  <c r="BC43" i="37"/>
  <c r="BK43" i="37"/>
  <c r="AZ36" i="30"/>
  <c r="BH36" i="30"/>
  <c r="BB33" i="25"/>
  <c r="BJ33" i="25"/>
  <c r="BC51" i="22"/>
  <c r="BK51" i="22"/>
  <c r="AY54" i="38"/>
  <c r="BG54" i="38"/>
  <c r="N41" i="28"/>
  <c r="N44" i="28"/>
  <c r="N42" i="28"/>
  <c r="N45" i="28"/>
  <c r="N40" i="28"/>
  <c r="N43" i="28"/>
  <c r="BB43" i="11"/>
  <c r="BJ43" i="11"/>
  <c r="Z31" i="11"/>
  <c r="V34" i="12"/>
  <c r="V32" i="12"/>
  <c r="V35" i="12"/>
  <c r="V33" i="12"/>
  <c r="V36" i="12"/>
  <c r="V31" i="12"/>
  <c r="J35" i="25"/>
  <c r="J33" i="25"/>
  <c r="J36" i="25"/>
  <c r="J34" i="25"/>
  <c r="J32" i="25"/>
  <c r="J31" i="25"/>
  <c r="G53" i="41"/>
  <c r="G51" i="41"/>
  <c r="G52" i="41"/>
  <c r="G49" i="41"/>
  <c r="G50" i="41"/>
  <c r="G54" i="41"/>
  <c r="S31" i="12"/>
  <c r="S34" i="12"/>
  <c r="S32" i="12"/>
  <c r="S35" i="12"/>
  <c r="S33" i="12"/>
  <c r="S36" i="12"/>
  <c r="R24" i="32"/>
  <c r="R27" i="32"/>
  <c r="R22" i="32"/>
  <c r="R25" i="32"/>
  <c r="R26" i="32"/>
  <c r="R23" i="32"/>
  <c r="G45" i="27"/>
  <c r="G40" i="27"/>
  <c r="G43" i="27"/>
  <c r="G41" i="27"/>
  <c r="G44" i="27"/>
  <c r="G42" i="27"/>
  <c r="BK33" i="31"/>
  <c r="BC33" i="31"/>
  <c r="O23" i="33"/>
  <c r="O26" i="33"/>
  <c r="O24" i="33"/>
  <c r="O27" i="33"/>
  <c r="O22" i="33"/>
  <c r="O25" i="33"/>
  <c r="BK52" i="31"/>
  <c r="BC52" i="31"/>
  <c r="BC23" i="24"/>
  <c r="BK23" i="24"/>
  <c r="BC49" i="19"/>
  <c r="BK49" i="19"/>
  <c r="O52" i="15"/>
  <c r="O50" i="15"/>
  <c r="O53" i="15"/>
  <c r="O51" i="15"/>
  <c r="O54" i="15"/>
  <c r="O49" i="15"/>
  <c r="J32" i="39"/>
  <c r="J36" i="39"/>
  <c r="J34" i="39"/>
  <c r="J33" i="39"/>
  <c r="J35" i="39"/>
  <c r="J31" i="39"/>
  <c r="V35" i="31"/>
  <c r="V33" i="31"/>
  <c r="V36" i="31"/>
  <c r="V31" i="31"/>
  <c r="V34" i="31"/>
  <c r="V32" i="31"/>
  <c r="R36" i="29"/>
  <c r="R31" i="29"/>
  <c r="R34" i="29"/>
  <c r="R32" i="29"/>
  <c r="R35" i="29"/>
  <c r="R33" i="29"/>
  <c r="BB44" i="24"/>
  <c r="BJ44" i="24"/>
  <c r="BC27" i="11"/>
  <c r="BK27" i="11"/>
  <c r="BG27" i="31"/>
  <c r="AY27" i="31"/>
  <c r="BB34" i="37"/>
  <c r="BJ34" i="37"/>
  <c r="BA24" i="38"/>
  <c r="BI24" i="38"/>
  <c r="G24" i="18"/>
  <c r="G26" i="18"/>
  <c r="G27" i="18"/>
  <c r="G25" i="18"/>
  <c r="G22" i="18"/>
  <c r="G23" i="18"/>
  <c r="G48" i="42"/>
  <c r="F48" i="42"/>
  <c r="AX24" i="30"/>
  <c r="BF24" i="30"/>
  <c r="W36" i="22"/>
  <c r="W31" i="22"/>
  <c r="W34" i="22"/>
  <c r="W32" i="22"/>
  <c r="W35" i="22"/>
  <c r="W33" i="22"/>
  <c r="BC27" i="16"/>
  <c r="BK27" i="16"/>
  <c r="G41" i="40"/>
  <c r="G44" i="40"/>
  <c r="G42" i="40"/>
  <c r="G45" i="40"/>
  <c r="G43" i="40"/>
  <c r="G40" i="40"/>
  <c r="V43" i="33"/>
  <c r="V41" i="33"/>
  <c r="V44" i="33"/>
  <c r="V42" i="33"/>
  <c r="V45" i="33"/>
  <c r="V40" i="33"/>
  <c r="F52" i="24"/>
  <c r="F50" i="24"/>
  <c r="F53" i="24"/>
  <c r="F51" i="24"/>
  <c r="F54" i="24"/>
  <c r="F49" i="24"/>
  <c r="BC23" i="21"/>
  <c r="BK23" i="21"/>
  <c r="BJ35" i="18"/>
  <c r="BB35" i="18"/>
  <c r="BC36" i="14"/>
  <c r="BK36" i="14"/>
  <c r="AY50" i="10"/>
  <c r="BG50" i="10"/>
  <c r="BI31" i="41"/>
  <c r="BA31" i="41"/>
  <c r="BA22" i="41"/>
  <c r="BI22" i="41"/>
  <c r="BC44" i="38"/>
  <c r="BK44" i="38"/>
  <c r="BK42" i="20"/>
  <c r="BC42" i="20"/>
  <c r="F41" i="15"/>
  <c r="F44" i="15"/>
  <c r="F42" i="15"/>
  <c r="F45" i="15"/>
  <c r="F40" i="15"/>
  <c r="F43" i="15"/>
  <c r="AZ24" i="10"/>
  <c r="BH24" i="10"/>
  <c r="F35" i="28"/>
  <c r="F33" i="28"/>
  <c r="F36" i="28"/>
  <c r="F31" i="28"/>
  <c r="F34" i="28"/>
  <c r="F32" i="28"/>
  <c r="BC24" i="38"/>
  <c r="BK24" i="38"/>
  <c r="AY54" i="26"/>
  <c r="BG54" i="26"/>
  <c r="BC52" i="15"/>
  <c r="BK52" i="15"/>
  <c r="S32" i="35"/>
  <c r="S35" i="35"/>
  <c r="S33" i="35"/>
  <c r="S36" i="35"/>
  <c r="S34" i="35"/>
  <c r="S31" i="35"/>
  <c r="O27" i="19"/>
  <c r="O25" i="19"/>
  <c r="O23" i="19"/>
  <c r="O26" i="19"/>
  <c r="O24" i="19"/>
  <c r="O22" i="19"/>
  <c r="O51" i="31"/>
  <c r="O54" i="31"/>
  <c r="O49" i="31"/>
  <c r="O52" i="31"/>
  <c r="O53" i="31"/>
  <c r="O50" i="31"/>
  <c r="W54" i="34"/>
  <c r="W52" i="34"/>
  <c r="W50" i="34"/>
  <c r="W53" i="34"/>
  <c r="W51" i="34"/>
  <c r="W49" i="34"/>
  <c r="AA24" i="24"/>
  <c r="BC43" i="15"/>
  <c r="BK43" i="15"/>
  <c r="BA44" i="42"/>
  <c r="BI44" i="42"/>
  <c r="BJ51" i="42"/>
  <c r="BB51" i="42"/>
  <c r="BK53" i="37"/>
  <c r="BC53" i="37"/>
  <c r="BH33" i="37"/>
  <c r="AZ33" i="37"/>
  <c r="AY50" i="31"/>
  <c r="BG50" i="31"/>
  <c r="AY40" i="29"/>
  <c r="BG40" i="29"/>
  <c r="Z22" i="25"/>
  <c r="BC42" i="16"/>
  <c r="BK42" i="16"/>
  <c r="V43" i="40"/>
  <c r="V41" i="40"/>
  <c r="V42" i="40"/>
  <c r="V45" i="40"/>
  <c r="V40" i="40"/>
  <c r="V44" i="40"/>
  <c r="F34" i="39"/>
  <c r="F35" i="39"/>
  <c r="F36" i="39"/>
  <c r="F31" i="39"/>
  <c r="F32" i="39"/>
  <c r="F33" i="39"/>
  <c r="W50" i="30"/>
  <c r="BB52" i="18"/>
  <c r="BJ52" i="18"/>
  <c r="W49" i="11"/>
  <c r="AY36" i="10"/>
  <c r="BG36" i="10"/>
  <c r="BC33" i="33"/>
  <c r="BK33" i="33"/>
  <c r="BA35" i="38"/>
  <c r="BI35" i="38"/>
  <c r="BA26" i="34"/>
  <c r="BI26" i="34"/>
  <c r="BC54" i="24"/>
  <c r="BK54" i="24"/>
  <c r="BB26" i="18"/>
  <c r="BJ26" i="18"/>
  <c r="G48" i="14"/>
  <c r="F48" i="14"/>
  <c r="BC50" i="12"/>
  <c r="BK50" i="12"/>
  <c r="BJ25" i="42"/>
  <c r="BB25" i="42"/>
  <c r="AX53" i="37"/>
  <c r="BF53" i="37"/>
  <c r="BK54" i="29"/>
  <c r="BC54" i="29"/>
  <c r="BC53" i="34"/>
  <c r="BK53" i="34"/>
  <c r="BK42" i="32"/>
  <c r="BC42" i="32"/>
  <c r="AA22" i="17"/>
  <c r="BC22" i="17" s="1"/>
  <c r="BA50" i="15"/>
  <c r="BI50" i="15"/>
  <c r="V51" i="29"/>
  <c r="V54" i="29"/>
  <c r="V50" i="29"/>
  <c r="V53" i="29"/>
  <c r="V49" i="29"/>
  <c r="V52" i="29"/>
  <c r="W54" i="38"/>
  <c r="W49" i="38"/>
  <c r="W52" i="38"/>
  <c r="W50" i="38"/>
  <c r="W53" i="38"/>
  <c r="W51" i="38"/>
  <c r="K50" i="34"/>
  <c r="K53" i="34"/>
  <c r="K51" i="34"/>
  <c r="K54" i="34"/>
  <c r="K49" i="34"/>
  <c r="K52" i="34"/>
  <c r="AY42" i="32"/>
  <c r="BG42" i="32"/>
  <c r="S35" i="24"/>
  <c r="S33" i="24"/>
  <c r="S36" i="24"/>
  <c r="S31" i="24"/>
  <c r="S34" i="24"/>
  <c r="S32" i="24"/>
  <c r="W25" i="23"/>
  <c r="W26" i="23"/>
  <c r="W24" i="23"/>
  <c r="W23" i="23"/>
  <c r="W27" i="23"/>
  <c r="W22" i="23"/>
  <c r="S53" i="12"/>
  <c r="S51" i="12"/>
  <c r="S54" i="12"/>
  <c r="S49" i="12"/>
  <c r="S52" i="12"/>
  <c r="S50" i="12"/>
  <c r="S50" i="23"/>
  <c r="S51" i="23"/>
  <c r="S54" i="23"/>
  <c r="S49" i="23"/>
  <c r="S52" i="23"/>
  <c r="S53" i="23"/>
  <c r="O51" i="11"/>
  <c r="O54" i="11"/>
  <c r="O49" i="11"/>
  <c r="O52" i="11"/>
  <c r="O50" i="11"/>
  <c r="O53" i="11"/>
  <c r="BH26" i="37"/>
  <c r="AZ26" i="37"/>
  <c r="AY32" i="29"/>
  <c r="BG32" i="29"/>
  <c r="AA49" i="14"/>
  <c r="BH31" i="12"/>
  <c r="AZ31" i="12"/>
  <c r="BB40" i="36"/>
  <c r="BJ40" i="36"/>
  <c r="BA34" i="33"/>
  <c r="BI34" i="33"/>
  <c r="BC52" i="30"/>
  <c r="BK52" i="30"/>
  <c r="W27" i="40"/>
  <c r="W26" i="40"/>
  <c r="W24" i="40"/>
  <c r="W25" i="40"/>
  <c r="W22" i="40"/>
  <c r="W23" i="40"/>
  <c r="G24" i="39"/>
  <c r="G27" i="39"/>
  <c r="G22" i="39"/>
  <c r="G25" i="39"/>
  <c r="G23" i="39"/>
  <c r="G26" i="39"/>
  <c r="BB52" i="30"/>
  <c r="BJ52" i="30"/>
  <c r="AZ53" i="30"/>
  <c r="BH53" i="30"/>
  <c r="AZ42" i="25"/>
  <c r="BH42" i="25"/>
  <c r="V49" i="11"/>
  <c r="BA53" i="42"/>
  <c r="BI53" i="42"/>
  <c r="BC49" i="28"/>
  <c r="BK49" i="28"/>
  <c r="F51" i="29"/>
  <c r="F54" i="29"/>
  <c r="F50" i="29"/>
  <c r="F52" i="29"/>
  <c r="F49" i="29"/>
  <c r="F53" i="29"/>
  <c r="AA41" i="13"/>
  <c r="AA44" i="13"/>
  <c r="AA42" i="13"/>
  <c r="AA45" i="13"/>
  <c r="AA40" i="13"/>
  <c r="AA43" i="13"/>
  <c r="BC33" i="39"/>
  <c r="BK33" i="39"/>
  <c r="BA32" i="34"/>
  <c r="BI32" i="34"/>
  <c r="F33" i="24"/>
  <c r="F36" i="24"/>
  <c r="F31" i="24"/>
  <c r="F34" i="24"/>
  <c r="F32" i="24"/>
  <c r="F35" i="24"/>
  <c r="BC50" i="38"/>
  <c r="BK50" i="38"/>
  <c r="R31" i="42"/>
  <c r="BC40" i="36"/>
  <c r="BK40" i="36"/>
  <c r="N33" i="29"/>
  <c r="N36" i="29"/>
  <c r="N31" i="29"/>
  <c r="N34" i="29"/>
  <c r="N32" i="29"/>
  <c r="N35" i="29"/>
  <c r="BC24" i="15"/>
  <c r="BK24" i="15"/>
  <c r="BC33" i="12"/>
  <c r="BK33" i="12"/>
  <c r="BB34" i="21"/>
  <c r="BJ34" i="21"/>
  <c r="K30" i="16"/>
  <c r="J30" i="16"/>
  <c r="R22" i="27"/>
  <c r="R25" i="27"/>
  <c r="R23" i="27"/>
  <c r="R26" i="27"/>
  <c r="R24" i="27"/>
  <c r="R27" i="27"/>
  <c r="BI49" i="41"/>
  <c r="BA49" i="41"/>
  <c r="AZ51" i="37"/>
  <c r="BH51" i="37"/>
  <c r="AY36" i="31"/>
  <c r="BG36" i="31"/>
  <c r="R53" i="25"/>
  <c r="R51" i="25"/>
  <c r="R54" i="25"/>
  <c r="R52" i="25"/>
  <c r="R50" i="25"/>
  <c r="R49" i="25"/>
  <c r="BC43" i="33"/>
  <c r="BK43" i="33"/>
  <c r="AZ23" i="25"/>
  <c r="BH23" i="25"/>
  <c r="BC42" i="19"/>
  <c r="BK42" i="19"/>
  <c r="BC50" i="25"/>
  <c r="BK50" i="25"/>
  <c r="R41" i="14"/>
  <c r="R44" i="14"/>
  <c r="R42" i="14"/>
  <c r="R45" i="14"/>
  <c r="R40" i="14"/>
  <c r="R43" i="14"/>
  <c r="BK26" i="39"/>
  <c r="BC41" i="29"/>
  <c r="BK41" i="29"/>
  <c r="BJ24" i="30"/>
  <c r="BB24" i="30"/>
  <c r="AZ22" i="12"/>
  <c r="BH22" i="12"/>
  <c r="BA53" i="38"/>
  <c r="BI53" i="38"/>
  <c r="BA23" i="15"/>
  <c r="BI23" i="15"/>
  <c r="J53" i="22"/>
  <c r="J51" i="22"/>
  <c r="J54" i="22"/>
  <c r="J49" i="22"/>
  <c r="J52" i="22"/>
  <c r="J50" i="22"/>
  <c r="W48" i="27"/>
  <c r="V48" i="27"/>
  <c r="BK33" i="34"/>
  <c r="BC33" i="34"/>
  <c r="W51" i="17"/>
  <c r="W54" i="17"/>
  <c r="W49" i="17"/>
  <c r="W52" i="17"/>
  <c r="W50" i="17"/>
  <c r="W53" i="17"/>
  <c r="BC36" i="38"/>
  <c r="BK36" i="38"/>
  <c r="S31" i="17"/>
  <c r="S34" i="17"/>
  <c r="S32" i="17"/>
  <c r="S35" i="17"/>
  <c r="S33" i="17"/>
  <c r="S36" i="17"/>
  <c r="K43" i="19"/>
  <c r="K41" i="19"/>
  <c r="K44" i="19"/>
  <c r="K42" i="19"/>
  <c r="K45" i="19"/>
  <c r="K40" i="19"/>
  <c r="BB25" i="36"/>
  <c r="BJ25" i="36"/>
  <c r="BJ52" i="20"/>
  <c r="BB52" i="20"/>
  <c r="BJ34" i="36"/>
  <c r="BB34" i="36"/>
  <c r="S50" i="39"/>
  <c r="S53" i="39"/>
  <c r="S51" i="39"/>
  <c r="S54" i="39"/>
  <c r="S49" i="39"/>
  <c r="S52" i="39"/>
  <c r="G21" i="11"/>
  <c r="F21" i="11"/>
  <c r="BB53" i="36"/>
  <c r="BJ53" i="36"/>
  <c r="BI43" i="33"/>
  <c r="BA43" i="33"/>
  <c r="BA51" i="31"/>
  <c r="BI51" i="31"/>
  <c r="G41" i="26"/>
  <c r="G44" i="26"/>
  <c r="G42" i="26"/>
  <c r="G45" i="26"/>
  <c r="G40" i="26"/>
  <c r="G43" i="26"/>
  <c r="BB44" i="20"/>
  <c r="BJ44" i="20"/>
  <c r="N54" i="41"/>
  <c r="N49" i="41"/>
  <c r="N52" i="41"/>
  <c r="N53" i="41"/>
  <c r="N51" i="41"/>
  <c r="N50" i="41"/>
  <c r="BA51" i="33"/>
  <c r="BI51" i="33"/>
  <c r="BB25" i="30"/>
  <c r="BJ25" i="30"/>
  <c r="J24" i="22"/>
  <c r="J27" i="22"/>
  <c r="J22" i="22"/>
  <c r="J25" i="22"/>
  <c r="J23" i="22"/>
  <c r="J26" i="22"/>
  <c r="V40" i="22"/>
  <c r="V43" i="22"/>
  <c r="V41" i="22"/>
  <c r="V44" i="22"/>
  <c r="V42" i="22"/>
  <c r="V45" i="22"/>
  <c r="BC45" i="17"/>
  <c r="BK45" i="17"/>
  <c r="BA34" i="15"/>
  <c r="BI34" i="15"/>
  <c r="BA43" i="38"/>
  <c r="BI43" i="38"/>
  <c r="BC52" i="33"/>
  <c r="BK52" i="33"/>
  <c r="AX31" i="30"/>
  <c r="BF31" i="30"/>
  <c r="BC36" i="20"/>
  <c r="BK36" i="20"/>
  <c r="V24" i="41"/>
  <c r="V27" i="41"/>
  <c r="V23" i="41"/>
  <c r="V25" i="41"/>
  <c r="V26" i="41"/>
  <c r="V22" i="41"/>
  <c r="N23" i="29"/>
  <c r="N26" i="29"/>
  <c r="N24" i="29"/>
  <c r="N27" i="29"/>
  <c r="N22" i="29"/>
  <c r="N25" i="29"/>
  <c r="AX40" i="30"/>
  <c r="BF40" i="30"/>
  <c r="J32" i="21"/>
  <c r="J35" i="21"/>
  <c r="J33" i="21"/>
  <c r="J36" i="21"/>
  <c r="J34" i="21"/>
  <c r="J31" i="21"/>
  <c r="BC36" i="17"/>
  <c r="BK36" i="17"/>
  <c r="V41" i="29"/>
  <c r="V44" i="29"/>
  <c r="V42" i="29"/>
  <c r="V45" i="29"/>
  <c r="V40" i="29"/>
  <c r="V43" i="29"/>
  <c r="BB27" i="24"/>
  <c r="BJ27" i="24"/>
  <c r="BJ44" i="21"/>
  <c r="BB44" i="21"/>
  <c r="F43" i="36"/>
  <c r="F41" i="36"/>
  <c r="F44" i="36"/>
  <c r="F42" i="36"/>
  <c r="F40" i="36"/>
  <c r="F45" i="36"/>
  <c r="S24" i="17"/>
  <c r="S27" i="17"/>
  <c r="S22" i="17"/>
  <c r="S25" i="17"/>
  <c r="S23" i="17"/>
  <c r="S26" i="17"/>
  <c r="V41" i="17"/>
  <c r="V44" i="17"/>
  <c r="V42" i="17"/>
  <c r="V45" i="17"/>
  <c r="V40" i="17"/>
  <c r="V43" i="17"/>
  <c r="O27" i="31"/>
  <c r="O22" i="31"/>
  <c r="O25" i="31"/>
  <c r="O23" i="31"/>
  <c r="O26" i="31"/>
  <c r="O24" i="31"/>
  <c r="AY52" i="32"/>
  <c r="BG52" i="32"/>
  <c r="J50" i="28"/>
  <c r="J53" i="28"/>
  <c r="J51" i="28"/>
  <c r="J54" i="28"/>
  <c r="J49" i="28"/>
  <c r="J52" i="28"/>
  <c r="BC36" i="16"/>
  <c r="BK36" i="16"/>
  <c r="AA32" i="40"/>
  <c r="AA35" i="40"/>
  <c r="AA33" i="40"/>
  <c r="AA36" i="40"/>
  <c r="AA34" i="40"/>
  <c r="AA31" i="40"/>
  <c r="BA49" i="38"/>
  <c r="BI49" i="38"/>
  <c r="G21" i="31"/>
  <c r="F21" i="31"/>
  <c r="BA31" i="28"/>
  <c r="BI31" i="28"/>
  <c r="R33" i="26"/>
  <c r="R36" i="26"/>
  <c r="R31" i="26"/>
  <c r="R34" i="26"/>
  <c r="R32" i="26"/>
  <c r="R35" i="26"/>
  <c r="S45" i="19"/>
  <c r="S40" i="19"/>
  <c r="S43" i="19"/>
  <c r="S41" i="19"/>
  <c r="S44" i="19"/>
  <c r="S42" i="19"/>
  <c r="BI33" i="13"/>
  <c r="BA33" i="13"/>
  <c r="BC26" i="37"/>
  <c r="BK26" i="37"/>
  <c r="W54" i="32"/>
  <c r="W49" i="32"/>
  <c r="W52" i="32"/>
  <c r="W50" i="32"/>
  <c r="W53" i="32"/>
  <c r="W51" i="32"/>
  <c r="BG49" i="29"/>
  <c r="AY49" i="29"/>
  <c r="BJ25" i="25"/>
  <c r="BB25" i="25"/>
  <c r="J41" i="18"/>
  <c r="J45" i="18"/>
  <c r="J40" i="18"/>
  <c r="J43" i="18"/>
  <c r="J42" i="18"/>
  <c r="J44" i="18"/>
  <c r="BK45" i="14"/>
  <c r="BC45" i="14"/>
  <c r="BA26" i="15"/>
  <c r="BI26" i="15"/>
  <c r="BJ49" i="10"/>
  <c r="BB49" i="10"/>
  <c r="N24" i="41"/>
  <c r="N25" i="41"/>
  <c r="N26" i="41"/>
  <c r="N22" i="41"/>
  <c r="N27" i="41"/>
  <c r="N23" i="41"/>
  <c r="G30" i="25"/>
  <c r="F30" i="25"/>
  <c r="R33" i="40"/>
  <c r="R36" i="40"/>
  <c r="R34" i="40"/>
  <c r="R35" i="40"/>
  <c r="R32" i="40"/>
  <c r="R31" i="40"/>
  <c r="N53" i="20"/>
  <c r="N51" i="20"/>
  <c r="N54" i="20"/>
  <c r="N49" i="20"/>
  <c r="N52" i="20"/>
  <c r="N50" i="20"/>
  <c r="BC49" i="17"/>
  <c r="BK49" i="17"/>
  <c r="BC22" i="12"/>
  <c r="BK22" i="12"/>
  <c r="N54" i="40"/>
  <c r="N49" i="40"/>
  <c r="N52" i="40"/>
  <c r="N50" i="40"/>
  <c r="N53" i="40"/>
  <c r="N51" i="40"/>
  <c r="N50" i="29"/>
  <c r="N51" i="29"/>
  <c r="N54" i="29"/>
  <c r="N49" i="29"/>
  <c r="N52" i="29"/>
  <c r="N53" i="29"/>
  <c r="W21" i="27"/>
  <c r="V21" i="27"/>
  <c r="BB42" i="25"/>
  <c r="BJ42" i="25"/>
  <c r="J25" i="21"/>
  <c r="J23" i="21"/>
  <c r="J26" i="21"/>
  <c r="J27" i="21"/>
  <c r="J24" i="21"/>
  <c r="J22" i="21"/>
  <c r="S53" i="27"/>
  <c r="S54" i="27"/>
  <c r="S51" i="27"/>
  <c r="S50" i="27"/>
  <c r="S49" i="27"/>
  <c r="S52" i="27"/>
  <c r="BJ32" i="42"/>
  <c r="BB32" i="42"/>
  <c r="K21" i="30"/>
  <c r="J21" i="30"/>
  <c r="AA44" i="26"/>
  <c r="AA42" i="26"/>
  <c r="AA45" i="26"/>
  <c r="AA40" i="26"/>
  <c r="AA43" i="26"/>
  <c r="AA41" i="26"/>
  <c r="G34" i="36"/>
  <c r="G32" i="36"/>
  <c r="G35" i="36"/>
  <c r="G33" i="36"/>
  <c r="G36" i="36"/>
  <c r="G31" i="36"/>
  <c r="S53" i="17"/>
  <c r="S51" i="17"/>
  <c r="S54" i="17"/>
  <c r="S49" i="17"/>
  <c r="S52" i="17"/>
  <c r="S50" i="17"/>
  <c r="S41" i="32"/>
  <c r="S44" i="32"/>
  <c r="S42" i="32"/>
  <c r="S45" i="32"/>
  <c r="S40" i="32"/>
  <c r="S43" i="32"/>
  <c r="O27" i="11"/>
  <c r="O25" i="11"/>
  <c r="O23" i="11"/>
  <c r="O26" i="11"/>
  <c r="O24" i="11"/>
  <c r="O22" i="11"/>
  <c r="Z50" i="20"/>
  <c r="BF25" i="37"/>
  <c r="AX25" i="37"/>
  <c r="BC34" i="34"/>
  <c r="BK34" i="34"/>
  <c r="Z40" i="25"/>
  <c r="O53" i="14"/>
  <c r="O51" i="14"/>
  <c r="O54" i="14"/>
  <c r="O49" i="14"/>
  <c r="O52" i="14"/>
  <c r="O50" i="14"/>
  <c r="Z51" i="40"/>
  <c r="Z54" i="40"/>
  <c r="Z52" i="40"/>
  <c r="Z49" i="40"/>
  <c r="Z53" i="40"/>
  <c r="Z50" i="40"/>
  <c r="BA54" i="21"/>
  <c r="BI54" i="21"/>
  <c r="K51" i="18"/>
  <c r="K49" i="18"/>
  <c r="K50" i="18"/>
  <c r="K53" i="18"/>
  <c r="K54" i="18"/>
  <c r="K52" i="18"/>
  <c r="BA31" i="10"/>
  <c r="BI31" i="10"/>
  <c r="BC35" i="37"/>
  <c r="BK35" i="37"/>
  <c r="BH26" i="30"/>
  <c r="AZ26" i="30"/>
  <c r="BA45" i="21"/>
  <c r="BI45" i="21"/>
  <c r="BC42" i="22"/>
  <c r="BK42" i="22"/>
  <c r="BA53" i="13"/>
  <c r="BI53" i="13"/>
  <c r="AY45" i="10"/>
  <c r="BG45" i="10"/>
  <c r="BC40" i="42"/>
  <c r="BK40" i="42"/>
  <c r="AY44" i="38"/>
  <c r="BG44" i="38"/>
  <c r="BA34" i="31"/>
  <c r="BI34" i="31"/>
  <c r="AA54" i="23"/>
  <c r="AA52" i="23"/>
  <c r="AA50" i="23"/>
  <c r="AA53" i="23"/>
  <c r="AA51" i="23"/>
  <c r="AA49" i="23"/>
  <c r="BC52" i="42"/>
  <c r="BK52" i="42"/>
  <c r="BC45" i="34"/>
  <c r="BK45" i="34"/>
  <c r="BC23" i="33"/>
  <c r="BK23" i="33"/>
  <c r="BC44" i="30"/>
  <c r="BK44" i="30"/>
  <c r="BC34" i="21"/>
  <c r="BK34" i="21"/>
  <c r="W50" i="13"/>
  <c r="W53" i="13"/>
  <c r="W51" i="13"/>
  <c r="W54" i="13"/>
  <c r="W49" i="13"/>
  <c r="W52" i="13"/>
  <c r="BC32" i="15"/>
  <c r="BK32" i="15"/>
  <c r="K45" i="42"/>
  <c r="K40" i="42"/>
  <c r="K44" i="42"/>
  <c r="K43" i="42"/>
  <c r="K41" i="42"/>
  <c r="K42" i="42"/>
  <c r="J51" i="33"/>
  <c r="J54" i="33"/>
  <c r="J49" i="33"/>
  <c r="J52" i="33"/>
  <c r="J50" i="33"/>
  <c r="J53" i="33"/>
  <c r="AA32" i="26"/>
  <c r="AA35" i="26"/>
  <c r="AA33" i="26"/>
  <c r="AA36" i="26"/>
  <c r="AA31" i="26"/>
  <c r="AA34" i="26"/>
  <c r="BB34" i="20"/>
  <c r="BJ34" i="20"/>
  <c r="O53" i="27"/>
  <c r="O54" i="27"/>
  <c r="O51" i="27"/>
  <c r="O50" i="27"/>
  <c r="O52" i="27"/>
  <c r="O49" i="27"/>
  <c r="O51" i="19"/>
  <c r="O54" i="19"/>
  <c r="O49" i="19"/>
  <c r="O52" i="19"/>
  <c r="O50" i="19"/>
  <c r="O53" i="19"/>
  <c r="K50" i="19"/>
  <c r="K53" i="19"/>
  <c r="K51" i="19"/>
  <c r="K54" i="19"/>
  <c r="K49" i="19"/>
  <c r="K52" i="19"/>
  <c r="V42" i="34"/>
  <c r="V45" i="34"/>
  <c r="V40" i="34"/>
  <c r="V43" i="34"/>
  <c r="V41" i="34"/>
  <c r="V44" i="34"/>
  <c r="AY43" i="31"/>
  <c r="BG43" i="31"/>
  <c r="W24" i="26"/>
  <c r="W27" i="26"/>
  <c r="W22" i="26"/>
  <c r="W25" i="26"/>
  <c r="W23" i="26"/>
  <c r="W26" i="26"/>
  <c r="BA41" i="28"/>
  <c r="BI41" i="28"/>
  <c r="S26" i="39"/>
  <c r="S24" i="39"/>
  <c r="S27" i="39"/>
  <c r="S22" i="39"/>
  <c r="S25" i="39"/>
  <c r="S23" i="39"/>
  <c r="BC32" i="28"/>
  <c r="BK32" i="28"/>
  <c r="BK23" i="31"/>
  <c r="BC23" i="31"/>
  <c r="BC32" i="24"/>
  <c r="BK32" i="24"/>
  <c r="BB24" i="20"/>
  <c r="BJ24" i="20"/>
  <c r="BB45" i="18"/>
  <c r="BJ45" i="18"/>
  <c r="AY26" i="10"/>
  <c r="BG26" i="10"/>
  <c r="BC52" i="32"/>
  <c r="BK52" i="32"/>
  <c r="AX31" i="37"/>
  <c r="BF31" i="37"/>
  <c r="BC22" i="29"/>
  <c r="BK22" i="29"/>
  <c r="BA31" i="21"/>
  <c r="BI31" i="21"/>
  <c r="R44" i="16"/>
  <c r="R42" i="16"/>
  <c r="R45" i="16"/>
  <c r="R40" i="16"/>
  <c r="R43" i="16"/>
  <c r="R41" i="16"/>
  <c r="BA45" i="13"/>
  <c r="BI45" i="13"/>
  <c r="BI22" i="10"/>
  <c r="BA22" i="10"/>
  <c r="BC49" i="39"/>
  <c r="BK49" i="39"/>
  <c r="S22" i="31"/>
  <c r="K21" i="20"/>
  <c r="J21" i="20"/>
  <c r="W22" i="11"/>
  <c r="W24" i="33"/>
  <c r="W27" i="33"/>
  <c r="W22" i="33"/>
  <c r="W25" i="33"/>
  <c r="W23" i="33"/>
  <c r="W26" i="33"/>
  <c r="O32" i="30"/>
  <c r="AA23" i="23"/>
  <c r="AA26" i="23"/>
  <c r="AA24" i="23"/>
  <c r="AA27" i="23"/>
  <c r="AA22" i="23"/>
  <c r="AA25" i="23"/>
  <c r="BA45" i="15"/>
  <c r="BI45" i="15"/>
  <c r="F44" i="38"/>
  <c r="F42" i="38"/>
  <c r="F45" i="38"/>
  <c r="F40" i="38"/>
  <c r="F43" i="38"/>
  <c r="F41" i="38"/>
  <c r="K33" i="35"/>
  <c r="K36" i="35"/>
  <c r="K31" i="35"/>
  <c r="K34" i="35"/>
  <c r="K32" i="35"/>
  <c r="K35" i="35"/>
  <c r="R52" i="30"/>
  <c r="R50" i="30"/>
  <c r="R53" i="30"/>
  <c r="R51" i="30"/>
  <c r="R54" i="30"/>
  <c r="R49" i="30"/>
  <c r="V40" i="13"/>
  <c r="V43" i="13"/>
  <c r="V41" i="13"/>
  <c r="V44" i="13"/>
  <c r="V42" i="13"/>
  <c r="V45" i="13"/>
  <c r="AZ41" i="10"/>
  <c r="BH41" i="10"/>
  <c r="V51" i="24"/>
  <c r="V41" i="12"/>
  <c r="V44" i="12"/>
  <c r="V42" i="12"/>
  <c r="V45" i="12"/>
  <c r="V40" i="12"/>
  <c r="V43" i="12"/>
  <c r="J23" i="42"/>
  <c r="J26" i="42"/>
  <c r="J24" i="42"/>
  <c r="J27" i="42"/>
  <c r="J22" i="42"/>
  <c r="J25" i="42"/>
  <c r="J41" i="33"/>
  <c r="J44" i="33"/>
  <c r="J42" i="33"/>
  <c r="J45" i="33"/>
  <c r="J40" i="33"/>
  <c r="J43" i="33"/>
  <c r="Z27" i="26"/>
  <c r="Z22" i="26"/>
  <c r="Z25" i="26"/>
  <c r="Z23" i="26"/>
  <c r="Z26" i="26"/>
  <c r="Z24" i="26"/>
  <c r="S33" i="18"/>
  <c r="S31" i="18"/>
  <c r="S32" i="18"/>
  <c r="S35" i="18"/>
  <c r="S34" i="18"/>
  <c r="S36" i="18"/>
  <c r="BB52" i="10"/>
  <c r="BJ52" i="10"/>
  <c r="K32" i="33"/>
  <c r="K35" i="33"/>
  <c r="K33" i="33"/>
  <c r="K36" i="33"/>
  <c r="K31" i="33"/>
  <c r="K34" i="33"/>
  <c r="Z51" i="26"/>
  <c r="Z54" i="26"/>
  <c r="Z49" i="26"/>
  <c r="Z52" i="26"/>
  <c r="Z50" i="26"/>
  <c r="Z53" i="26"/>
  <c r="W49" i="14"/>
  <c r="W52" i="14"/>
  <c r="W50" i="14"/>
  <c r="W53" i="14"/>
  <c r="W51" i="14"/>
  <c r="W54" i="14"/>
  <c r="R43" i="12"/>
  <c r="R41" i="12"/>
  <c r="R44" i="12"/>
  <c r="R42" i="12"/>
  <c r="R45" i="12"/>
  <c r="R40" i="12"/>
  <c r="R53" i="32"/>
  <c r="R51" i="32"/>
  <c r="R54" i="32"/>
  <c r="R49" i="32"/>
  <c r="R52" i="32"/>
  <c r="R50" i="32"/>
  <c r="R44" i="20"/>
  <c r="R42" i="20"/>
  <c r="R45" i="20"/>
  <c r="R41" i="20"/>
  <c r="R43" i="20"/>
  <c r="R40" i="20"/>
  <c r="Z33" i="35"/>
  <c r="Z36" i="35"/>
  <c r="Z31" i="35"/>
  <c r="Z34" i="35"/>
  <c r="Z35" i="35"/>
  <c r="Z32" i="35"/>
  <c r="S54" i="11"/>
  <c r="S49" i="11"/>
  <c r="S52" i="11"/>
  <c r="S50" i="11"/>
  <c r="S53" i="11"/>
  <c r="S51" i="11"/>
  <c r="O31" i="14"/>
  <c r="O34" i="14"/>
  <c r="O32" i="14"/>
  <c r="O35" i="14"/>
  <c r="O33" i="14"/>
  <c r="O36" i="14"/>
  <c r="BI42" i="34"/>
  <c r="BA42" i="34"/>
  <c r="BC25" i="22"/>
  <c r="BK25" i="22"/>
  <c r="J32" i="15"/>
  <c r="J35" i="15"/>
  <c r="J33" i="15"/>
  <c r="J36" i="15"/>
  <c r="J31" i="15"/>
  <c r="J34" i="15"/>
  <c r="BA53" i="34"/>
  <c r="BI53" i="34"/>
  <c r="BC40" i="24"/>
  <c r="BK40" i="24"/>
  <c r="J27" i="18"/>
  <c r="J25" i="18"/>
  <c r="J26" i="18"/>
  <c r="J24" i="18"/>
  <c r="J22" i="18"/>
  <c r="J23" i="18"/>
  <c r="BB40" i="10"/>
  <c r="BJ40" i="10"/>
  <c r="AX44" i="37"/>
  <c r="BF44" i="37"/>
  <c r="BC25" i="30"/>
  <c r="BK25" i="30"/>
  <c r="R22" i="31"/>
  <c r="BJ53" i="25"/>
  <c r="BB53" i="25"/>
  <c r="N49" i="25"/>
  <c r="AA23" i="20"/>
  <c r="BB25" i="11"/>
  <c r="BJ25" i="11"/>
  <c r="BC40" i="37"/>
  <c r="BK40" i="37"/>
  <c r="BH33" i="30"/>
  <c r="AZ33" i="30"/>
  <c r="BJ32" i="25"/>
  <c r="BB32" i="25"/>
  <c r="BK53" i="22"/>
  <c r="BC53" i="22"/>
  <c r="AY51" i="38"/>
  <c r="BG51" i="38"/>
  <c r="O41" i="28"/>
  <c r="O44" i="28"/>
  <c r="O42" i="28"/>
  <c r="O45" i="28"/>
  <c r="O40" i="28"/>
  <c r="O43" i="28"/>
  <c r="BK33" i="11"/>
  <c r="BC33" i="11"/>
  <c r="W32" i="12"/>
  <c r="W35" i="12"/>
  <c r="W33" i="12"/>
  <c r="W36" i="12"/>
  <c r="W31" i="12"/>
  <c r="W34" i="12"/>
  <c r="K36" i="25"/>
  <c r="K31" i="25"/>
  <c r="K32" i="25"/>
  <c r="K34" i="25"/>
  <c r="K35" i="25"/>
  <c r="K33" i="25"/>
  <c r="BI43" i="10"/>
  <c r="BA43" i="10"/>
  <c r="V44" i="23"/>
  <c r="V42" i="23"/>
  <c r="V45" i="23"/>
  <c r="V40" i="23"/>
  <c r="V43" i="23"/>
  <c r="V41" i="23"/>
  <c r="J32" i="36"/>
  <c r="J35" i="36"/>
  <c r="J33" i="36"/>
  <c r="J36" i="36"/>
  <c r="J31" i="36"/>
  <c r="J34" i="36"/>
  <c r="N31" i="19"/>
  <c r="N32" i="19"/>
  <c r="N35" i="19"/>
  <c r="N33" i="19"/>
  <c r="N36" i="19"/>
  <c r="N34" i="19"/>
  <c r="J54" i="12"/>
  <c r="J49" i="12"/>
  <c r="J52" i="12"/>
  <c r="J50" i="12"/>
  <c r="J53" i="12"/>
  <c r="J51" i="12"/>
  <c r="N35" i="39"/>
  <c r="N34" i="39"/>
  <c r="N32" i="39"/>
  <c r="N33" i="39"/>
  <c r="N31" i="39"/>
  <c r="N36" i="39"/>
  <c r="BA25" i="33"/>
  <c r="BI25" i="33"/>
  <c r="BC54" i="31"/>
  <c r="BK54" i="31"/>
  <c r="BC25" i="24"/>
  <c r="BK25" i="24"/>
  <c r="BC54" i="19"/>
  <c r="BK54" i="19"/>
  <c r="R44" i="11"/>
  <c r="R42" i="11"/>
  <c r="R45" i="11"/>
  <c r="R40" i="11"/>
  <c r="R43" i="11"/>
  <c r="R41" i="11"/>
  <c r="K35" i="39"/>
  <c r="K36" i="39"/>
  <c r="K34" i="39"/>
  <c r="K32" i="39"/>
  <c r="K33" i="39"/>
  <c r="K31" i="39"/>
  <c r="W33" i="31"/>
  <c r="W36" i="31"/>
  <c r="W31" i="31"/>
  <c r="W34" i="31"/>
  <c r="W35" i="31"/>
  <c r="W32" i="31"/>
  <c r="S31" i="29"/>
  <c r="S34" i="29"/>
  <c r="S32" i="29"/>
  <c r="S35" i="29"/>
  <c r="S33" i="29"/>
  <c r="S36" i="29"/>
  <c r="BB41" i="24"/>
  <c r="BJ41" i="24"/>
  <c r="BK24" i="11"/>
  <c r="BC24" i="11"/>
  <c r="AY24" i="31"/>
  <c r="BG24" i="31"/>
  <c r="BJ31" i="37"/>
  <c r="BB31" i="37"/>
  <c r="BC52" i="16"/>
  <c r="BK52" i="16"/>
  <c r="R45" i="37"/>
  <c r="R40" i="37"/>
  <c r="R43" i="37"/>
  <c r="R41" i="37"/>
  <c r="R44" i="37"/>
  <c r="R42" i="37"/>
  <c r="V42" i="28"/>
  <c r="V45" i="28"/>
  <c r="V40" i="28"/>
  <c r="V43" i="28"/>
  <c r="V41" i="28"/>
  <c r="V44" i="28"/>
  <c r="BC22" i="20"/>
  <c r="BK22" i="20"/>
  <c r="BC24" i="16"/>
  <c r="BK24" i="16"/>
  <c r="F43" i="40"/>
  <c r="F41" i="40"/>
  <c r="F42" i="40"/>
  <c r="F45" i="40"/>
  <c r="F40" i="40"/>
  <c r="F44" i="40"/>
  <c r="W41" i="33"/>
  <c r="W44" i="33"/>
  <c r="W42" i="33"/>
  <c r="W45" i="33"/>
  <c r="W40" i="33"/>
  <c r="W43" i="33"/>
  <c r="G50" i="24"/>
  <c r="G53" i="24"/>
  <c r="G51" i="24"/>
  <c r="G54" i="24"/>
  <c r="G49" i="24"/>
  <c r="G52" i="24"/>
  <c r="BK25" i="21"/>
  <c r="BC25" i="21"/>
  <c r="BB32" i="18"/>
  <c r="BJ32" i="18"/>
  <c r="BC33" i="14"/>
  <c r="BK33" i="14"/>
  <c r="AY52" i="10"/>
  <c r="BG52" i="10"/>
  <c r="BI35" i="41"/>
  <c r="BA35" i="41"/>
  <c r="BA26" i="41"/>
  <c r="BI26" i="41"/>
  <c r="BC41" i="38"/>
  <c r="BK41" i="38"/>
  <c r="BC40" i="20"/>
  <c r="BK40" i="20"/>
  <c r="G41" i="15"/>
  <c r="G44" i="15"/>
  <c r="G42" i="15"/>
  <c r="G45" i="15"/>
  <c r="G40" i="15"/>
  <c r="G43" i="15"/>
  <c r="AZ26" i="10"/>
  <c r="BH26" i="10"/>
  <c r="G33" i="28"/>
  <c r="G36" i="28"/>
  <c r="G31" i="28"/>
  <c r="G34" i="28"/>
  <c r="G32" i="28"/>
  <c r="G35" i="28"/>
  <c r="BC26" i="38"/>
  <c r="BK26" i="38"/>
  <c r="BC54" i="15"/>
  <c r="BK54" i="15"/>
  <c r="F42" i="41"/>
  <c r="F43" i="41"/>
  <c r="F40" i="41"/>
  <c r="F45" i="41"/>
  <c r="F44" i="41"/>
  <c r="F41" i="41"/>
  <c r="S24" i="12"/>
  <c r="S27" i="12"/>
  <c r="S22" i="12"/>
  <c r="S25" i="12"/>
  <c r="S23" i="12"/>
  <c r="S26" i="12"/>
  <c r="N31" i="16"/>
  <c r="N34" i="16"/>
  <c r="N32" i="16"/>
  <c r="N35" i="16"/>
  <c r="N33" i="16"/>
  <c r="N36" i="16"/>
  <c r="F35" i="27"/>
  <c r="F33" i="27"/>
  <c r="F36" i="27"/>
  <c r="F31" i="27"/>
  <c r="F34" i="27"/>
  <c r="F32" i="27"/>
  <c r="AA31" i="31"/>
  <c r="N54" i="33"/>
  <c r="N49" i="33"/>
  <c r="N52" i="33"/>
  <c r="N50" i="33"/>
  <c r="N53" i="33"/>
  <c r="N51" i="33"/>
  <c r="J40" i="28"/>
  <c r="J43" i="28"/>
  <c r="J41" i="28"/>
  <c r="J44" i="28"/>
  <c r="J42" i="28"/>
  <c r="J45" i="28"/>
  <c r="F26" i="22"/>
  <c r="F24" i="22"/>
  <c r="F27" i="22"/>
  <c r="F22" i="22"/>
  <c r="F25" i="22"/>
  <c r="F23" i="22"/>
  <c r="BC40" i="15"/>
  <c r="BK40" i="15"/>
  <c r="BI45" i="42"/>
  <c r="BA45" i="42"/>
  <c r="BB23" i="37"/>
  <c r="BJ23" i="37"/>
  <c r="BC52" i="37"/>
  <c r="BK52" i="37"/>
  <c r="AZ35" i="37"/>
  <c r="BH35" i="37"/>
  <c r="V23" i="31"/>
  <c r="V26" i="31"/>
  <c r="V24" i="31"/>
  <c r="V27" i="31"/>
  <c r="V25" i="31"/>
  <c r="V22" i="31"/>
  <c r="R53" i="29"/>
  <c r="R52" i="29"/>
  <c r="R54" i="29"/>
  <c r="R51" i="29"/>
  <c r="R50" i="29"/>
  <c r="R49" i="29"/>
  <c r="AY45" i="29"/>
  <c r="BG45" i="29"/>
  <c r="BK27" i="25"/>
  <c r="BC27" i="25"/>
  <c r="BC44" i="16"/>
  <c r="BK44" i="16"/>
  <c r="G50" i="30"/>
  <c r="AX50" i="30" s="1"/>
  <c r="G34" i="39"/>
  <c r="G33" i="39"/>
  <c r="G36" i="39"/>
  <c r="G31" i="39"/>
  <c r="G32" i="39"/>
  <c r="G35" i="39"/>
  <c r="O50" i="30"/>
  <c r="BK31" i="22"/>
  <c r="BC31" i="22"/>
  <c r="BJ49" i="18"/>
  <c r="BB49" i="18"/>
  <c r="AY31" i="10"/>
  <c r="BG31" i="10"/>
  <c r="BC35" i="33"/>
  <c r="BK35" i="33"/>
  <c r="BA32" i="38"/>
  <c r="BI32" i="38"/>
  <c r="BA23" i="34"/>
  <c r="BI23" i="34"/>
  <c r="Z51" i="24"/>
  <c r="BB23" i="18"/>
  <c r="BJ23" i="18"/>
  <c r="G21" i="14"/>
  <c r="F21" i="14"/>
  <c r="Z22" i="14"/>
  <c r="AA22" i="14"/>
  <c r="BC52" i="12"/>
  <c r="BK52" i="12"/>
  <c r="V22" i="42"/>
  <c r="AX50" i="37"/>
  <c r="BF50" i="37"/>
  <c r="BK53" i="29"/>
  <c r="BC53" i="29"/>
  <c r="S31" i="42"/>
  <c r="BC50" i="34"/>
  <c r="BK50" i="34"/>
  <c r="R23" i="30"/>
  <c r="R26" i="30"/>
  <c r="R24" i="30"/>
  <c r="R27" i="30"/>
  <c r="R22" i="30"/>
  <c r="R25" i="30"/>
  <c r="R32" i="27"/>
  <c r="R35" i="27"/>
  <c r="R33" i="27"/>
  <c r="R36" i="27"/>
  <c r="R31" i="27"/>
  <c r="R34" i="27"/>
  <c r="F44" i="32"/>
  <c r="F42" i="32"/>
  <c r="F45" i="32"/>
  <c r="F43" i="32"/>
  <c r="F41" i="32"/>
  <c r="F40" i="32"/>
  <c r="R27" i="18"/>
  <c r="R25" i="18"/>
  <c r="R23" i="18"/>
  <c r="R26" i="18"/>
  <c r="R24" i="18"/>
  <c r="R22" i="18"/>
  <c r="V41" i="15"/>
  <c r="V44" i="15"/>
  <c r="V42" i="15"/>
  <c r="V45" i="15"/>
  <c r="V40" i="15"/>
  <c r="V43" i="15"/>
  <c r="G32" i="23"/>
  <c r="G35" i="23"/>
  <c r="G33" i="23"/>
  <c r="G36" i="23"/>
  <c r="G31" i="23"/>
  <c r="G34" i="23"/>
  <c r="V27" i="17"/>
  <c r="V22" i="17"/>
  <c r="V25" i="17"/>
  <c r="V23" i="17"/>
  <c r="V26" i="17"/>
  <c r="V24" i="17"/>
  <c r="N41" i="31"/>
  <c r="N44" i="31"/>
  <c r="N42" i="31"/>
  <c r="N45" i="31"/>
  <c r="N43" i="31"/>
  <c r="N40" i="31"/>
  <c r="BH23" i="37"/>
  <c r="AZ23" i="37"/>
  <c r="F50" i="33"/>
  <c r="F53" i="33"/>
  <c r="F51" i="33"/>
  <c r="F54" i="33"/>
  <c r="F49" i="33"/>
  <c r="F52" i="33"/>
  <c r="J33" i="28"/>
  <c r="J36" i="28"/>
  <c r="J31" i="28"/>
  <c r="J34" i="28"/>
  <c r="J32" i="28"/>
  <c r="J35" i="28"/>
  <c r="BB53" i="21"/>
  <c r="BJ53" i="21"/>
  <c r="AZ36" i="12"/>
  <c r="BH36" i="12"/>
  <c r="Z41" i="40"/>
  <c r="Z44" i="40"/>
  <c r="Z45" i="40"/>
  <c r="Z40" i="40"/>
  <c r="Z42" i="40"/>
  <c r="Z43" i="40"/>
  <c r="BJ42" i="36"/>
  <c r="BB42" i="36"/>
  <c r="BA31" i="33"/>
  <c r="BI31" i="33"/>
  <c r="R52" i="26"/>
  <c r="R50" i="26"/>
  <c r="R53" i="26"/>
  <c r="R51" i="26"/>
  <c r="R54" i="26"/>
  <c r="R49" i="26"/>
  <c r="N52" i="21"/>
  <c r="N50" i="21"/>
  <c r="N53" i="21"/>
  <c r="N51" i="21"/>
  <c r="N54" i="21"/>
  <c r="N49" i="21"/>
  <c r="AX52" i="30"/>
  <c r="BF52" i="30"/>
  <c r="F24" i="39"/>
  <c r="F27" i="39"/>
  <c r="F22" i="39"/>
  <c r="F25" i="39"/>
  <c r="F23" i="39"/>
  <c r="F26" i="39"/>
  <c r="BB49" i="30"/>
  <c r="BJ49" i="30"/>
  <c r="N50" i="30"/>
  <c r="BH41" i="25"/>
  <c r="AZ41" i="25"/>
  <c r="N22" i="22"/>
  <c r="N25" i="22"/>
  <c r="N23" i="22"/>
  <c r="N26" i="22"/>
  <c r="N24" i="22"/>
  <c r="N27" i="22"/>
  <c r="F23" i="16"/>
  <c r="F26" i="16"/>
  <c r="F24" i="16"/>
  <c r="F27" i="16"/>
  <c r="F22" i="16"/>
  <c r="F25" i="16"/>
  <c r="K51" i="40"/>
  <c r="K54" i="40"/>
  <c r="K49" i="40"/>
  <c r="K50" i="40"/>
  <c r="K52" i="40"/>
  <c r="K53" i="40"/>
  <c r="Z22" i="41"/>
  <c r="Z26" i="41"/>
  <c r="Z27" i="41"/>
  <c r="Z23" i="41"/>
  <c r="Z24" i="41"/>
  <c r="Z25" i="41"/>
  <c r="BC54" i="28"/>
  <c r="BK54" i="28"/>
  <c r="J31" i="22"/>
  <c r="J34" i="22"/>
  <c r="J32" i="22"/>
  <c r="J35" i="22"/>
  <c r="J33" i="22"/>
  <c r="J36" i="22"/>
  <c r="V50" i="22"/>
  <c r="V53" i="22"/>
  <c r="V51" i="22"/>
  <c r="V54" i="22"/>
  <c r="V49" i="22"/>
  <c r="V52" i="22"/>
  <c r="J52" i="14"/>
  <c r="J50" i="14"/>
  <c r="J53" i="14"/>
  <c r="J51" i="14"/>
  <c r="J54" i="14"/>
  <c r="J49" i="14"/>
  <c r="BK34" i="39"/>
  <c r="BC34" i="39"/>
  <c r="BK31" i="30"/>
  <c r="BC31" i="30"/>
  <c r="AA51" i="18"/>
  <c r="AA49" i="18"/>
  <c r="AA50" i="18"/>
  <c r="AA53" i="18"/>
  <c r="AA54" i="18"/>
  <c r="AA52" i="18"/>
  <c r="BC52" i="38"/>
  <c r="BK52" i="38"/>
  <c r="BK41" i="39"/>
  <c r="BC41" i="39"/>
  <c r="BC44" i="36"/>
  <c r="BK44" i="36"/>
  <c r="BC26" i="15"/>
  <c r="BK26" i="15"/>
  <c r="BC35" i="12"/>
  <c r="BK35" i="12"/>
  <c r="BC36" i="19"/>
  <c r="BK36" i="19"/>
  <c r="K39" i="16"/>
  <c r="J39" i="16"/>
  <c r="S25" i="27"/>
  <c r="S23" i="27"/>
  <c r="S26" i="27"/>
  <c r="S24" i="27"/>
  <c r="S27" i="27"/>
  <c r="S22" i="27"/>
  <c r="BA53" i="41"/>
  <c r="BI53" i="41"/>
  <c r="AZ53" i="37"/>
  <c r="BH53" i="37"/>
  <c r="AY33" i="31"/>
  <c r="BG33" i="31"/>
  <c r="S54" i="25"/>
  <c r="S49" i="25"/>
  <c r="S50" i="25"/>
  <c r="S51" i="25"/>
  <c r="S53" i="25"/>
  <c r="S52" i="25"/>
  <c r="BC40" i="33"/>
  <c r="BK40" i="33"/>
  <c r="N22" i="25"/>
  <c r="S44" i="14"/>
  <c r="S42" i="14"/>
  <c r="S45" i="14"/>
  <c r="S40" i="14"/>
  <c r="S43" i="14"/>
  <c r="S41" i="14"/>
  <c r="AY43" i="26"/>
  <c r="BG43" i="26"/>
  <c r="G36" i="13"/>
  <c r="G31" i="13"/>
  <c r="G34" i="13"/>
  <c r="G32" i="13"/>
  <c r="G35" i="13"/>
  <c r="G33" i="13"/>
  <c r="AA34" i="13"/>
  <c r="AA32" i="13"/>
  <c r="AA35" i="13"/>
  <c r="AA33" i="13"/>
  <c r="AA36" i="13"/>
  <c r="AA31" i="13"/>
  <c r="AY22" i="32"/>
  <c r="BG22" i="32"/>
  <c r="BK32" i="17"/>
  <c r="BC32" i="17"/>
  <c r="K36" i="19"/>
  <c r="K34" i="19"/>
  <c r="K32" i="19"/>
  <c r="K35" i="19"/>
  <c r="K31" i="19"/>
  <c r="K33" i="19"/>
  <c r="BA40" i="31"/>
  <c r="BI40" i="31"/>
  <c r="R36" i="17"/>
  <c r="R31" i="17"/>
  <c r="R34" i="17"/>
  <c r="R32" i="17"/>
  <c r="R35" i="17"/>
  <c r="R33" i="17"/>
  <c r="J40" i="19"/>
  <c r="J41" i="19"/>
  <c r="J44" i="19"/>
  <c r="J42" i="19"/>
  <c r="J45" i="19"/>
  <c r="J43" i="19"/>
  <c r="BB23" i="36"/>
  <c r="BJ23" i="36"/>
  <c r="G34" i="41"/>
  <c r="G35" i="41"/>
  <c r="G31" i="41"/>
  <c r="G36" i="41"/>
  <c r="G32" i="41"/>
  <c r="G33" i="41"/>
  <c r="V51" i="17"/>
  <c r="V54" i="17"/>
  <c r="V49" i="17"/>
  <c r="V52" i="17"/>
  <c r="V50" i="17"/>
  <c r="V53" i="17"/>
  <c r="AY41" i="26"/>
  <c r="BG41" i="26"/>
  <c r="BC33" i="38"/>
  <c r="BK33" i="38"/>
  <c r="BB43" i="35"/>
  <c r="BJ43" i="35"/>
  <c r="J26" i="28"/>
  <c r="J24" i="28"/>
  <c r="J27" i="28"/>
  <c r="J22" i="28"/>
  <c r="J25" i="28"/>
  <c r="J23" i="28"/>
  <c r="N44" i="13"/>
  <c r="N42" i="13"/>
  <c r="N45" i="13"/>
  <c r="N40" i="13"/>
  <c r="N43" i="13"/>
  <c r="N41" i="13"/>
  <c r="F22" i="23"/>
  <c r="F25" i="23"/>
  <c r="F23" i="23"/>
  <c r="F26" i="23"/>
  <c r="F27" i="23"/>
  <c r="F24" i="23"/>
  <c r="N31" i="34"/>
  <c r="N34" i="34"/>
  <c r="N32" i="34"/>
  <c r="N35" i="34"/>
  <c r="N33" i="34"/>
  <c r="N36" i="34"/>
  <c r="J25" i="12"/>
  <c r="J23" i="12"/>
  <c r="J26" i="12"/>
  <c r="J24" i="12"/>
  <c r="J27" i="12"/>
  <c r="J22" i="12"/>
  <c r="N25" i="39"/>
  <c r="N23" i="39"/>
  <c r="N26" i="39"/>
  <c r="N24" i="39"/>
  <c r="N27" i="39"/>
  <c r="N22" i="39"/>
  <c r="BK35" i="38"/>
  <c r="BC35" i="38"/>
  <c r="BB22" i="36"/>
  <c r="BJ22" i="36"/>
  <c r="BB40" i="35"/>
  <c r="BJ40" i="35"/>
  <c r="K24" i="28"/>
  <c r="K27" i="28"/>
  <c r="K22" i="28"/>
  <c r="K25" i="28"/>
  <c r="K23" i="28"/>
  <c r="K26" i="28"/>
  <c r="BB49" i="20"/>
  <c r="BJ49" i="20"/>
  <c r="BB31" i="36"/>
  <c r="BJ31" i="36"/>
  <c r="G30" i="11"/>
  <c r="F30" i="11"/>
  <c r="BB52" i="36"/>
  <c r="BJ52" i="36"/>
  <c r="BA40" i="33"/>
  <c r="BI40" i="33"/>
  <c r="BC32" i="25"/>
  <c r="BK32" i="25"/>
  <c r="BB43" i="20"/>
  <c r="BJ43" i="20"/>
  <c r="O51" i="41"/>
  <c r="O49" i="41"/>
  <c r="O52" i="41"/>
  <c r="O53" i="41"/>
  <c r="O50" i="41"/>
  <c r="O54" i="41"/>
  <c r="BA53" i="33"/>
  <c r="BI53" i="33"/>
  <c r="BB22" i="30"/>
  <c r="BJ22" i="30"/>
  <c r="K27" i="22"/>
  <c r="K22" i="22"/>
  <c r="K25" i="22"/>
  <c r="K23" i="22"/>
  <c r="K26" i="22"/>
  <c r="K24" i="22"/>
  <c r="W43" i="22"/>
  <c r="W41" i="22"/>
  <c r="W44" i="22"/>
  <c r="W42" i="22"/>
  <c r="W45" i="22"/>
  <c r="W40" i="22"/>
  <c r="BC42" i="17"/>
  <c r="BK42" i="17"/>
  <c r="BI31" i="15"/>
  <c r="BA31" i="15"/>
  <c r="BA40" i="38"/>
  <c r="BI40" i="38"/>
  <c r="BC49" i="33"/>
  <c r="BK49" i="33"/>
  <c r="AX36" i="30"/>
  <c r="BF36" i="30"/>
  <c r="BC33" i="20"/>
  <c r="BK33" i="20"/>
  <c r="W27" i="41"/>
  <c r="W23" i="41"/>
  <c r="W24" i="41"/>
  <c r="W25" i="41"/>
  <c r="W26" i="41"/>
  <c r="W22" i="41"/>
  <c r="O26" i="29"/>
  <c r="O24" i="29"/>
  <c r="O27" i="29"/>
  <c r="O22" i="29"/>
  <c r="O25" i="29"/>
  <c r="O23" i="29"/>
  <c r="AX45" i="30"/>
  <c r="BF45" i="30"/>
  <c r="K35" i="21"/>
  <c r="K33" i="21"/>
  <c r="K36" i="21"/>
  <c r="K31" i="21"/>
  <c r="K34" i="21"/>
  <c r="K32" i="21"/>
  <c r="BC33" i="17"/>
  <c r="BK33" i="17"/>
  <c r="W44" i="29"/>
  <c r="W42" i="29"/>
  <c r="W45" i="29"/>
  <c r="W40" i="29"/>
  <c r="W43" i="29"/>
  <c r="W41" i="29"/>
  <c r="BB41" i="21"/>
  <c r="BJ41" i="21"/>
  <c r="G43" i="36"/>
  <c r="G41" i="36"/>
  <c r="G44" i="36"/>
  <c r="G42" i="36"/>
  <c r="G40" i="36"/>
  <c r="G45" i="36"/>
  <c r="R24" i="17"/>
  <c r="R27" i="17"/>
  <c r="R22" i="17"/>
  <c r="R25" i="17"/>
  <c r="R23" i="17"/>
  <c r="R26" i="17"/>
  <c r="W44" i="17"/>
  <c r="W42" i="17"/>
  <c r="W45" i="17"/>
  <c r="W40" i="17"/>
  <c r="W43" i="17"/>
  <c r="W41" i="17"/>
  <c r="N24" i="31"/>
  <c r="N27" i="31"/>
  <c r="N22" i="31"/>
  <c r="N25" i="31"/>
  <c r="N23" i="31"/>
  <c r="N26" i="31"/>
  <c r="AY49" i="32"/>
  <c r="BG49" i="32"/>
  <c r="K50" i="28"/>
  <c r="K53" i="28"/>
  <c r="K51" i="28"/>
  <c r="K54" i="28"/>
  <c r="K49" i="28"/>
  <c r="K52" i="28"/>
  <c r="BK33" i="16"/>
  <c r="BC33" i="16"/>
  <c r="Z34" i="40"/>
  <c r="Z33" i="40"/>
  <c r="Z36" i="40"/>
  <c r="Z35" i="40"/>
  <c r="Z32" i="40"/>
  <c r="Z31" i="40"/>
  <c r="BA54" i="38"/>
  <c r="BI54" i="38"/>
  <c r="BA41" i="31"/>
  <c r="BI41" i="31"/>
  <c r="BA36" i="28"/>
  <c r="BI36" i="28"/>
  <c r="BJ24" i="21"/>
  <c r="BB24" i="21"/>
  <c r="BA35" i="13"/>
  <c r="BI35" i="13"/>
  <c r="BC23" i="37"/>
  <c r="BK23" i="37"/>
  <c r="AY50" i="29"/>
  <c r="BG50" i="29"/>
  <c r="BB27" i="25"/>
  <c r="BJ27" i="25"/>
  <c r="R22" i="16"/>
  <c r="R25" i="16"/>
  <c r="R23" i="16"/>
  <c r="R26" i="16"/>
  <c r="R24" i="16"/>
  <c r="R27" i="16"/>
  <c r="F42" i="16"/>
  <c r="F45" i="16"/>
  <c r="F40" i="16"/>
  <c r="F43" i="16"/>
  <c r="F41" i="16"/>
  <c r="F44" i="16"/>
  <c r="BC44" i="12"/>
  <c r="BK44" i="12"/>
  <c r="O23" i="41"/>
  <c r="O27" i="41"/>
  <c r="O26" i="41"/>
  <c r="O22" i="41"/>
  <c r="O25" i="41"/>
  <c r="O24" i="41"/>
  <c r="G48" i="25"/>
  <c r="F48" i="25"/>
  <c r="V35" i="16"/>
  <c r="V33" i="16"/>
  <c r="V36" i="16"/>
  <c r="V31" i="16"/>
  <c r="V34" i="16"/>
  <c r="V32" i="16"/>
  <c r="Z24" i="13"/>
  <c r="Z27" i="13"/>
  <c r="Z22" i="13"/>
  <c r="Z25" i="13"/>
  <c r="Z23" i="13"/>
  <c r="Z26" i="13"/>
  <c r="O51" i="20"/>
  <c r="O54" i="20"/>
  <c r="O49" i="20"/>
  <c r="O52" i="20"/>
  <c r="O50" i="20"/>
  <c r="O53" i="20"/>
  <c r="BK54" i="17"/>
  <c r="BC54" i="17"/>
  <c r="BC27" i="12"/>
  <c r="BK27" i="12"/>
  <c r="O49" i="40"/>
  <c r="O52" i="40"/>
  <c r="O53" i="40"/>
  <c r="O54" i="40"/>
  <c r="O51" i="40"/>
  <c r="O50" i="40"/>
  <c r="O50" i="29"/>
  <c r="O53" i="29"/>
  <c r="O54" i="29"/>
  <c r="O49" i="29"/>
  <c r="O52" i="29"/>
  <c r="O51" i="29"/>
  <c r="W30" i="27"/>
  <c r="V30" i="27"/>
  <c r="BB44" i="25"/>
  <c r="BJ44" i="25"/>
  <c r="K23" i="21"/>
  <c r="K26" i="21"/>
  <c r="K24" i="21"/>
  <c r="K22" i="21"/>
  <c r="K27" i="21"/>
  <c r="K25" i="21"/>
  <c r="J35" i="42"/>
  <c r="J33" i="42"/>
  <c r="J36" i="42"/>
  <c r="J31" i="42"/>
  <c r="J34" i="42"/>
  <c r="J32" i="42"/>
  <c r="V22" i="38"/>
  <c r="V25" i="38"/>
  <c r="V23" i="38"/>
  <c r="V26" i="38"/>
  <c r="V24" i="38"/>
  <c r="V27" i="38"/>
  <c r="BA53" i="28"/>
  <c r="BI53" i="28"/>
  <c r="K52" i="25"/>
  <c r="K50" i="25"/>
  <c r="K53" i="25"/>
  <c r="K51" i="25"/>
  <c r="K54" i="25"/>
  <c r="K49" i="25"/>
  <c r="N22" i="13"/>
  <c r="N25" i="13"/>
  <c r="N23" i="13"/>
  <c r="N26" i="13"/>
  <c r="N24" i="13"/>
  <c r="N27" i="13"/>
  <c r="J49" i="36"/>
  <c r="J52" i="36"/>
  <c r="J53" i="36"/>
  <c r="J54" i="36"/>
  <c r="J51" i="36"/>
  <c r="J50" i="36"/>
  <c r="R31" i="23"/>
  <c r="R34" i="23"/>
  <c r="R32" i="23"/>
  <c r="R35" i="23"/>
  <c r="R36" i="23"/>
  <c r="R33" i="23"/>
  <c r="J26" i="19"/>
  <c r="J24" i="19"/>
  <c r="J27" i="19"/>
  <c r="J22" i="19"/>
  <c r="J25" i="19"/>
  <c r="J23" i="19"/>
  <c r="AX22" i="37"/>
  <c r="BF22" i="37"/>
  <c r="BC31" i="34"/>
  <c r="BK31" i="34"/>
  <c r="BK42" i="25"/>
  <c r="BC42" i="25"/>
  <c r="F48" i="17"/>
  <c r="G48" i="17"/>
  <c r="AZ49" i="10"/>
  <c r="BH49" i="10"/>
  <c r="S36" i="39"/>
  <c r="S35" i="39"/>
  <c r="S33" i="39"/>
  <c r="S31" i="39"/>
  <c r="S34" i="39"/>
  <c r="S32" i="39"/>
  <c r="BK26" i="28"/>
  <c r="BC26" i="28"/>
  <c r="BA51" i="21"/>
  <c r="BI51" i="21"/>
  <c r="J54" i="18"/>
  <c r="J52" i="18"/>
  <c r="J50" i="18"/>
  <c r="J51" i="18"/>
  <c r="J53" i="18"/>
  <c r="J49" i="18"/>
  <c r="BC32" i="37"/>
  <c r="BK32" i="37"/>
  <c r="N23" i="30"/>
  <c r="BA42" i="21"/>
  <c r="BI42" i="21"/>
  <c r="BC44" i="22"/>
  <c r="BK44" i="22"/>
  <c r="BA50" i="13"/>
  <c r="BI50" i="13"/>
  <c r="BG44" i="10"/>
  <c r="AY44" i="10"/>
  <c r="BC44" i="42"/>
  <c r="BK44" i="42"/>
  <c r="AY41" i="38"/>
  <c r="BG41" i="38"/>
  <c r="BA36" i="31"/>
  <c r="BI36" i="31"/>
  <c r="BK49" i="42"/>
  <c r="BC49" i="42"/>
  <c r="BC42" i="34"/>
  <c r="BK42" i="34"/>
  <c r="BC25" i="33"/>
  <c r="BK25" i="33"/>
  <c r="Z41" i="30"/>
  <c r="BC36" i="21"/>
  <c r="BK36" i="21"/>
  <c r="AZ42" i="12"/>
  <c r="BH42" i="12"/>
  <c r="W51" i="12"/>
  <c r="W54" i="12"/>
  <c r="W49" i="12"/>
  <c r="W52" i="12"/>
  <c r="W50" i="12"/>
  <c r="W53" i="12"/>
  <c r="J42" i="25"/>
  <c r="J40" i="25"/>
  <c r="J43" i="25"/>
  <c r="J41" i="25"/>
  <c r="J44" i="25"/>
  <c r="J45" i="25"/>
  <c r="K24" i="24"/>
  <c r="K27" i="24"/>
  <c r="K22" i="24"/>
  <c r="K25" i="24"/>
  <c r="K23" i="24"/>
  <c r="K26" i="24"/>
  <c r="F24" i="36"/>
  <c r="F27" i="36"/>
  <c r="F22" i="36"/>
  <c r="F25" i="36"/>
  <c r="F23" i="36"/>
  <c r="F26" i="36"/>
  <c r="J22" i="36"/>
  <c r="J25" i="36"/>
  <c r="J23" i="36"/>
  <c r="J26" i="36"/>
  <c r="J24" i="36"/>
  <c r="J27" i="36"/>
  <c r="J32" i="17"/>
  <c r="J35" i="17"/>
  <c r="J33" i="17"/>
  <c r="J36" i="17"/>
  <c r="J31" i="17"/>
  <c r="J34" i="17"/>
  <c r="BC25" i="39"/>
  <c r="BK25" i="39"/>
  <c r="W45" i="34"/>
  <c r="W40" i="34"/>
  <c r="W43" i="34"/>
  <c r="W41" i="34"/>
  <c r="W44" i="34"/>
  <c r="W42" i="34"/>
  <c r="J40" i="31"/>
  <c r="V24" i="26"/>
  <c r="V27" i="26"/>
  <c r="V22" i="26"/>
  <c r="V25" i="26"/>
  <c r="V23" i="26"/>
  <c r="V26" i="26"/>
  <c r="AA49" i="11"/>
  <c r="BC49" i="11" s="1"/>
  <c r="BA43" i="28"/>
  <c r="BI43" i="28"/>
  <c r="J44" i="39"/>
  <c r="J42" i="39"/>
  <c r="J45" i="39"/>
  <c r="J40" i="39"/>
  <c r="J43" i="39"/>
  <c r="J41" i="39"/>
  <c r="V51" i="35"/>
  <c r="BC34" i="28"/>
  <c r="BK34" i="28"/>
  <c r="BC25" i="31"/>
  <c r="BK25" i="31"/>
  <c r="BC34" i="24"/>
  <c r="BK34" i="24"/>
  <c r="BB26" i="20"/>
  <c r="BJ26" i="20"/>
  <c r="BJ42" i="18"/>
  <c r="BB42" i="18"/>
  <c r="AY23" i="10"/>
  <c r="BG23" i="10"/>
  <c r="BK49" i="32"/>
  <c r="BC49" i="32"/>
  <c r="AX36" i="37"/>
  <c r="BF36" i="37"/>
  <c r="BC27" i="29"/>
  <c r="BK27" i="29"/>
  <c r="AA42" i="24"/>
  <c r="BA36" i="21"/>
  <c r="BI36" i="21"/>
  <c r="S42" i="16"/>
  <c r="S45" i="16"/>
  <c r="S40" i="16"/>
  <c r="S43" i="16"/>
  <c r="S41" i="16"/>
  <c r="S44" i="16"/>
  <c r="BA42" i="13"/>
  <c r="BI42" i="13"/>
  <c r="N40" i="38"/>
  <c r="N43" i="38"/>
  <c r="N41" i="38"/>
  <c r="N44" i="38"/>
  <c r="N42" i="38"/>
  <c r="N45" i="38"/>
  <c r="BC54" i="39"/>
  <c r="BK54" i="39"/>
  <c r="AY32" i="38"/>
  <c r="BG32" i="38"/>
  <c r="J39" i="20"/>
  <c r="K39" i="20"/>
  <c r="V24" i="33"/>
  <c r="V27" i="33"/>
  <c r="V22" i="33"/>
  <c r="V25" i="33"/>
  <c r="V23" i="33"/>
  <c r="V26" i="33"/>
  <c r="Z23" i="23"/>
  <c r="Z24" i="23"/>
  <c r="Z27" i="23"/>
  <c r="Z26" i="23"/>
  <c r="Z25" i="23"/>
  <c r="Z22" i="23"/>
  <c r="BA42" i="15"/>
  <c r="BI42" i="15"/>
  <c r="G42" i="38"/>
  <c r="G45" i="38"/>
  <c r="G40" i="38"/>
  <c r="G43" i="38"/>
  <c r="G41" i="38"/>
  <c r="G44" i="38"/>
  <c r="J33" i="35"/>
  <c r="J36" i="35"/>
  <c r="J31" i="35"/>
  <c r="J34" i="35"/>
  <c r="J35" i="35"/>
  <c r="J32" i="35"/>
  <c r="S50" i="30"/>
  <c r="S53" i="30"/>
  <c r="S51" i="30"/>
  <c r="S54" i="30"/>
  <c r="S49" i="30"/>
  <c r="S52" i="30"/>
  <c r="W43" i="13"/>
  <c r="W41" i="13"/>
  <c r="W44" i="13"/>
  <c r="W42" i="13"/>
  <c r="W45" i="13"/>
  <c r="W40" i="13"/>
  <c r="AZ40" i="10"/>
  <c r="BH40" i="10"/>
  <c r="BB53" i="24"/>
  <c r="BJ53" i="24"/>
  <c r="W44" i="12"/>
  <c r="W42" i="12"/>
  <c r="W45" i="12"/>
  <c r="W40" i="12"/>
  <c r="W43" i="12"/>
  <c r="W41" i="12"/>
  <c r="K23" i="42"/>
  <c r="K26" i="42"/>
  <c r="K24" i="42"/>
  <c r="K27" i="42"/>
  <c r="K22" i="42"/>
  <c r="K25" i="42"/>
  <c r="K44" i="33"/>
  <c r="K42" i="33"/>
  <c r="K45" i="33"/>
  <c r="K40" i="33"/>
  <c r="K43" i="33"/>
  <c r="K41" i="33"/>
  <c r="AA22" i="26"/>
  <c r="AA25" i="26"/>
  <c r="AA23" i="26"/>
  <c r="AA26" i="26"/>
  <c r="AA24" i="26"/>
  <c r="AA27" i="26"/>
  <c r="R36" i="18"/>
  <c r="R34" i="18"/>
  <c r="R32" i="18"/>
  <c r="R33" i="18"/>
  <c r="R31" i="18"/>
  <c r="R35" i="18"/>
  <c r="BA52" i="10"/>
  <c r="BI52" i="10"/>
  <c r="BC31" i="32"/>
  <c r="BK31" i="32"/>
  <c r="R54" i="24"/>
  <c r="R49" i="24"/>
  <c r="R52" i="24"/>
  <c r="R50" i="24"/>
  <c r="R53" i="24"/>
  <c r="R51" i="24"/>
  <c r="W42" i="14"/>
  <c r="W45" i="14"/>
  <c r="W40" i="14"/>
  <c r="W43" i="14"/>
  <c r="W41" i="14"/>
  <c r="W44" i="14"/>
  <c r="S41" i="12"/>
  <c r="S44" i="12"/>
  <c r="S42" i="12"/>
  <c r="S45" i="12"/>
  <c r="S40" i="12"/>
  <c r="S43" i="12"/>
  <c r="S51" i="32"/>
  <c r="S54" i="32"/>
  <c r="S49" i="32"/>
  <c r="S52" i="32"/>
  <c r="S50" i="32"/>
  <c r="S53" i="32"/>
  <c r="S42" i="20"/>
  <c r="S45" i="20"/>
  <c r="S41" i="20"/>
  <c r="S44" i="20"/>
  <c r="S43" i="20"/>
  <c r="S40" i="20"/>
  <c r="V35" i="34"/>
  <c r="V33" i="34"/>
  <c r="V36" i="34"/>
  <c r="V31" i="34"/>
  <c r="V34" i="34"/>
  <c r="V32" i="34"/>
  <c r="V50" i="26"/>
  <c r="V53" i="26"/>
  <c r="V51" i="26"/>
  <c r="V54" i="26"/>
  <c r="V49" i="26"/>
  <c r="V52" i="26"/>
  <c r="BC52" i="11"/>
  <c r="BK52" i="11"/>
  <c r="BA44" i="34"/>
  <c r="BI44" i="34"/>
  <c r="BC22" i="22"/>
  <c r="BK22" i="22"/>
  <c r="K32" i="15"/>
  <c r="K35" i="15"/>
  <c r="K33" i="15"/>
  <c r="K36" i="15"/>
  <c r="K31" i="15"/>
  <c r="K34" i="15"/>
  <c r="K22" i="31"/>
  <c r="BA50" i="34"/>
  <c r="BI50" i="34"/>
  <c r="BC45" i="24"/>
  <c r="BK45" i="24"/>
  <c r="K26" i="18"/>
  <c r="K24" i="18"/>
  <c r="K27" i="18"/>
  <c r="K22" i="18"/>
  <c r="K25" i="18"/>
  <c r="K23" i="18"/>
  <c r="N33" i="38"/>
  <c r="N36" i="38"/>
  <c r="N31" i="38"/>
  <c r="N34" i="38"/>
  <c r="N32" i="38"/>
  <c r="N35" i="38"/>
  <c r="AX41" i="37"/>
  <c r="BF41" i="37"/>
  <c r="BC22" i="30"/>
  <c r="BK22" i="30"/>
  <c r="BC34" i="29"/>
  <c r="BK34" i="29"/>
  <c r="BB50" i="25"/>
  <c r="BJ50" i="25"/>
  <c r="BH54" i="25"/>
  <c r="AZ54" i="25"/>
  <c r="V22" i="11"/>
  <c r="AY31" i="32"/>
  <c r="BG31" i="32"/>
  <c r="BC45" i="37"/>
  <c r="BK45" i="37"/>
  <c r="AZ35" i="30"/>
  <c r="BH35" i="30"/>
  <c r="BB34" i="25"/>
  <c r="BJ34" i="25"/>
  <c r="N23" i="20"/>
  <c r="N26" i="20"/>
  <c r="N24" i="20"/>
  <c r="N27" i="20"/>
  <c r="N22" i="20"/>
  <c r="N25" i="20"/>
  <c r="BG53" i="38"/>
  <c r="AY53" i="38"/>
  <c r="BJ45" i="11"/>
  <c r="BB45" i="11"/>
  <c r="AZ49" i="12"/>
  <c r="BH49" i="12"/>
  <c r="BC45" i="11"/>
  <c r="BK45" i="11"/>
  <c r="W41" i="23"/>
  <c r="W42" i="23"/>
  <c r="W45" i="23"/>
  <c r="W40" i="23"/>
  <c r="W43" i="23"/>
  <c r="W44" i="23"/>
  <c r="K32" i="36"/>
  <c r="K35" i="36"/>
  <c r="K33" i="36"/>
  <c r="K36" i="36"/>
  <c r="K31" i="36"/>
  <c r="K34" i="36"/>
  <c r="O34" i="19"/>
  <c r="O32" i="19"/>
  <c r="O35" i="19"/>
  <c r="O33" i="19"/>
  <c r="O36" i="19"/>
  <c r="O31" i="19"/>
  <c r="K49" i="12"/>
  <c r="K52" i="12"/>
  <c r="K50" i="12"/>
  <c r="K53" i="12"/>
  <c r="K51" i="12"/>
  <c r="K54" i="12"/>
  <c r="O33" i="39"/>
  <c r="O36" i="39"/>
  <c r="O34" i="39"/>
  <c r="O32" i="39"/>
  <c r="O31" i="39"/>
  <c r="O35" i="39"/>
  <c r="BA22" i="33"/>
  <c r="BI22" i="33"/>
  <c r="BC51" i="31"/>
  <c r="BK51" i="31"/>
  <c r="BC22" i="24"/>
  <c r="BK22" i="24"/>
  <c r="BC51" i="19"/>
  <c r="BK51" i="19"/>
  <c r="S42" i="11"/>
  <c r="S45" i="11"/>
  <c r="S40" i="11"/>
  <c r="S43" i="11"/>
  <c r="S41" i="11"/>
  <c r="S44" i="11"/>
  <c r="BC22" i="28"/>
  <c r="BK22" i="28"/>
  <c r="BB43" i="24"/>
  <c r="BJ43" i="24"/>
  <c r="BK26" i="11"/>
  <c r="BC26" i="11"/>
  <c r="AY26" i="31"/>
  <c r="BG26" i="31"/>
  <c r="BJ36" i="37"/>
  <c r="BB36" i="37"/>
  <c r="BC49" i="16"/>
  <c r="BK49" i="16"/>
  <c r="S40" i="37"/>
  <c r="S43" i="37"/>
  <c r="S41" i="37"/>
  <c r="S44" i="37"/>
  <c r="S45" i="37"/>
  <c r="S42" i="37"/>
  <c r="W45" i="28"/>
  <c r="W40" i="28"/>
  <c r="W43" i="28"/>
  <c r="W41" i="28"/>
  <c r="W44" i="28"/>
  <c r="W42" i="28"/>
  <c r="BC27" i="20"/>
  <c r="BK27" i="20"/>
  <c r="BK26" i="16"/>
  <c r="BC26" i="16"/>
  <c r="BA26" i="42"/>
  <c r="BI26" i="42"/>
  <c r="BB33" i="30"/>
  <c r="BJ33" i="30"/>
  <c r="S30" i="22"/>
  <c r="R30" i="22"/>
  <c r="BB34" i="18"/>
  <c r="BJ34" i="18"/>
  <c r="BA25" i="13"/>
  <c r="BI25" i="13"/>
  <c r="AY54" i="10"/>
  <c r="BG54" i="10"/>
  <c r="BA34" i="41"/>
  <c r="BI34" i="41"/>
  <c r="BB45" i="37"/>
  <c r="BJ45" i="37"/>
  <c r="BC43" i="38"/>
  <c r="BK43" i="38"/>
  <c r="BC45" i="20"/>
  <c r="BK45" i="20"/>
  <c r="J31" i="13"/>
  <c r="J34" i="13"/>
  <c r="J32" i="13"/>
  <c r="J35" i="13"/>
  <c r="J33" i="13"/>
  <c r="J36" i="13"/>
  <c r="BC45" i="28"/>
  <c r="BK45" i="28"/>
  <c r="F35" i="19"/>
  <c r="F33" i="19"/>
  <c r="F36" i="19"/>
  <c r="F31" i="19"/>
  <c r="F34" i="19"/>
  <c r="F32" i="19"/>
  <c r="J26" i="34"/>
  <c r="J24" i="34"/>
  <c r="J27" i="34"/>
  <c r="J22" i="34"/>
  <c r="J25" i="34"/>
  <c r="J23" i="34"/>
  <c r="R44" i="25"/>
  <c r="R45" i="25"/>
  <c r="R40" i="25"/>
  <c r="R42" i="25"/>
  <c r="R43" i="25"/>
  <c r="R41" i="25"/>
  <c r="BC49" i="15"/>
  <c r="BK49" i="15"/>
  <c r="G41" i="41"/>
  <c r="G44" i="41"/>
  <c r="G45" i="41"/>
  <c r="G43" i="41"/>
  <c r="G40" i="41"/>
  <c r="G42" i="41"/>
  <c r="R24" i="12"/>
  <c r="R27" i="12"/>
  <c r="R22" i="12"/>
  <c r="R25" i="12"/>
  <c r="R23" i="12"/>
  <c r="R26" i="12"/>
  <c r="O34" i="16"/>
  <c r="O32" i="16"/>
  <c r="O35" i="16"/>
  <c r="O33" i="16"/>
  <c r="O36" i="16"/>
  <c r="O31" i="16"/>
  <c r="G33" i="27"/>
  <c r="G36" i="27"/>
  <c r="G31" i="27"/>
  <c r="G34" i="27"/>
  <c r="G32" i="27"/>
  <c r="G35" i="27"/>
  <c r="O49" i="33"/>
  <c r="O52" i="33"/>
  <c r="O50" i="33"/>
  <c r="O53" i="33"/>
  <c r="O51" i="33"/>
  <c r="O54" i="33"/>
  <c r="K43" i="28"/>
  <c r="K41" i="28"/>
  <c r="K44" i="28"/>
  <c r="K42" i="28"/>
  <c r="K45" i="28"/>
  <c r="K40" i="28"/>
  <c r="G24" i="22"/>
  <c r="G27" i="22"/>
  <c r="G22" i="22"/>
  <c r="G25" i="22"/>
  <c r="G23" i="22"/>
  <c r="G26" i="22"/>
  <c r="BC45" i="15"/>
  <c r="BK45" i="15"/>
  <c r="BA41" i="42"/>
  <c r="BI41" i="42"/>
  <c r="BB26" i="37"/>
  <c r="BJ26" i="37"/>
  <c r="BC49" i="37"/>
  <c r="BK49" i="37"/>
  <c r="AZ32" i="37"/>
  <c r="BH32" i="37"/>
  <c r="W23" i="31"/>
  <c r="W26" i="31"/>
  <c r="W24" i="31"/>
  <c r="W27" i="31"/>
  <c r="W22" i="31"/>
  <c r="W25" i="31"/>
  <c r="S51" i="29"/>
  <c r="S52" i="29"/>
  <c r="S53" i="29"/>
  <c r="S54" i="29"/>
  <c r="S50" i="29"/>
  <c r="S49" i="29"/>
  <c r="AY42" i="29"/>
  <c r="BG42" i="29"/>
  <c r="BK26" i="25"/>
  <c r="BC26" i="25"/>
  <c r="BC41" i="16"/>
  <c r="BK41" i="16"/>
  <c r="AY23" i="38"/>
  <c r="BG23" i="38"/>
  <c r="BB54" i="18"/>
  <c r="BJ54" i="18"/>
  <c r="AY33" i="10"/>
  <c r="BG33" i="10"/>
  <c r="BC32" i="33"/>
  <c r="BK32" i="33"/>
  <c r="Z44" i="41"/>
  <c r="Z40" i="41"/>
  <c r="Z45" i="41"/>
  <c r="Z42" i="41"/>
  <c r="Z43" i="41"/>
  <c r="Z41" i="41"/>
  <c r="BA34" i="38"/>
  <c r="BI34" i="38"/>
  <c r="BA25" i="34"/>
  <c r="BI25" i="34"/>
  <c r="V35" i="28"/>
  <c r="V33" i="28"/>
  <c r="V36" i="28"/>
  <c r="V31" i="28"/>
  <c r="V34" i="28"/>
  <c r="V32" i="28"/>
  <c r="O48" i="26"/>
  <c r="N48" i="26"/>
  <c r="BC53" i="24"/>
  <c r="BK53" i="24"/>
  <c r="BB25" i="18"/>
  <c r="BJ25" i="18"/>
  <c r="G30" i="14"/>
  <c r="F30" i="14"/>
  <c r="BC49" i="12"/>
  <c r="BK49" i="12"/>
  <c r="J22" i="41"/>
  <c r="J26" i="41"/>
  <c r="J24" i="41"/>
  <c r="J25" i="41"/>
  <c r="J27" i="41"/>
  <c r="J23" i="41"/>
  <c r="BC52" i="29"/>
  <c r="BK52" i="29"/>
  <c r="Z27" i="18"/>
  <c r="Z25" i="18"/>
  <c r="Z26" i="18"/>
  <c r="Z22" i="18"/>
  <c r="Z24" i="18"/>
  <c r="Z23" i="18"/>
  <c r="BK54" i="34"/>
  <c r="BC54" i="34"/>
  <c r="S26" i="30"/>
  <c r="S24" i="30"/>
  <c r="S27" i="30"/>
  <c r="S22" i="30"/>
  <c r="S25" i="30"/>
  <c r="S23" i="30"/>
  <c r="S32" i="27"/>
  <c r="S35" i="27"/>
  <c r="S33" i="27"/>
  <c r="S36" i="27"/>
  <c r="S31" i="27"/>
  <c r="S34" i="27"/>
  <c r="G42" i="32"/>
  <c r="G45" i="32"/>
  <c r="G40" i="32"/>
  <c r="G43" i="32"/>
  <c r="G41" i="32"/>
  <c r="G44" i="32"/>
  <c r="S26" i="18"/>
  <c r="S24" i="18"/>
  <c r="S27" i="18"/>
  <c r="S25" i="18"/>
  <c r="S23" i="18"/>
  <c r="S22" i="18"/>
  <c r="W41" i="15"/>
  <c r="W44" i="15"/>
  <c r="W42" i="15"/>
  <c r="W45" i="15"/>
  <c r="W40" i="15"/>
  <c r="W43" i="15"/>
  <c r="F32" i="23"/>
  <c r="F33" i="23"/>
  <c r="F36" i="23"/>
  <c r="F31" i="23"/>
  <c r="F35" i="23"/>
  <c r="F34" i="23"/>
  <c r="W22" i="17"/>
  <c r="W25" i="17"/>
  <c r="W23" i="17"/>
  <c r="W26" i="17"/>
  <c r="W24" i="17"/>
  <c r="W27" i="17"/>
  <c r="O41" i="31"/>
  <c r="O44" i="31"/>
  <c r="O42" i="31"/>
  <c r="O45" i="31"/>
  <c r="O40" i="31"/>
  <c r="O43" i="31"/>
  <c r="AZ25" i="37"/>
  <c r="BH25" i="37"/>
  <c r="G53" i="33"/>
  <c r="G51" i="33"/>
  <c r="G54" i="33"/>
  <c r="G49" i="33"/>
  <c r="G52" i="33"/>
  <c r="G50" i="33"/>
  <c r="K36" i="28"/>
  <c r="K31" i="28"/>
  <c r="K34" i="28"/>
  <c r="K32" i="28"/>
  <c r="K35" i="28"/>
  <c r="K33" i="28"/>
  <c r="BB50" i="21"/>
  <c r="BJ50" i="21"/>
  <c r="AZ33" i="12"/>
  <c r="BH33" i="12"/>
  <c r="AA44" i="40"/>
  <c r="AA42" i="40"/>
  <c r="AA40" i="40"/>
  <c r="AA43" i="40"/>
  <c r="AA45" i="40"/>
  <c r="AA41" i="40"/>
  <c r="BB45" i="36"/>
  <c r="BJ45" i="36"/>
  <c r="BI36" i="33"/>
  <c r="BA36" i="33"/>
  <c r="S50" i="26"/>
  <c r="S53" i="26"/>
  <c r="S51" i="26"/>
  <c r="S54" i="26"/>
  <c r="S49" i="26"/>
  <c r="S52" i="26"/>
  <c r="O50" i="21"/>
  <c r="O53" i="21"/>
  <c r="O51" i="21"/>
  <c r="O54" i="21"/>
  <c r="O49" i="21"/>
  <c r="O52" i="21"/>
  <c r="BF49" i="30"/>
  <c r="AX49" i="30"/>
  <c r="J27" i="37"/>
  <c r="J22" i="37"/>
  <c r="J25" i="37"/>
  <c r="J23" i="37"/>
  <c r="J26" i="37"/>
  <c r="J24" i="37"/>
  <c r="BB54" i="30"/>
  <c r="BJ54" i="30"/>
  <c r="BH52" i="30"/>
  <c r="AZ52" i="30"/>
  <c r="N40" i="25"/>
  <c r="O25" i="22"/>
  <c r="O23" i="22"/>
  <c r="O26" i="22"/>
  <c r="O24" i="22"/>
  <c r="O27" i="22"/>
  <c r="O22" i="22"/>
  <c r="G23" i="16"/>
  <c r="G26" i="16"/>
  <c r="G24" i="16"/>
  <c r="G27" i="16"/>
  <c r="G22" i="16"/>
  <c r="G25" i="16"/>
  <c r="J51" i="40"/>
  <c r="J54" i="40"/>
  <c r="J52" i="40"/>
  <c r="J50" i="40"/>
  <c r="J49" i="40"/>
  <c r="J53" i="40"/>
  <c r="AA25" i="41"/>
  <c r="AA24" i="41"/>
  <c r="AA26" i="41"/>
  <c r="AA22" i="41"/>
  <c r="AA27" i="41"/>
  <c r="AA23" i="41"/>
  <c r="BC51" i="28"/>
  <c r="BK51" i="28"/>
  <c r="K34" i="22"/>
  <c r="K32" i="22"/>
  <c r="K35" i="22"/>
  <c r="K33" i="22"/>
  <c r="K36" i="22"/>
  <c r="K31" i="22"/>
  <c r="W50" i="22"/>
  <c r="W53" i="22"/>
  <c r="W51" i="22"/>
  <c r="W54" i="22"/>
  <c r="W49" i="22"/>
  <c r="W52" i="22"/>
  <c r="K50" i="14"/>
  <c r="K53" i="14"/>
  <c r="K51" i="14"/>
  <c r="K54" i="14"/>
  <c r="K49" i="14"/>
  <c r="K52" i="14"/>
  <c r="BC35" i="39"/>
  <c r="BK35" i="39"/>
  <c r="BC36" i="30"/>
  <c r="BK36" i="30"/>
  <c r="G32" i="30"/>
  <c r="BF32" i="30" s="1"/>
  <c r="Z54" i="18"/>
  <c r="Z52" i="18"/>
  <c r="Z50" i="18"/>
  <c r="Z49" i="18"/>
  <c r="Z51" i="18"/>
  <c r="Z53" i="18"/>
  <c r="BK49" i="38"/>
  <c r="BC49" i="38"/>
  <c r="BC43" i="39"/>
  <c r="BK43" i="39"/>
  <c r="BC42" i="36"/>
  <c r="BK42" i="36"/>
  <c r="BC27" i="17"/>
  <c r="BK27" i="17"/>
  <c r="BC23" i="15"/>
  <c r="BK23" i="15"/>
  <c r="BK32" i="12"/>
  <c r="BC32" i="12"/>
  <c r="BC35" i="19"/>
  <c r="BK35" i="19"/>
  <c r="F24" i="15"/>
  <c r="F27" i="15"/>
  <c r="F22" i="15"/>
  <c r="F25" i="15"/>
  <c r="F23" i="15"/>
  <c r="F26" i="15"/>
  <c r="BC25" i="42"/>
  <c r="BK25" i="42"/>
  <c r="BA51" i="41"/>
  <c r="BI51" i="41"/>
  <c r="AZ50" i="37"/>
  <c r="BH50" i="37"/>
  <c r="F27" i="32"/>
  <c r="F22" i="32"/>
  <c r="F25" i="32"/>
  <c r="F23" i="32"/>
  <c r="F26" i="32"/>
  <c r="F24" i="32"/>
  <c r="AY22" i="29"/>
  <c r="BG22" i="29"/>
  <c r="R27" i="14"/>
  <c r="R22" i="14"/>
  <c r="R25" i="14"/>
  <c r="R23" i="14"/>
  <c r="R26" i="14"/>
  <c r="R24" i="14"/>
  <c r="BC45" i="33"/>
  <c r="BK45" i="33"/>
  <c r="BH25" i="25"/>
  <c r="AZ25" i="25"/>
  <c r="BC41" i="19"/>
  <c r="BK41" i="19"/>
  <c r="AZ32" i="10"/>
  <c r="BH32" i="10"/>
  <c r="BA42" i="41"/>
  <c r="BB24" i="36"/>
  <c r="BJ24" i="36"/>
  <c r="O42" i="13"/>
  <c r="O45" i="13"/>
  <c r="O40" i="13"/>
  <c r="O43" i="13"/>
  <c r="O41" i="13"/>
  <c r="O44" i="13"/>
  <c r="G25" i="23"/>
  <c r="G26" i="23"/>
  <c r="G24" i="23"/>
  <c r="G22" i="23"/>
  <c r="G23" i="23"/>
  <c r="G27" i="23"/>
  <c r="O34" i="34"/>
  <c r="O32" i="34"/>
  <c r="O35" i="34"/>
  <c r="O33" i="34"/>
  <c r="O36" i="34"/>
  <c r="O31" i="34"/>
  <c r="K23" i="12"/>
  <c r="K26" i="12"/>
  <c r="K24" i="12"/>
  <c r="K27" i="12"/>
  <c r="K22" i="12"/>
  <c r="K25" i="12"/>
  <c r="O23" i="39"/>
  <c r="O26" i="39"/>
  <c r="O24" i="39"/>
  <c r="O27" i="39"/>
  <c r="O22" i="39"/>
  <c r="O25" i="39"/>
  <c r="O30" i="35"/>
  <c r="N30" i="35"/>
  <c r="BJ27" i="36"/>
  <c r="BB27" i="36"/>
  <c r="BB45" i="35"/>
  <c r="BJ45" i="35"/>
  <c r="BC44" i="29"/>
  <c r="BK44" i="29"/>
  <c r="BC49" i="14"/>
  <c r="BK49" i="14"/>
  <c r="R45" i="26"/>
  <c r="R40" i="26"/>
  <c r="R43" i="26"/>
  <c r="R41" i="26"/>
  <c r="R44" i="26"/>
  <c r="R42" i="26"/>
  <c r="G39" i="11"/>
  <c r="F39" i="11"/>
  <c r="F33" i="13"/>
  <c r="F36" i="13"/>
  <c r="F31" i="13"/>
  <c r="F34" i="13"/>
  <c r="F32" i="13"/>
  <c r="F35" i="13"/>
  <c r="BJ50" i="36"/>
  <c r="BB50" i="36"/>
  <c r="BA45" i="33"/>
  <c r="BI45" i="33"/>
  <c r="BC31" i="25"/>
  <c r="BJ45" i="20"/>
  <c r="BB45" i="20"/>
  <c r="Z33" i="41"/>
  <c r="Z35" i="41"/>
  <c r="Z31" i="41"/>
  <c r="Z36" i="41"/>
  <c r="Z32" i="41"/>
  <c r="Z34" i="41"/>
  <c r="BI50" i="33"/>
  <c r="BA50" i="33"/>
  <c r="BB27" i="30"/>
  <c r="BJ27" i="30"/>
  <c r="BC51" i="21"/>
  <c r="BK51" i="21"/>
  <c r="V42" i="16"/>
  <c r="V45" i="16"/>
  <c r="V40" i="16"/>
  <c r="V43" i="16"/>
  <c r="V41" i="16"/>
  <c r="V44" i="16"/>
  <c r="Z31" i="13"/>
  <c r="Z34" i="13"/>
  <c r="Z32" i="13"/>
  <c r="Z35" i="13"/>
  <c r="Z33" i="13"/>
  <c r="Z36" i="13"/>
  <c r="BA36" i="15"/>
  <c r="BI36" i="15"/>
  <c r="BA45" i="38"/>
  <c r="BI45" i="38"/>
  <c r="BC54" i="33"/>
  <c r="BK54" i="33"/>
  <c r="J40" i="27"/>
  <c r="J43" i="27"/>
  <c r="J41" i="27"/>
  <c r="J44" i="27"/>
  <c r="J42" i="27"/>
  <c r="J45" i="27"/>
  <c r="BC35" i="20"/>
  <c r="BK35" i="20"/>
  <c r="O42" i="40"/>
  <c r="O45" i="40"/>
  <c r="O40" i="40"/>
  <c r="O41" i="40"/>
  <c r="O43" i="40"/>
  <c r="O44" i="40"/>
  <c r="AY27" i="32"/>
  <c r="BG27" i="32"/>
  <c r="BF42" i="30"/>
  <c r="AX42" i="30"/>
  <c r="BC35" i="17"/>
  <c r="BK35" i="17"/>
  <c r="K52" i="42"/>
  <c r="K51" i="42"/>
  <c r="K54" i="42"/>
  <c r="K50" i="42"/>
  <c r="K53" i="42"/>
  <c r="K49" i="42"/>
  <c r="BB34" i="35"/>
  <c r="BJ34" i="35"/>
  <c r="BJ26" i="24"/>
  <c r="BB26" i="24"/>
  <c r="AZ25" i="12"/>
  <c r="BH25" i="12"/>
  <c r="N32" i="13"/>
  <c r="N35" i="13"/>
  <c r="N33" i="13"/>
  <c r="N36" i="13"/>
  <c r="N31" i="13"/>
  <c r="N34" i="13"/>
  <c r="F53" i="23"/>
  <c r="F51" i="23"/>
  <c r="F54" i="23"/>
  <c r="F49" i="23"/>
  <c r="F52" i="23"/>
  <c r="F50" i="23"/>
  <c r="J54" i="17"/>
  <c r="J49" i="17"/>
  <c r="J52" i="17"/>
  <c r="J50" i="17"/>
  <c r="J53" i="17"/>
  <c r="J51" i="17"/>
  <c r="J33" i="19"/>
  <c r="J31" i="19"/>
  <c r="J34" i="19"/>
  <c r="J32" i="19"/>
  <c r="J35" i="19"/>
  <c r="J36" i="19"/>
  <c r="BJ40" i="42"/>
  <c r="BB40" i="42"/>
  <c r="AY24" i="26"/>
  <c r="BG24" i="26"/>
  <c r="O24" i="14"/>
  <c r="O27" i="14"/>
  <c r="O22" i="14"/>
  <c r="O25" i="14"/>
  <c r="O23" i="14"/>
  <c r="O26" i="14"/>
  <c r="BI51" i="38"/>
  <c r="BA51" i="38"/>
  <c r="BA43" i="31"/>
  <c r="BI43" i="31"/>
  <c r="BA33" i="28"/>
  <c r="BI33" i="28"/>
  <c r="BB26" i="21"/>
  <c r="BJ26" i="21"/>
  <c r="J22" i="15"/>
  <c r="J25" i="15"/>
  <c r="J23" i="15"/>
  <c r="J26" i="15"/>
  <c r="J24" i="15"/>
  <c r="J27" i="15"/>
  <c r="F26" i="13"/>
  <c r="F24" i="13"/>
  <c r="F27" i="13"/>
  <c r="F22" i="13"/>
  <c r="F25" i="13"/>
  <c r="F23" i="13"/>
  <c r="BC25" i="37"/>
  <c r="BK25" i="37"/>
  <c r="AY51" i="29"/>
  <c r="BG51" i="29"/>
  <c r="BJ24" i="25"/>
  <c r="BB24" i="25"/>
  <c r="S25" i="16"/>
  <c r="S23" i="16"/>
  <c r="S26" i="16"/>
  <c r="S24" i="16"/>
  <c r="S27" i="16"/>
  <c r="S22" i="16"/>
  <c r="G45" i="16"/>
  <c r="G40" i="16"/>
  <c r="G43" i="16"/>
  <c r="G41" i="16"/>
  <c r="G44" i="16"/>
  <c r="G42" i="16"/>
  <c r="BC41" i="12"/>
  <c r="BK41" i="12"/>
  <c r="BC49" i="10"/>
  <c r="BK49" i="10"/>
  <c r="AA53" i="41"/>
  <c r="AA51" i="41"/>
  <c r="AA54" i="41"/>
  <c r="AA49" i="41"/>
  <c r="AA50" i="41"/>
  <c r="AA52" i="41"/>
  <c r="F35" i="34"/>
  <c r="F33" i="34"/>
  <c r="F36" i="34"/>
  <c r="F31" i="34"/>
  <c r="F34" i="34"/>
  <c r="F32" i="34"/>
  <c r="F21" i="25"/>
  <c r="G21" i="25"/>
  <c r="W33" i="16"/>
  <c r="W36" i="16"/>
  <c r="W31" i="16"/>
  <c r="W34" i="16"/>
  <c r="W32" i="16"/>
  <c r="W35" i="16"/>
  <c r="AA27" i="13"/>
  <c r="AA22" i="13"/>
  <c r="AA25" i="13"/>
  <c r="AA23" i="13"/>
  <c r="AA26" i="13"/>
  <c r="AA24" i="13"/>
  <c r="W24" i="35"/>
  <c r="AA35" i="18"/>
  <c r="AA33" i="18"/>
  <c r="AA36" i="18"/>
  <c r="AA31" i="18"/>
  <c r="AA32" i="18"/>
  <c r="AA34" i="18"/>
  <c r="BB32" i="11"/>
  <c r="BJ32" i="11"/>
  <c r="BC24" i="12"/>
  <c r="BK24" i="12"/>
  <c r="F25" i="38"/>
  <c r="F23" i="38"/>
  <c r="F26" i="38"/>
  <c r="F24" i="38"/>
  <c r="F27" i="38"/>
  <c r="F22" i="38"/>
  <c r="AZ44" i="30"/>
  <c r="BH44" i="30"/>
  <c r="W39" i="27"/>
  <c r="V39" i="27"/>
  <c r="J40" i="11"/>
  <c r="J43" i="11"/>
  <c r="J41" i="11"/>
  <c r="J44" i="11"/>
  <c r="J42" i="11"/>
  <c r="J45" i="11"/>
  <c r="K33" i="42"/>
  <c r="K36" i="42"/>
  <c r="K31" i="42"/>
  <c r="K34" i="42"/>
  <c r="K32" i="42"/>
  <c r="K35" i="42"/>
  <c r="W25" i="38"/>
  <c r="W23" i="38"/>
  <c r="W26" i="38"/>
  <c r="W24" i="38"/>
  <c r="W27" i="38"/>
  <c r="W22" i="38"/>
  <c r="BA50" i="28"/>
  <c r="BI50" i="28"/>
  <c r="J49" i="25"/>
  <c r="J50" i="25"/>
  <c r="J51" i="25"/>
  <c r="J54" i="25"/>
  <c r="J53" i="25"/>
  <c r="J52" i="25"/>
  <c r="O25" i="13"/>
  <c r="O23" i="13"/>
  <c r="O26" i="13"/>
  <c r="O24" i="13"/>
  <c r="O27" i="13"/>
  <c r="O22" i="13"/>
  <c r="K52" i="36"/>
  <c r="K51" i="36"/>
  <c r="K54" i="36"/>
  <c r="K49" i="36"/>
  <c r="K50" i="36"/>
  <c r="K53" i="36"/>
  <c r="S34" i="23"/>
  <c r="S35" i="23"/>
  <c r="S33" i="23"/>
  <c r="S32" i="23"/>
  <c r="S36" i="23"/>
  <c r="S31" i="23"/>
  <c r="K27" i="19"/>
  <c r="K22" i="19"/>
  <c r="K25" i="19"/>
  <c r="K23" i="19"/>
  <c r="K26" i="19"/>
  <c r="K24" i="19"/>
  <c r="AX27" i="37"/>
  <c r="BF27" i="37"/>
  <c r="BC36" i="34"/>
  <c r="BK36" i="34"/>
  <c r="V36" i="26"/>
  <c r="V31" i="26"/>
  <c r="V34" i="26"/>
  <c r="V32" i="26"/>
  <c r="V35" i="26"/>
  <c r="V33" i="26"/>
  <c r="AZ36" i="25"/>
  <c r="BH36" i="25"/>
  <c r="G21" i="17"/>
  <c r="F21" i="17"/>
  <c r="AZ51" i="10"/>
  <c r="BH51" i="10"/>
  <c r="R36" i="39"/>
  <c r="R32" i="39"/>
  <c r="R33" i="39"/>
  <c r="R31" i="39"/>
  <c r="R35" i="39"/>
  <c r="R34" i="39"/>
  <c r="BA53" i="21"/>
  <c r="BI53" i="21"/>
  <c r="R51" i="16"/>
  <c r="R54" i="16"/>
  <c r="R49" i="16"/>
  <c r="R52" i="16"/>
  <c r="R50" i="16"/>
  <c r="R53" i="16"/>
  <c r="F36" i="10"/>
  <c r="F34" i="10"/>
  <c r="F32" i="10"/>
  <c r="F35" i="10"/>
  <c r="F33" i="10"/>
  <c r="F31" i="10"/>
  <c r="BK34" i="37"/>
  <c r="BC34" i="37"/>
  <c r="AZ25" i="30"/>
  <c r="BH25" i="30"/>
  <c r="BA44" i="21"/>
  <c r="BI44" i="21"/>
  <c r="BC41" i="22"/>
  <c r="BK41" i="22"/>
  <c r="BA52" i="13"/>
  <c r="BI52" i="13"/>
  <c r="BB27" i="35"/>
  <c r="BJ27" i="35"/>
  <c r="BK43" i="42"/>
  <c r="BC43" i="42"/>
  <c r="AY43" i="38"/>
  <c r="BG43" i="38"/>
  <c r="BA33" i="31"/>
  <c r="BI33" i="31"/>
  <c r="V31" i="41"/>
  <c r="V35" i="41"/>
  <c r="V34" i="41"/>
  <c r="V36" i="41"/>
  <c r="V32" i="41"/>
  <c r="V33" i="41"/>
  <c r="BC44" i="34"/>
  <c r="BK44" i="34"/>
  <c r="BC22" i="33"/>
  <c r="BK22" i="33"/>
  <c r="N45" i="29"/>
  <c r="N40" i="29"/>
  <c r="N43" i="29"/>
  <c r="N41" i="29"/>
  <c r="N44" i="29"/>
  <c r="N42" i="29"/>
  <c r="BC33" i="21"/>
  <c r="BK33" i="21"/>
  <c r="AZ44" i="12"/>
  <c r="BH44" i="12"/>
  <c r="V51" i="12"/>
  <c r="V54" i="12"/>
  <c r="V49" i="12"/>
  <c r="V52" i="12"/>
  <c r="V50" i="12"/>
  <c r="V53" i="12"/>
  <c r="AA40" i="31"/>
  <c r="K45" i="25"/>
  <c r="K43" i="25"/>
  <c r="K44" i="25"/>
  <c r="K42" i="25"/>
  <c r="K40" i="25"/>
  <c r="K41" i="25"/>
  <c r="J24" i="24"/>
  <c r="J27" i="24"/>
  <c r="J22" i="24"/>
  <c r="J25" i="24"/>
  <c r="J23" i="24"/>
  <c r="J26" i="24"/>
  <c r="G27" i="36"/>
  <c r="G22" i="36"/>
  <c r="G25" i="36"/>
  <c r="G23" i="36"/>
  <c r="G26" i="36"/>
  <c r="G24" i="36"/>
  <c r="K25" i="36"/>
  <c r="K23" i="36"/>
  <c r="K26" i="36"/>
  <c r="K24" i="36"/>
  <c r="K27" i="36"/>
  <c r="K22" i="36"/>
  <c r="K35" i="17"/>
  <c r="K33" i="17"/>
  <c r="K36" i="17"/>
  <c r="K31" i="17"/>
  <c r="K34" i="17"/>
  <c r="K32" i="17"/>
  <c r="BB52" i="37"/>
  <c r="BJ52" i="37"/>
  <c r="O42" i="33"/>
  <c r="O45" i="33"/>
  <c r="O40" i="33"/>
  <c r="O43" i="33"/>
  <c r="O41" i="33"/>
  <c r="O44" i="33"/>
  <c r="BA27" i="28"/>
  <c r="BI27" i="28"/>
  <c r="F50" i="22"/>
  <c r="F53" i="22"/>
  <c r="F51" i="22"/>
  <c r="F54" i="22"/>
  <c r="F49" i="22"/>
  <c r="F52" i="22"/>
  <c r="BA40" i="28"/>
  <c r="BI40" i="28"/>
  <c r="K42" i="39"/>
  <c r="K45" i="39"/>
  <c r="K43" i="39"/>
  <c r="K44" i="39"/>
  <c r="K40" i="39"/>
  <c r="K41" i="39"/>
  <c r="BB53" i="35"/>
  <c r="BJ53" i="35"/>
  <c r="BC31" i="28"/>
  <c r="BK31" i="28"/>
  <c r="Z22" i="31"/>
  <c r="BC31" i="24"/>
  <c r="BK31" i="24"/>
  <c r="BC23" i="19"/>
  <c r="BK23" i="19"/>
  <c r="V23" i="20"/>
  <c r="BB41" i="18"/>
  <c r="BJ41" i="18"/>
  <c r="AY25" i="10"/>
  <c r="BG25" i="10"/>
  <c r="W24" i="39"/>
  <c r="W27" i="39"/>
  <c r="W22" i="39"/>
  <c r="W25" i="39"/>
  <c r="W23" i="39"/>
  <c r="W26" i="39"/>
  <c r="AZ41" i="37"/>
  <c r="BH41" i="37"/>
  <c r="BC24" i="29"/>
  <c r="BK24" i="29"/>
  <c r="G44" i="18"/>
  <c r="G42" i="18"/>
  <c r="G45" i="18"/>
  <c r="G40" i="18"/>
  <c r="G41" i="18"/>
  <c r="G43" i="18"/>
  <c r="BC22" i="10"/>
  <c r="BK22" i="10"/>
  <c r="O43" i="38"/>
  <c r="O41" i="38"/>
  <c r="O44" i="38"/>
  <c r="O42" i="38"/>
  <c r="O45" i="38"/>
  <c r="O40" i="38"/>
  <c r="BK51" i="39"/>
  <c r="BC51" i="39"/>
  <c r="AY34" i="38"/>
  <c r="BG34" i="38"/>
  <c r="K30" i="20"/>
  <c r="J30" i="20"/>
  <c r="BC27" i="32"/>
  <c r="BK27" i="32"/>
  <c r="BA44" i="15"/>
  <c r="BI44" i="15"/>
  <c r="BC27" i="36"/>
  <c r="BK27" i="36"/>
  <c r="N53" i="28"/>
  <c r="N51" i="28"/>
  <c r="N54" i="28"/>
  <c r="N49" i="28"/>
  <c r="N52" i="28"/>
  <c r="N50" i="28"/>
  <c r="AZ42" i="10"/>
  <c r="BH42" i="10"/>
  <c r="BB50" i="24"/>
  <c r="BJ50" i="24"/>
  <c r="BC34" i="36"/>
  <c r="BK34" i="36"/>
  <c r="J40" i="34"/>
  <c r="J43" i="34"/>
  <c r="J41" i="34"/>
  <c r="J44" i="34"/>
  <c r="J42" i="34"/>
  <c r="J45" i="34"/>
  <c r="BC42" i="31"/>
  <c r="BK42" i="31"/>
  <c r="K23" i="25"/>
  <c r="K24" i="25"/>
  <c r="K22" i="25"/>
  <c r="K25" i="25"/>
  <c r="K26" i="25"/>
  <c r="K27" i="25"/>
  <c r="AA40" i="11"/>
  <c r="BC32" i="32"/>
  <c r="BK32" i="32"/>
  <c r="S49" i="24"/>
  <c r="S52" i="24"/>
  <c r="S50" i="24"/>
  <c r="S53" i="24"/>
  <c r="S51" i="24"/>
  <c r="S54" i="24"/>
  <c r="V42" i="14"/>
  <c r="V45" i="14"/>
  <c r="V40" i="14"/>
  <c r="V43" i="14"/>
  <c r="V41" i="14"/>
  <c r="V44" i="14"/>
  <c r="V53" i="23"/>
  <c r="V51" i="23"/>
  <c r="V54" i="23"/>
  <c r="V49" i="23"/>
  <c r="V52" i="23"/>
  <c r="V50" i="23"/>
  <c r="J45" i="36"/>
  <c r="J44" i="36"/>
  <c r="J42" i="36"/>
  <c r="J40" i="36"/>
  <c r="J43" i="36"/>
  <c r="J41" i="36"/>
  <c r="N44" i="19"/>
  <c r="N42" i="19"/>
  <c r="N45" i="19"/>
  <c r="N40" i="19"/>
  <c r="N43" i="19"/>
  <c r="N41" i="19"/>
  <c r="F51" i="27"/>
  <c r="F54" i="27"/>
  <c r="F49" i="27"/>
  <c r="F53" i="27"/>
  <c r="F52" i="27"/>
  <c r="F50" i="27"/>
  <c r="W33" i="34"/>
  <c r="W36" i="34"/>
  <c r="W31" i="34"/>
  <c r="W34" i="34"/>
  <c r="W32" i="34"/>
  <c r="W35" i="34"/>
  <c r="W53" i="26"/>
  <c r="W51" i="26"/>
  <c r="W54" i="26"/>
  <c r="W49" i="26"/>
  <c r="W52" i="26"/>
  <c r="W50" i="26"/>
  <c r="J27" i="39"/>
  <c r="J22" i="39"/>
  <c r="J25" i="39"/>
  <c r="J23" i="39"/>
  <c r="J26" i="39"/>
  <c r="J24" i="39"/>
  <c r="W45" i="31"/>
  <c r="W40" i="31"/>
  <c r="W43" i="31"/>
  <c r="W41" i="31"/>
  <c r="W44" i="31"/>
  <c r="W42" i="31"/>
  <c r="O30" i="23"/>
  <c r="N30" i="23"/>
  <c r="BC27" i="22"/>
  <c r="BK27" i="22"/>
  <c r="BA52" i="34"/>
  <c r="BI52" i="34"/>
  <c r="Z42" i="24"/>
  <c r="F36" i="18"/>
  <c r="F34" i="18"/>
  <c r="F32" i="18"/>
  <c r="F35" i="18"/>
  <c r="F33" i="18"/>
  <c r="F31" i="18"/>
  <c r="BK40" i="10"/>
  <c r="BC40" i="10"/>
  <c r="O36" i="38"/>
  <c r="O31" i="38"/>
  <c r="O34" i="38"/>
  <c r="O32" i="38"/>
  <c r="O35" i="38"/>
  <c r="O33" i="38"/>
  <c r="AX43" i="37"/>
  <c r="BF43" i="37"/>
  <c r="BK27" i="30"/>
  <c r="BC27" i="30"/>
  <c r="BC31" i="29"/>
  <c r="BK31" i="29"/>
  <c r="BJ52" i="25"/>
  <c r="BB52" i="25"/>
  <c r="AZ53" i="25"/>
  <c r="BH53" i="25"/>
  <c r="BB27" i="11"/>
  <c r="BJ27" i="11"/>
  <c r="AY32" i="32"/>
  <c r="BG32" i="32"/>
  <c r="BC42" i="37"/>
  <c r="BK42" i="37"/>
  <c r="W32" i="30"/>
  <c r="N32" i="30"/>
  <c r="V31" i="25"/>
  <c r="O26" i="20"/>
  <c r="O24" i="20"/>
  <c r="O27" i="20"/>
  <c r="O22" i="20"/>
  <c r="O25" i="20"/>
  <c r="O23" i="20"/>
  <c r="AY50" i="38"/>
  <c r="BG50" i="38"/>
  <c r="BB42" i="11"/>
  <c r="BJ42" i="11"/>
  <c r="AZ54" i="12"/>
  <c r="BH54" i="12"/>
  <c r="BC42" i="11"/>
  <c r="BK42" i="11"/>
  <c r="BB43" i="10"/>
  <c r="BJ43" i="10"/>
  <c r="V24" i="15"/>
  <c r="V27" i="15"/>
  <c r="V22" i="15"/>
  <c r="V25" i="15"/>
  <c r="V23" i="15"/>
  <c r="V26" i="15"/>
  <c r="F34" i="21"/>
  <c r="F32" i="21"/>
  <c r="F35" i="21"/>
  <c r="F33" i="21"/>
  <c r="F36" i="21"/>
  <c r="F31" i="21"/>
  <c r="N41" i="16"/>
  <c r="N44" i="16"/>
  <c r="N42" i="16"/>
  <c r="N45" i="16"/>
  <c r="N40" i="16"/>
  <c r="N43" i="16"/>
  <c r="BC35" i="31"/>
  <c r="BK35" i="31"/>
  <c r="BA27" i="33"/>
  <c r="BI27" i="33"/>
  <c r="BC53" i="31"/>
  <c r="BK53" i="31"/>
  <c r="BC27" i="24"/>
  <c r="BK27" i="24"/>
  <c r="BC53" i="19"/>
  <c r="BK53" i="19"/>
  <c r="K49" i="31"/>
  <c r="BJ40" i="24"/>
  <c r="BB40" i="24"/>
  <c r="V50" i="40"/>
  <c r="V53" i="40"/>
  <c r="V54" i="40"/>
  <c r="V49" i="40"/>
  <c r="V51" i="40"/>
  <c r="V52" i="40"/>
  <c r="F53" i="39"/>
  <c r="F51" i="39"/>
  <c r="F54" i="39"/>
  <c r="F49" i="39"/>
  <c r="F52" i="39"/>
  <c r="F50" i="39"/>
  <c r="BA26" i="38"/>
  <c r="BI26" i="38"/>
  <c r="BC54" i="16"/>
  <c r="BK54" i="16"/>
  <c r="F23" i="30"/>
  <c r="BC24" i="20"/>
  <c r="BK24" i="20"/>
  <c r="BK23" i="14"/>
  <c r="BC23" i="14"/>
  <c r="BA23" i="42"/>
  <c r="BI23" i="42"/>
  <c r="BB35" i="30"/>
  <c r="BJ35" i="30"/>
  <c r="S39" i="22"/>
  <c r="R39" i="22"/>
  <c r="BB36" i="18"/>
  <c r="BJ36" i="18"/>
  <c r="BA22" i="13"/>
  <c r="BI22" i="13"/>
  <c r="AY49" i="10"/>
  <c r="BG49" i="10"/>
  <c r="BI33" i="41"/>
  <c r="BA33" i="41"/>
  <c r="BB40" i="37"/>
  <c r="BJ40" i="37"/>
  <c r="BC40" i="38"/>
  <c r="BK40" i="38"/>
  <c r="BC44" i="20"/>
  <c r="BK44" i="20"/>
  <c r="K34" i="13"/>
  <c r="K32" i="13"/>
  <c r="K35" i="13"/>
  <c r="K33" i="13"/>
  <c r="K36" i="13"/>
  <c r="K31" i="13"/>
  <c r="BC42" i="28"/>
  <c r="BK42" i="28"/>
  <c r="G36" i="19"/>
  <c r="G31" i="19"/>
  <c r="G34" i="19"/>
  <c r="G32" i="19"/>
  <c r="G35" i="19"/>
  <c r="G33" i="19"/>
  <c r="K24" i="34"/>
  <c r="K27" i="34"/>
  <c r="K22" i="34"/>
  <c r="K25" i="34"/>
  <c r="K23" i="34"/>
  <c r="K26" i="34"/>
  <c r="S41" i="25"/>
  <c r="S42" i="25"/>
  <c r="S40" i="25"/>
  <c r="S43" i="25"/>
  <c r="S44" i="25"/>
  <c r="S45" i="25"/>
  <c r="BK51" i="15"/>
  <c r="BC51" i="15"/>
  <c r="W32" i="23"/>
  <c r="W35" i="23"/>
  <c r="W33" i="23"/>
  <c r="W36" i="23"/>
  <c r="W31" i="23"/>
  <c r="W34" i="23"/>
  <c r="G22" i="21"/>
  <c r="G25" i="21"/>
  <c r="G23" i="21"/>
  <c r="G26" i="21"/>
  <c r="G24" i="21"/>
  <c r="G27" i="21"/>
  <c r="N53" i="34"/>
  <c r="N51" i="34"/>
  <c r="N54" i="34"/>
  <c r="N49" i="34"/>
  <c r="N52" i="34"/>
  <c r="N50" i="34"/>
  <c r="K42" i="12"/>
  <c r="K45" i="12"/>
  <c r="K40" i="12"/>
  <c r="K43" i="12"/>
  <c r="K41" i="12"/>
  <c r="K44" i="12"/>
  <c r="N49" i="39"/>
  <c r="N52" i="39"/>
  <c r="N50" i="39"/>
  <c r="N53" i="39"/>
  <c r="N51" i="39"/>
  <c r="N54" i="39"/>
  <c r="N52" i="17"/>
  <c r="N50" i="17"/>
  <c r="N53" i="17"/>
  <c r="N51" i="17"/>
  <c r="N54" i="17"/>
  <c r="N49" i="17"/>
  <c r="BC42" i="15"/>
  <c r="BK42" i="15"/>
  <c r="BJ53" i="42"/>
  <c r="BB53" i="42"/>
  <c r="BB25" i="37"/>
  <c r="BJ25" i="37"/>
  <c r="BC54" i="37"/>
  <c r="BK54" i="37"/>
  <c r="J49" i="31"/>
  <c r="N23" i="21"/>
  <c r="N26" i="21"/>
  <c r="N24" i="21"/>
  <c r="N27" i="21"/>
  <c r="N25" i="21"/>
  <c r="N22" i="21"/>
  <c r="BC43" i="16"/>
  <c r="BK43" i="16"/>
  <c r="AY25" i="38"/>
  <c r="BG25" i="38"/>
  <c r="BB50" i="18"/>
  <c r="BJ50" i="18"/>
  <c r="AY35" i="10"/>
  <c r="BG35" i="10"/>
  <c r="BK34" i="33"/>
  <c r="BC34" i="33"/>
  <c r="AA43" i="41"/>
  <c r="AA40" i="41"/>
  <c r="AA41" i="41"/>
  <c r="AA44" i="41"/>
  <c r="AA42" i="41"/>
  <c r="AA45" i="41"/>
  <c r="BA31" i="38"/>
  <c r="BI31" i="38"/>
  <c r="BA22" i="34"/>
  <c r="BI22" i="34"/>
  <c r="W33" i="28"/>
  <c r="W36" i="28"/>
  <c r="W31" i="28"/>
  <c r="W34" i="28"/>
  <c r="W32" i="28"/>
  <c r="W35" i="28"/>
  <c r="O21" i="26"/>
  <c r="N21" i="26"/>
  <c r="BK50" i="24"/>
  <c r="BC50" i="24"/>
  <c r="BB27" i="18"/>
  <c r="BJ27" i="18"/>
  <c r="BC26" i="14"/>
  <c r="BK26" i="14"/>
  <c r="BK54" i="12"/>
  <c r="BC54" i="12"/>
  <c r="K25" i="41"/>
  <c r="K26" i="41"/>
  <c r="K22" i="41"/>
  <c r="K27" i="41"/>
  <c r="K23" i="41"/>
  <c r="K24" i="41"/>
  <c r="BK49" i="29"/>
  <c r="BC49" i="29"/>
  <c r="AA26" i="18"/>
  <c r="AA24" i="18"/>
  <c r="AA22" i="18"/>
  <c r="AA23" i="18"/>
  <c r="AA27" i="18"/>
  <c r="AA25" i="18"/>
  <c r="N35" i="36"/>
  <c r="N33" i="36"/>
  <c r="N36" i="36"/>
  <c r="N31" i="36"/>
  <c r="N34" i="36"/>
  <c r="N32" i="36"/>
  <c r="BC44" i="32"/>
  <c r="BK44" i="32"/>
  <c r="N24" i="28"/>
  <c r="N27" i="28"/>
  <c r="N22" i="28"/>
  <c r="N25" i="28"/>
  <c r="N23" i="28"/>
  <c r="N26" i="28"/>
  <c r="AA41" i="20"/>
  <c r="BA52" i="15"/>
  <c r="BI52" i="15"/>
  <c r="F31" i="15"/>
  <c r="F34" i="15"/>
  <c r="F32" i="15"/>
  <c r="F35" i="15"/>
  <c r="F33" i="15"/>
  <c r="F36" i="15"/>
  <c r="AY44" i="32"/>
  <c r="BG44" i="32"/>
  <c r="R34" i="14"/>
  <c r="R32" i="14"/>
  <c r="R35" i="14"/>
  <c r="R33" i="14"/>
  <c r="R36" i="14"/>
  <c r="R31" i="14"/>
  <c r="R27" i="35"/>
  <c r="R22" i="35"/>
  <c r="R25" i="35"/>
  <c r="R23" i="35"/>
  <c r="R26" i="35"/>
  <c r="R24" i="35"/>
  <c r="G51" i="21"/>
  <c r="G54" i="21"/>
  <c r="G49" i="21"/>
  <c r="G52" i="21"/>
  <c r="G50" i="21"/>
  <c r="G53" i="21"/>
  <c r="N24" i="16"/>
  <c r="N27" i="16"/>
  <c r="N22" i="16"/>
  <c r="N25" i="16"/>
  <c r="N23" i="16"/>
  <c r="N26" i="16"/>
  <c r="J32" i="12"/>
  <c r="J35" i="12"/>
  <c r="J33" i="12"/>
  <c r="J36" i="12"/>
  <c r="J31" i="12"/>
  <c r="J34" i="12"/>
  <c r="N42" i="39"/>
  <c r="N45" i="39"/>
  <c r="N40" i="39"/>
  <c r="N43" i="39"/>
  <c r="N41" i="39"/>
  <c r="N44" i="39"/>
  <c r="AY34" i="29"/>
  <c r="BG34" i="29"/>
  <c r="BB35" i="24"/>
  <c r="BJ35" i="24"/>
  <c r="BB52" i="21"/>
  <c r="BJ52" i="21"/>
  <c r="BJ41" i="36"/>
  <c r="BB41" i="36"/>
  <c r="BA33" i="33"/>
  <c r="BI33" i="33"/>
  <c r="R22" i="19"/>
  <c r="R23" i="19"/>
  <c r="R26" i="19"/>
  <c r="R24" i="19"/>
  <c r="R27" i="19"/>
  <c r="R25" i="19"/>
  <c r="BF54" i="30"/>
  <c r="AX54" i="30"/>
  <c r="K22" i="37"/>
  <c r="K25" i="37"/>
  <c r="K23" i="37"/>
  <c r="K26" i="37"/>
  <c r="K27" i="37"/>
  <c r="K24" i="37"/>
  <c r="BB51" i="30"/>
  <c r="BJ51" i="30"/>
  <c r="AZ49" i="30"/>
  <c r="BH49" i="30"/>
  <c r="AA31" i="25"/>
  <c r="BK31" i="25" s="1"/>
  <c r="W41" i="20"/>
  <c r="BB41" i="20" s="1"/>
  <c r="BB54" i="11"/>
  <c r="BJ54" i="11"/>
  <c r="BA54" i="42"/>
  <c r="BI54" i="42"/>
  <c r="R23" i="37"/>
  <c r="R26" i="37"/>
  <c r="R24" i="37"/>
  <c r="R27" i="37"/>
  <c r="R22" i="37"/>
  <c r="R25" i="37"/>
  <c r="BC53" i="28"/>
  <c r="BK53" i="28"/>
  <c r="W48" i="19"/>
  <c r="V48" i="19"/>
  <c r="J44" i="41"/>
  <c r="J40" i="41"/>
  <c r="J45" i="41"/>
  <c r="J41" i="41"/>
  <c r="J43" i="41"/>
  <c r="J42" i="41"/>
  <c r="BC36" i="39"/>
  <c r="BK36" i="39"/>
  <c r="BA34" i="34"/>
  <c r="BI34" i="34"/>
  <c r="BC33" i="30"/>
  <c r="BK33" i="30"/>
  <c r="AA32" i="20"/>
  <c r="BK32" i="20" s="1"/>
  <c r="BA36" i="42"/>
  <c r="BI36" i="42"/>
  <c r="BK40" i="39"/>
  <c r="BC40" i="39"/>
  <c r="BC43" i="36"/>
  <c r="BK43" i="36"/>
  <c r="BC24" i="17"/>
  <c r="BK24" i="17"/>
  <c r="BC25" i="15"/>
  <c r="BK25" i="15"/>
  <c r="BJ31" i="21"/>
  <c r="BB31" i="21"/>
  <c r="BC32" i="19"/>
  <c r="BK32" i="19"/>
  <c r="G27" i="15"/>
  <c r="G22" i="15"/>
  <c r="G25" i="15"/>
  <c r="G23" i="15"/>
  <c r="G26" i="15"/>
  <c r="G24" i="15"/>
  <c r="Z22" i="42"/>
  <c r="BI50" i="41"/>
  <c r="BA50" i="41"/>
  <c r="BH52" i="37"/>
  <c r="AZ52" i="37"/>
  <c r="G22" i="32"/>
  <c r="G25" i="32"/>
  <c r="G23" i="32"/>
  <c r="G26" i="32"/>
  <c r="G27" i="32"/>
  <c r="G24" i="32"/>
  <c r="AY27" i="29"/>
  <c r="BG27" i="29"/>
  <c r="S22" i="14"/>
  <c r="S25" i="14"/>
  <c r="S23" i="14"/>
  <c r="S26" i="14"/>
  <c r="S24" i="14"/>
  <c r="S27" i="14"/>
  <c r="BC42" i="33"/>
  <c r="BK42" i="33"/>
  <c r="BH27" i="25"/>
  <c r="AZ27" i="25"/>
  <c r="BK40" i="19"/>
  <c r="BC40" i="19"/>
  <c r="AZ34" i="10"/>
  <c r="BH34" i="10"/>
  <c r="BI23" i="21"/>
  <c r="N26" i="42"/>
  <c r="N24" i="42"/>
  <c r="N27" i="42"/>
  <c r="N22" i="42"/>
  <c r="N25" i="42"/>
  <c r="N23" i="42"/>
  <c r="G48" i="11"/>
  <c r="F48" i="11"/>
  <c r="BK34" i="25"/>
  <c r="BC34" i="25"/>
  <c r="AA32" i="41"/>
  <c r="AA36" i="41"/>
  <c r="AA35" i="41"/>
  <c r="AA31" i="41"/>
  <c r="AA33" i="41"/>
  <c r="AA34" i="41"/>
  <c r="BA42" i="38"/>
  <c r="BI42" i="38"/>
  <c r="N42" i="40"/>
  <c r="N45" i="40"/>
  <c r="N43" i="40"/>
  <c r="N41" i="40"/>
  <c r="N40" i="40"/>
  <c r="N44" i="40"/>
  <c r="BJ44" i="42"/>
  <c r="BB44" i="42"/>
  <c r="G24" i="13"/>
  <c r="G27" i="13"/>
  <c r="G22" i="13"/>
  <c r="G25" i="13"/>
  <c r="G23" i="13"/>
  <c r="G26" i="13"/>
  <c r="BC42" i="14"/>
  <c r="BK42" i="14"/>
  <c r="J33" i="27"/>
  <c r="J36" i="27"/>
  <c r="J31" i="27"/>
  <c r="J34" i="27"/>
  <c r="J32" i="27"/>
  <c r="J35" i="27"/>
  <c r="V27" i="12"/>
  <c r="V22" i="12"/>
  <c r="V25" i="12"/>
  <c r="V23" i="12"/>
  <c r="V26" i="12"/>
  <c r="V24" i="12"/>
  <c r="BB34" i="42"/>
  <c r="BJ34" i="42"/>
  <c r="J27" i="33"/>
  <c r="J22" i="33"/>
  <c r="J25" i="33"/>
  <c r="J23" i="33"/>
  <c r="J26" i="33"/>
  <c r="J24" i="33"/>
  <c r="BA52" i="28"/>
  <c r="BI52" i="28"/>
  <c r="J36" i="24"/>
  <c r="J31" i="24"/>
  <c r="J34" i="24"/>
  <c r="J32" i="24"/>
  <c r="J35" i="24"/>
  <c r="J33" i="24"/>
  <c r="F34" i="12"/>
  <c r="F32" i="12"/>
  <c r="F35" i="12"/>
  <c r="F33" i="12"/>
  <c r="F36" i="12"/>
  <c r="F31" i="12"/>
  <c r="F44" i="23"/>
  <c r="F42" i="23"/>
  <c r="F45" i="23"/>
  <c r="F40" i="23"/>
  <c r="F43" i="23"/>
  <c r="F41" i="23"/>
  <c r="V34" i="17"/>
  <c r="V32" i="17"/>
  <c r="V35" i="17"/>
  <c r="V33" i="17"/>
  <c r="V36" i="17"/>
  <c r="V31" i="17"/>
  <c r="BC52" i="20"/>
  <c r="BK52" i="20"/>
  <c r="AX24" i="37"/>
  <c r="BF24" i="37"/>
  <c r="W31" i="26"/>
  <c r="W34" i="26"/>
  <c r="W32" i="26"/>
  <c r="W35" i="26"/>
  <c r="W33" i="26"/>
  <c r="W36" i="26"/>
  <c r="AZ35" i="25"/>
  <c r="BH35" i="25"/>
  <c r="G30" i="17"/>
  <c r="F30" i="17"/>
  <c r="AZ53" i="10"/>
  <c r="BH53" i="10"/>
  <c r="J51" i="39"/>
  <c r="J54" i="39"/>
  <c r="J49" i="39"/>
  <c r="J52" i="39"/>
  <c r="J50" i="39"/>
  <c r="J53" i="39"/>
  <c r="R23" i="26"/>
  <c r="R26" i="26"/>
  <c r="R24" i="26"/>
  <c r="R27" i="26"/>
  <c r="R22" i="26"/>
  <c r="R25" i="26"/>
  <c r="V34" i="39"/>
  <c r="V35" i="39"/>
  <c r="V33" i="39"/>
  <c r="V31" i="39"/>
  <c r="V36" i="39"/>
  <c r="V32" i="39"/>
  <c r="N50" i="38"/>
  <c r="N53" i="38"/>
  <c r="N51" i="38"/>
  <c r="N54" i="38"/>
  <c r="N49" i="38"/>
  <c r="N52" i="38"/>
  <c r="N23" i="32"/>
  <c r="N26" i="32"/>
  <c r="N24" i="32"/>
  <c r="N27" i="32"/>
  <c r="N22" i="32"/>
  <c r="N25" i="32"/>
  <c r="F27" i="29"/>
  <c r="F22" i="29"/>
  <c r="F25" i="29"/>
  <c r="F23" i="29"/>
  <c r="F26" i="29"/>
  <c r="F24" i="29"/>
  <c r="BI41" i="21"/>
  <c r="BA41" i="21"/>
  <c r="V23" i="16"/>
  <c r="V26" i="16"/>
  <c r="V24" i="16"/>
  <c r="V27" i="16"/>
  <c r="V22" i="16"/>
  <c r="V25" i="16"/>
  <c r="BA49" i="13"/>
  <c r="BI49" i="13"/>
  <c r="BB22" i="35"/>
  <c r="BJ22" i="35"/>
  <c r="BC42" i="42"/>
  <c r="BK42" i="42"/>
  <c r="AY40" i="38"/>
  <c r="BG40" i="38"/>
  <c r="BI35" i="31"/>
  <c r="BA35" i="31"/>
  <c r="N44" i="20"/>
  <c r="N42" i="20"/>
  <c r="N40" i="20"/>
  <c r="N45" i="20"/>
  <c r="N41" i="20"/>
  <c r="N43" i="20"/>
  <c r="W34" i="41"/>
  <c r="W35" i="41"/>
  <c r="W31" i="41"/>
  <c r="W36" i="41"/>
  <c r="W32" i="41"/>
  <c r="W33" i="41"/>
  <c r="BC41" i="34"/>
  <c r="BK41" i="34"/>
  <c r="BK27" i="33"/>
  <c r="BC27" i="33"/>
  <c r="O40" i="29"/>
  <c r="O43" i="29"/>
  <c r="O41" i="29"/>
  <c r="O44" i="29"/>
  <c r="O42" i="29"/>
  <c r="O45" i="29"/>
  <c r="O21" i="24"/>
  <c r="N21" i="24"/>
  <c r="BC35" i="21"/>
  <c r="BK35" i="21"/>
  <c r="AZ41" i="12"/>
  <c r="BH41" i="12"/>
  <c r="BC34" i="15"/>
  <c r="BK34" i="15"/>
  <c r="F23" i="28"/>
  <c r="F26" i="28"/>
  <c r="F24" i="28"/>
  <c r="F27" i="28"/>
  <c r="F22" i="28"/>
  <c r="F25" i="28"/>
  <c r="BB31" i="20"/>
  <c r="BJ31" i="20"/>
  <c r="N51" i="13"/>
  <c r="N54" i="13"/>
  <c r="N49" i="13"/>
  <c r="N52" i="13"/>
  <c r="N50" i="13"/>
  <c r="N53" i="13"/>
  <c r="R53" i="36"/>
  <c r="R49" i="36"/>
  <c r="R52" i="36"/>
  <c r="R51" i="36"/>
  <c r="R50" i="36"/>
  <c r="R54" i="36"/>
  <c r="R51" i="20"/>
  <c r="R54" i="20"/>
  <c r="R49" i="20"/>
  <c r="R52" i="20"/>
  <c r="R53" i="20"/>
  <c r="R50" i="20"/>
  <c r="BB49" i="37"/>
  <c r="BJ49" i="37"/>
  <c r="N42" i="33"/>
  <c r="N45" i="33"/>
  <c r="N40" i="33"/>
  <c r="N43" i="33"/>
  <c r="N41" i="33"/>
  <c r="N44" i="33"/>
  <c r="BA24" i="28"/>
  <c r="BI24" i="28"/>
  <c r="G50" i="22"/>
  <c r="G53" i="22"/>
  <c r="G51" i="22"/>
  <c r="G54" i="22"/>
  <c r="G49" i="22"/>
  <c r="G52" i="22"/>
  <c r="BA45" i="28"/>
  <c r="BI45" i="28"/>
  <c r="BB50" i="35"/>
  <c r="BJ50" i="35"/>
  <c r="BC36" i="28"/>
  <c r="BK36" i="28"/>
  <c r="BC27" i="31"/>
  <c r="BK27" i="31"/>
  <c r="BK36" i="24"/>
  <c r="BC36" i="24"/>
  <c r="BC25" i="19"/>
  <c r="BK25" i="19"/>
  <c r="BB25" i="20"/>
  <c r="BJ25" i="20"/>
  <c r="BB43" i="18"/>
  <c r="BJ43" i="18"/>
  <c r="AY27" i="10"/>
  <c r="BG27" i="10"/>
  <c r="V24" i="39"/>
  <c r="V27" i="39"/>
  <c r="V22" i="39"/>
  <c r="V25" i="39"/>
  <c r="V23" i="39"/>
  <c r="V26" i="39"/>
  <c r="AZ44" i="37"/>
  <c r="BH44" i="37"/>
  <c r="BC26" i="29"/>
  <c r="BK26" i="29"/>
  <c r="F43" i="18"/>
  <c r="F41" i="18"/>
  <c r="F42" i="18"/>
  <c r="F45" i="18"/>
  <c r="F40" i="18"/>
  <c r="F44" i="18"/>
  <c r="N42" i="41"/>
  <c r="N45" i="41"/>
  <c r="N40" i="41"/>
  <c r="N41" i="41"/>
  <c r="N44" i="41"/>
  <c r="N43" i="41"/>
  <c r="BG31" i="38"/>
  <c r="AY31" i="38"/>
  <c r="K48" i="20"/>
  <c r="J48" i="20"/>
  <c r="BK22" i="32"/>
  <c r="BC22" i="32"/>
  <c r="BA41" i="15"/>
  <c r="BI41" i="15"/>
  <c r="BC24" i="36"/>
  <c r="BK24" i="36"/>
  <c r="O51" i="28"/>
  <c r="O54" i="28"/>
  <c r="O49" i="28"/>
  <c r="O52" i="28"/>
  <c r="O50" i="28"/>
  <c r="O53" i="28"/>
  <c r="AZ44" i="10"/>
  <c r="BH44" i="10"/>
  <c r="BB52" i="24"/>
  <c r="BJ52" i="24"/>
  <c r="BC31" i="36"/>
  <c r="BK31" i="36"/>
  <c r="K43" i="34"/>
  <c r="K41" i="34"/>
  <c r="K44" i="34"/>
  <c r="K42" i="34"/>
  <c r="K45" i="34"/>
  <c r="K40" i="34"/>
  <c r="BK45" i="31"/>
  <c r="BC45" i="31"/>
  <c r="J26" i="25"/>
  <c r="J27" i="25"/>
  <c r="J22" i="25"/>
  <c r="J24" i="25"/>
  <c r="J25" i="25"/>
  <c r="J23" i="25"/>
  <c r="BC52" i="10"/>
  <c r="BK52" i="10"/>
  <c r="BK34" i="32"/>
  <c r="BC34" i="32"/>
  <c r="J43" i="24"/>
  <c r="J41" i="24"/>
  <c r="J44" i="24"/>
  <c r="J42" i="24"/>
  <c r="J45" i="24"/>
  <c r="J40" i="24"/>
  <c r="BA34" i="10"/>
  <c r="BI34" i="10"/>
  <c r="W54" i="23"/>
  <c r="W49" i="23"/>
  <c r="W52" i="23"/>
  <c r="W50" i="23"/>
  <c r="W53" i="23"/>
  <c r="W51" i="23"/>
  <c r="K45" i="36"/>
  <c r="K44" i="36"/>
  <c r="K42" i="36"/>
  <c r="K40" i="36"/>
  <c r="K43" i="36"/>
  <c r="K41" i="36"/>
  <c r="O41" i="19"/>
  <c r="O42" i="19"/>
  <c r="O45" i="19"/>
  <c r="O40" i="19"/>
  <c r="O43" i="19"/>
  <c r="O44" i="19"/>
  <c r="G53" i="27"/>
  <c r="G51" i="27"/>
  <c r="G54" i="27"/>
  <c r="G52" i="27"/>
  <c r="G50" i="27"/>
  <c r="G49" i="27"/>
  <c r="N32" i="33"/>
  <c r="N35" i="33"/>
  <c r="N33" i="33"/>
  <c r="N36" i="33"/>
  <c r="N31" i="33"/>
  <c r="N34" i="33"/>
  <c r="F40" i="22"/>
  <c r="F43" i="22"/>
  <c r="F41" i="22"/>
  <c r="F44" i="22"/>
  <c r="F42" i="22"/>
  <c r="F45" i="22"/>
  <c r="O33" i="17"/>
  <c r="O36" i="17"/>
  <c r="O31" i="17"/>
  <c r="O34" i="17"/>
  <c r="O32" i="17"/>
  <c r="O35" i="17"/>
  <c r="BC54" i="11"/>
  <c r="BK54" i="11"/>
  <c r="K22" i="39"/>
  <c r="K25" i="39"/>
  <c r="K23" i="39"/>
  <c r="K26" i="39"/>
  <c r="K24" i="39"/>
  <c r="K27" i="39"/>
  <c r="V42" i="31"/>
  <c r="V45" i="31"/>
  <c r="V40" i="31"/>
  <c r="V43" i="31"/>
  <c r="V41" i="31"/>
  <c r="V44" i="31"/>
  <c r="O39" i="23"/>
  <c r="N39" i="23"/>
  <c r="BK24" i="22"/>
  <c r="BC24" i="22"/>
  <c r="BI49" i="34"/>
  <c r="BA49" i="34"/>
  <c r="BC44" i="24"/>
  <c r="BK44" i="24"/>
  <c r="G31" i="18"/>
  <c r="G35" i="18"/>
  <c r="G33" i="18"/>
  <c r="G36" i="18"/>
  <c r="G32" i="18"/>
  <c r="G34" i="18"/>
  <c r="R52" i="37"/>
  <c r="R50" i="37"/>
  <c r="R53" i="37"/>
  <c r="R51" i="37"/>
  <c r="R49" i="37"/>
  <c r="R54" i="37"/>
  <c r="BA24" i="31"/>
  <c r="BI24" i="31"/>
  <c r="BC36" i="29"/>
  <c r="BK36" i="29"/>
  <c r="V49" i="25"/>
  <c r="BB24" i="11"/>
  <c r="BJ24" i="11"/>
  <c r="AY34" i="32"/>
  <c r="BG34" i="32"/>
  <c r="BC44" i="37"/>
  <c r="BK44" i="37"/>
  <c r="Z54" i="27"/>
  <c r="Z53" i="27"/>
  <c r="Z52" i="27"/>
  <c r="Z50" i="27"/>
  <c r="Z49" i="27"/>
  <c r="Z51" i="27"/>
  <c r="BB36" i="25"/>
  <c r="BJ36" i="25"/>
  <c r="BC50" i="22"/>
  <c r="BK50" i="22"/>
  <c r="AY52" i="38"/>
  <c r="BG52" i="38"/>
  <c r="J50" i="11"/>
  <c r="J53" i="11"/>
  <c r="J51" i="11"/>
  <c r="J54" i="11"/>
  <c r="J49" i="11"/>
  <c r="J52" i="11"/>
  <c r="BC36" i="11"/>
  <c r="BK36" i="11"/>
  <c r="AZ51" i="12"/>
  <c r="BH51" i="12"/>
  <c r="BC44" i="11"/>
  <c r="BK44" i="11"/>
  <c r="BK43" i="10"/>
  <c r="BC43" i="10"/>
  <c r="W27" i="15"/>
  <c r="W22" i="15"/>
  <c r="W25" i="15"/>
  <c r="W23" i="15"/>
  <c r="W26" i="15"/>
  <c r="W24" i="15"/>
  <c r="G32" i="21"/>
  <c r="G35" i="21"/>
  <c r="G33" i="21"/>
  <c r="G36" i="21"/>
  <c r="G31" i="21"/>
  <c r="G34" i="21"/>
  <c r="O41" i="16"/>
  <c r="O44" i="16"/>
  <c r="O42" i="16"/>
  <c r="O45" i="16"/>
  <c r="O40" i="16"/>
  <c r="O43" i="16"/>
  <c r="BC32" i="31"/>
  <c r="BK32" i="31"/>
  <c r="BA24" i="33"/>
  <c r="BI24" i="33"/>
  <c r="BC50" i="31"/>
  <c r="BK50" i="31"/>
  <c r="Z24" i="24"/>
  <c r="BC50" i="19"/>
  <c r="BK50" i="19"/>
  <c r="BB45" i="24"/>
  <c r="BJ45" i="24"/>
  <c r="W53" i="40"/>
  <c r="W51" i="40"/>
  <c r="W49" i="40"/>
  <c r="W52" i="40"/>
  <c r="W50" i="40"/>
  <c r="W54" i="40"/>
  <c r="G51" i="39"/>
  <c r="G54" i="39"/>
  <c r="G49" i="39"/>
  <c r="G52" i="39"/>
  <c r="G50" i="39"/>
  <c r="G53" i="39"/>
  <c r="BA23" i="38"/>
  <c r="BI23" i="38"/>
  <c r="BC51" i="16"/>
  <c r="BK51" i="16"/>
  <c r="AX26" i="30"/>
  <c r="BF26" i="30"/>
  <c r="BC26" i="20"/>
  <c r="BK26" i="20"/>
  <c r="K33" i="14"/>
  <c r="K36" i="14"/>
  <c r="K31" i="14"/>
  <c r="K34" i="14"/>
  <c r="K32" i="14"/>
  <c r="K35" i="14"/>
  <c r="W22" i="42"/>
  <c r="BA25" i="42"/>
  <c r="BI25" i="42"/>
  <c r="V32" i="30"/>
  <c r="BC22" i="21"/>
  <c r="BK22" i="21"/>
  <c r="S48" i="22"/>
  <c r="R48" i="22"/>
  <c r="BC35" i="14"/>
  <c r="BK35" i="14"/>
  <c r="BA27" i="13"/>
  <c r="BI27" i="13"/>
  <c r="AY51" i="10"/>
  <c r="BG51" i="10"/>
  <c r="BI25" i="41"/>
  <c r="BA25" i="41"/>
  <c r="BB42" i="37"/>
  <c r="BJ42" i="37"/>
  <c r="BC45" i="38"/>
  <c r="BK45" i="38"/>
  <c r="S33" i="30"/>
  <c r="S36" i="30"/>
  <c r="S31" i="30"/>
  <c r="S34" i="30"/>
  <c r="S32" i="30"/>
  <c r="S35" i="30"/>
  <c r="Z41" i="20"/>
  <c r="AZ23" i="10"/>
  <c r="BH23" i="10"/>
  <c r="BC44" i="28"/>
  <c r="BK44" i="28"/>
  <c r="BC23" i="38"/>
  <c r="BK23" i="38"/>
  <c r="F51" i="32"/>
  <c r="F54" i="32"/>
  <c r="F49" i="32"/>
  <c r="F52" i="32"/>
  <c r="F50" i="32"/>
  <c r="F53" i="32"/>
  <c r="AY53" i="26"/>
  <c r="BG53" i="26"/>
  <c r="S42" i="24"/>
  <c r="S45" i="24"/>
  <c r="S40" i="24"/>
  <c r="S43" i="24"/>
  <c r="S41" i="24"/>
  <c r="S44" i="24"/>
  <c r="BC25" i="10"/>
  <c r="BK25" i="10"/>
  <c r="V32" i="23"/>
  <c r="V33" i="23"/>
  <c r="V36" i="23"/>
  <c r="V34" i="23"/>
  <c r="V31" i="23"/>
  <c r="V35" i="23"/>
  <c r="F27" i="21"/>
  <c r="F22" i="21"/>
  <c r="F25" i="21"/>
  <c r="F23" i="21"/>
  <c r="F24" i="21"/>
  <c r="F26" i="21"/>
  <c r="O51" i="34"/>
  <c r="O54" i="34"/>
  <c r="O49" i="34"/>
  <c r="O52" i="34"/>
  <c r="O50" i="34"/>
  <c r="O53" i="34"/>
  <c r="J42" i="12"/>
  <c r="J45" i="12"/>
  <c r="J40" i="12"/>
  <c r="J43" i="12"/>
  <c r="J41" i="12"/>
  <c r="J44" i="12"/>
  <c r="O52" i="39"/>
  <c r="O50" i="39"/>
  <c r="O53" i="39"/>
  <c r="O51" i="39"/>
  <c r="O54" i="39"/>
  <c r="O49" i="39"/>
  <c r="O50" i="17"/>
  <c r="O53" i="17"/>
  <c r="O51" i="17"/>
  <c r="O54" i="17"/>
  <c r="O49" i="17"/>
  <c r="O52" i="17"/>
  <c r="BK44" i="15"/>
  <c r="BC44" i="15"/>
  <c r="BB52" i="42"/>
  <c r="BJ52" i="42"/>
  <c r="BB22" i="37"/>
  <c r="BJ22" i="37"/>
  <c r="BC51" i="37"/>
  <c r="BK51" i="37"/>
  <c r="AY52" i="31"/>
  <c r="BG52" i="31"/>
  <c r="O26" i="21"/>
  <c r="O24" i="21"/>
  <c r="O27" i="21"/>
  <c r="O22" i="21"/>
  <c r="O25" i="21"/>
  <c r="O23" i="21"/>
  <c r="BK40" i="16"/>
  <c r="BC40" i="16"/>
  <c r="BG22" i="38"/>
  <c r="AY22" i="38"/>
  <c r="BC36" i="22"/>
  <c r="BK36" i="22"/>
  <c r="N32" i="22"/>
  <c r="N35" i="22"/>
  <c r="N33" i="22"/>
  <c r="N36" i="22"/>
  <c r="N31" i="22"/>
  <c r="N34" i="22"/>
  <c r="O48" i="18"/>
  <c r="N48" i="18"/>
  <c r="K25" i="40"/>
  <c r="K26" i="40"/>
  <c r="K24" i="40"/>
  <c r="K22" i="40"/>
  <c r="K27" i="40"/>
  <c r="K23" i="40"/>
  <c r="S33" i="37"/>
  <c r="S36" i="37"/>
  <c r="S31" i="37"/>
  <c r="S34" i="37"/>
  <c r="S32" i="37"/>
  <c r="S35" i="37"/>
  <c r="F23" i="34"/>
  <c r="F26" i="34"/>
  <c r="F24" i="34"/>
  <c r="F27" i="34"/>
  <c r="F22" i="34"/>
  <c r="F25" i="34"/>
  <c r="O30" i="26"/>
  <c r="N30" i="26"/>
  <c r="J33" i="26"/>
  <c r="K33" i="26"/>
  <c r="V26" i="22"/>
  <c r="V24" i="22"/>
  <c r="V27" i="22"/>
  <c r="V22" i="22"/>
  <c r="V25" i="22"/>
  <c r="V23" i="22"/>
  <c r="Z53" i="13"/>
  <c r="Z51" i="13"/>
  <c r="Z54" i="13"/>
  <c r="Z49" i="13"/>
  <c r="Z52" i="13"/>
  <c r="Z50" i="13"/>
  <c r="J23" i="14"/>
  <c r="J26" i="14"/>
  <c r="J24" i="14"/>
  <c r="J27" i="14"/>
  <c r="J22" i="14"/>
  <c r="J25" i="14"/>
  <c r="BB27" i="42"/>
  <c r="BJ27" i="42"/>
  <c r="F36" i="40"/>
  <c r="F31" i="40"/>
  <c r="F32" i="40"/>
  <c r="F35" i="40"/>
  <c r="F33" i="40"/>
  <c r="F34" i="40"/>
  <c r="AX52" i="37"/>
  <c r="BF52" i="37"/>
  <c r="Z40" i="27"/>
  <c r="Z43" i="27"/>
  <c r="Z41" i="27"/>
  <c r="Z44" i="27"/>
  <c r="Z42" i="27"/>
  <c r="Z45" i="27"/>
  <c r="O33" i="36"/>
  <c r="O36" i="36"/>
  <c r="O31" i="36"/>
  <c r="O34" i="36"/>
  <c r="O32" i="36"/>
  <c r="O35" i="36"/>
  <c r="BK41" i="32"/>
  <c r="BC41" i="32"/>
  <c r="O27" i="28"/>
  <c r="O22" i="28"/>
  <c r="O25" i="28"/>
  <c r="O23" i="28"/>
  <c r="O26" i="28"/>
  <c r="O24" i="28"/>
  <c r="BA49" i="15"/>
  <c r="BI49" i="15"/>
  <c r="G34" i="15"/>
  <c r="G32" i="15"/>
  <c r="G35" i="15"/>
  <c r="G33" i="15"/>
  <c r="G36" i="15"/>
  <c r="G31" i="15"/>
  <c r="AY41" i="32"/>
  <c r="BG41" i="32"/>
  <c r="K51" i="26"/>
  <c r="AY51" i="26" s="1"/>
  <c r="S32" i="14"/>
  <c r="S35" i="14"/>
  <c r="S33" i="14"/>
  <c r="S36" i="14"/>
  <c r="S31" i="14"/>
  <c r="S34" i="14"/>
  <c r="S22" i="35"/>
  <c r="S25" i="35"/>
  <c r="S23" i="35"/>
  <c r="S26" i="35"/>
  <c r="S27" i="35"/>
  <c r="S24" i="35"/>
  <c r="F51" i="21"/>
  <c r="F54" i="21"/>
  <c r="F49" i="21"/>
  <c r="F52" i="21"/>
  <c r="F50" i="21"/>
  <c r="F53" i="21"/>
  <c r="O27" i="16"/>
  <c r="O22" i="16"/>
  <c r="O25" i="16"/>
  <c r="O23" i="16"/>
  <c r="O26" i="16"/>
  <c r="O24" i="16"/>
  <c r="K35" i="12"/>
  <c r="K33" i="12"/>
  <c r="K36" i="12"/>
  <c r="K31" i="12"/>
  <c r="K34" i="12"/>
  <c r="K32" i="12"/>
  <c r="O45" i="39"/>
  <c r="O40" i="39"/>
  <c r="O43" i="39"/>
  <c r="O41" i="39"/>
  <c r="O44" i="39"/>
  <c r="O42" i="39"/>
  <c r="AY31" i="29"/>
  <c r="BG31" i="29"/>
  <c r="BB32" i="24"/>
  <c r="BJ32" i="24"/>
  <c r="BB49" i="21"/>
  <c r="BJ49" i="21"/>
  <c r="BB43" i="36"/>
  <c r="BJ43" i="36"/>
  <c r="V49" i="31"/>
  <c r="V52" i="31"/>
  <c r="V50" i="31"/>
  <c r="V53" i="31"/>
  <c r="V54" i="31"/>
  <c r="V51" i="31"/>
  <c r="S25" i="19"/>
  <c r="S23" i="19"/>
  <c r="S26" i="19"/>
  <c r="S24" i="19"/>
  <c r="S27" i="19"/>
  <c r="S22" i="19"/>
  <c r="AX51" i="30"/>
  <c r="BF51" i="30"/>
  <c r="BJ53" i="30"/>
  <c r="BB53" i="30"/>
  <c r="AZ54" i="30"/>
  <c r="BH54" i="30"/>
  <c r="BB51" i="11"/>
  <c r="BJ51" i="11"/>
  <c r="BI51" i="42"/>
  <c r="BA51" i="42"/>
  <c r="S26" i="37"/>
  <c r="S24" i="37"/>
  <c r="S27" i="37"/>
  <c r="S22" i="37"/>
  <c r="S25" i="37"/>
  <c r="S23" i="37"/>
  <c r="BC50" i="28"/>
  <c r="BK50" i="28"/>
  <c r="W39" i="19"/>
  <c r="V39" i="19"/>
  <c r="K43" i="41"/>
  <c r="K40" i="41"/>
  <c r="K45" i="41"/>
  <c r="K41" i="41"/>
  <c r="K44" i="41"/>
  <c r="K42" i="41"/>
  <c r="BK32" i="39"/>
  <c r="BC32" i="39"/>
  <c r="BA31" i="34"/>
  <c r="BI31" i="34"/>
  <c r="BC35" i="30"/>
  <c r="BK35" i="30"/>
  <c r="BA33" i="42"/>
  <c r="BI33" i="42"/>
  <c r="BC45" i="39"/>
  <c r="BK45" i="39"/>
  <c r="BC45" i="36"/>
  <c r="BK45" i="36"/>
  <c r="G41" i="30"/>
  <c r="AX41" i="30" s="1"/>
  <c r="BC26" i="17"/>
  <c r="BK26" i="17"/>
  <c r="BK22" i="15"/>
  <c r="BC22" i="15"/>
  <c r="BB36" i="21"/>
  <c r="BJ36" i="21"/>
  <c r="BC34" i="19"/>
  <c r="BK34" i="19"/>
  <c r="J53" i="13"/>
  <c r="J51" i="13"/>
  <c r="J54" i="13"/>
  <c r="J49" i="13"/>
  <c r="J52" i="13"/>
  <c r="J50" i="13"/>
  <c r="BC27" i="42"/>
  <c r="BK27" i="42"/>
  <c r="BI52" i="41"/>
  <c r="BA52" i="41"/>
  <c r="AZ49" i="37"/>
  <c r="BH49" i="37"/>
  <c r="AY35" i="31"/>
  <c r="BG35" i="31"/>
  <c r="AY24" i="29"/>
  <c r="BG24" i="29"/>
  <c r="O22" i="25"/>
  <c r="V25" i="14"/>
  <c r="V23" i="14"/>
  <c r="V26" i="14"/>
  <c r="V24" i="14"/>
  <c r="V27" i="14"/>
  <c r="V22" i="14"/>
  <c r="R44" i="27"/>
  <c r="R42" i="27"/>
  <c r="R45" i="27"/>
  <c r="R40" i="27"/>
  <c r="R43" i="27"/>
  <c r="R41" i="27"/>
  <c r="BC44" i="33"/>
  <c r="BK44" i="33"/>
  <c r="AZ24" i="25"/>
  <c r="BH24" i="25"/>
  <c r="S51" i="14"/>
  <c r="S54" i="14"/>
  <c r="S49" i="14"/>
  <c r="S52" i="14"/>
  <c r="S50" i="14"/>
  <c r="S53" i="14"/>
  <c r="BC54" i="25"/>
  <c r="BK54" i="25"/>
  <c r="AZ36" i="10"/>
  <c r="BH36" i="10"/>
  <c r="BI44" i="41"/>
  <c r="O39" i="35"/>
  <c r="N39" i="35"/>
  <c r="S40" i="26"/>
  <c r="S43" i="26"/>
  <c r="S41" i="26"/>
  <c r="S44" i="26"/>
  <c r="S42" i="26"/>
  <c r="S45" i="26"/>
  <c r="BC53" i="21"/>
  <c r="BK53" i="21"/>
  <c r="K43" i="27"/>
  <c r="K41" i="27"/>
  <c r="K44" i="27"/>
  <c r="K42" i="27"/>
  <c r="K45" i="27"/>
  <c r="K40" i="27"/>
  <c r="O32" i="13"/>
  <c r="O35" i="13"/>
  <c r="O33" i="13"/>
  <c r="O36" i="13"/>
  <c r="O31" i="13"/>
  <c r="O34" i="13"/>
  <c r="W42" i="35"/>
  <c r="BJ42" i="35" s="1"/>
  <c r="BC22" i="37"/>
  <c r="BK22" i="37"/>
  <c r="G33" i="34"/>
  <c r="G36" i="34"/>
  <c r="G31" i="34"/>
  <c r="G34" i="34"/>
  <c r="G32" i="34"/>
  <c r="G35" i="34"/>
  <c r="BB34" i="11"/>
  <c r="BJ34" i="11"/>
  <c r="K43" i="11"/>
  <c r="K41" i="11"/>
  <c r="K44" i="11"/>
  <c r="K42" i="11"/>
  <c r="K45" i="11"/>
  <c r="K40" i="11"/>
  <c r="J34" i="37"/>
  <c r="J32" i="37"/>
  <c r="J35" i="37"/>
  <c r="J33" i="37"/>
  <c r="J31" i="37"/>
  <c r="J36" i="37"/>
  <c r="BC32" i="38"/>
  <c r="BK32" i="38"/>
  <c r="BJ54" i="20"/>
  <c r="BB54" i="20"/>
  <c r="BA50" i="31"/>
  <c r="BI50" i="31"/>
  <c r="N51" i="22"/>
  <c r="N54" i="22"/>
  <c r="N49" i="22"/>
  <c r="N52" i="22"/>
  <c r="N50" i="22"/>
  <c r="N53" i="22"/>
  <c r="F42" i="34"/>
  <c r="F45" i="34"/>
  <c r="F40" i="34"/>
  <c r="F43" i="34"/>
  <c r="F41" i="34"/>
  <c r="F44" i="34"/>
  <c r="O43" i="32"/>
  <c r="O41" i="32"/>
  <c r="O44" i="32"/>
  <c r="O42" i="32"/>
  <c r="O45" i="32"/>
  <c r="O40" i="32"/>
  <c r="V49" i="28"/>
  <c r="V52" i="28"/>
  <c r="V50" i="28"/>
  <c r="V53" i="28"/>
  <c r="V51" i="28"/>
  <c r="V54" i="28"/>
  <c r="BC50" i="21"/>
  <c r="BK50" i="21"/>
  <c r="BC44" i="17"/>
  <c r="BK44" i="17"/>
  <c r="J33" i="41"/>
  <c r="J36" i="41"/>
  <c r="J32" i="41"/>
  <c r="J34" i="41"/>
  <c r="J35" i="41"/>
  <c r="J31" i="41"/>
  <c r="BI44" i="38"/>
  <c r="BA44" i="38"/>
  <c r="AX33" i="30"/>
  <c r="BF33" i="30"/>
  <c r="Z44" i="23"/>
  <c r="Z42" i="23"/>
  <c r="Z45" i="23"/>
  <c r="Z43" i="23"/>
  <c r="Z41" i="23"/>
  <c r="Z40" i="23"/>
  <c r="AA44" i="18"/>
  <c r="AA42" i="18"/>
  <c r="AA40" i="18"/>
  <c r="AA43" i="18"/>
  <c r="AA41" i="18"/>
  <c r="AA45" i="18"/>
  <c r="F32" i="38"/>
  <c r="F35" i="38"/>
  <c r="F33" i="38"/>
  <c r="F36" i="38"/>
  <c r="F31" i="38"/>
  <c r="F34" i="38"/>
  <c r="AY24" i="32"/>
  <c r="BG24" i="32"/>
  <c r="J21" i="23"/>
  <c r="K21" i="23"/>
  <c r="V33" i="13"/>
  <c r="V36" i="13"/>
  <c r="V31" i="13"/>
  <c r="V34" i="13"/>
  <c r="V32" i="13"/>
  <c r="V35" i="13"/>
  <c r="F53" i="15"/>
  <c r="F51" i="15"/>
  <c r="F54" i="15"/>
  <c r="F49" i="15"/>
  <c r="F52" i="15"/>
  <c r="F50" i="15"/>
  <c r="BB36" i="35"/>
  <c r="BJ36" i="35"/>
  <c r="BB43" i="21"/>
  <c r="BJ43" i="21"/>
  <c r="AZ27" i="12"/>
  <c r="BH27" i="12"/>
  <c r="F41" i="12"/>
  <c r="F44" i="12"/>
  <c r="F42" i="12"/>
  <c r="F45" i="12"/>
  <c r="F40" i="12"/>
  <c r="F43" i="12"/>
  <c r="N33" i="42"/>
  <c r="N36" i="42"/>
  <c r="N31" i="42"/>
  <c r="N34" i="42"/>
  <c r="N32" i="42"/>
  <c r="N35" i="42"/>
  <c r="N24" i="34"/>
  <c r="N27" i="34"/>
  <c r="N22" i="34"/>
  <c r="N25" i="34"/>
  <c r="N23" i="34"/>
  <c r="N26" i="34"/>
  <c r="BJ42" i="42"/>
  <c r="BB42" i="42"/>
  <c r="Z23" i="35"/>
  <c r="Z26" i="35"/>
  <c r="Z24" i="35"/>
  <c r="Z27" i="35"/>
  <c r="Z22" i="35"/>
  <c r="Z25" i="35"/>
  <c r="F36" i="33"/>
  <c r="F31" i="33"/>
  <c r="F34" i="33"/>
  <c r="F32" i="33"/>
  <c r="F35" i="33"/>
  <c r="F33" i="33"/>
  <c r="AY54" i="32"/>
  <c r="BG54" i="32"/>
  <c r="BG23" i="26"/>
  <c r="AY23" i="26"/>
  <c r="BC35" i="16"/>
  <c r="BK35" i="16"/>
  <c r="R40" i="39"/>
  <c r="R43" i="39"/>
  <c r="R41" i="39"/>
  <c r="R44" i="39"/>
  <c r="R45" i="39"/>
  <c r="R42" i="39"/>
  <c r="BA45" i="31"/>
  <c r="BI45" i="31"/>
  <c r="BA32" i="28"/>
  <c r="BI32" i="28"/>
  <c r="BB25" i="21"/>
  <c r="BJ25" i="21"/>
  <c r="BA32" i="13"/>
  <c r="BI32" i="13"/>
  <c r="BK27" i="37"/>
  <c r="BC27" i="37"/>
  <c r="AY52" i="29"/>
  <c r="BG52" i="29"/>
  <c r="V22" i="25"/>
  <c r="BC44" i="14"/>
  <c r="BK44" i="14"/>
  <c r="BA25" i="15"/>
  <c r="BI25" i="15"/>
  <c r="BC40" i="12"/>
  <c r="BK40" i="12"/>
  <c r="F53" i="10"/>
  <c r="F51" i="10"/>
  <c r="F49" i="10"/>
  <c r="F54" i="10"/>
  <c r="F52" i="10"/>
  <c r="F50" i="10"/>
  <c r="F34" i="29"/>
  <c r="F32" i="29"/>
  <c r="F35" i="29"/>
  <c r="F33" i="29"/>
  <c r="F36" i="29"/>
  <c r="F31" i="29"/>
  <c r="K51" i="22"/>
  <c r="K54" i="22"/>
  <c r="K49" i="22"/>
  <c r="K52" i="22"/>
  <c r="K50" i="22"/>
  <c r="K53" i="22"/>
  <c r="K36" i="27"/>
  <c r="K31" i="27"/>
  <c r="K34" i="27"/>
  <c r="K32" i="27"/>
  <c r="K35" i="27"/>
  <c r="K33" i="27"/>
  <c r="BC51" i="17"/>
  <c r="BK51" i="17"/>
  <c r="V31" i="11"/>
  <c r="BC23" i="12"/>
  <c r="BK23" i="12"/>
  <c r="N43" i="36"/>
  <c r="N42" i="36"/>
  <c r="N40" i="36"/>
  <c r="N45" i="36"/>
  <c r="N41" i="36"/>
  <c r="N44" i="36"/>
  <c r="AZ43" i="30"/>
  <c r="BH43" i="30"/>
  <c r="BB41" i="25"/>
  <c r="BJ41" i="25"/>
  <c r="V26" i="13"/>
  <c r="V24" i="13"/>
  <c r="V27" i="13"/>
  <c r="V22" i="13"/>
  <c r="V25" i="13"/>
  <c r="V23" i="13"/>
  <c r="W22" i="12"/>
  <c r="W25" i="12"/>
  <c r="W23" i="12"/>
  <c r="W26" i="12"/>
  <c r="W24" i="12"/>
  <c r="W27" i="12"/>
  <c r="BB31" i="42"/>
  <c r="BJ31" i="42"/>
  <c r="K22" i="33"/>
  <c r="K25" i="33"/>
  <c r="K23" i="33"/>
  <c r="K26" i="33"/>
  <c r="K24" i="33"/>
  <c r="K27" i="33"/>
  <c r="BI49" i="28"/>
  <c r="BA49" i="28"/>
  <c r="K31" i="24"/>
  <c r="K34" i="24"/>
  <c r="K32" i="24"/>
  <c r="K35" i="24"/>
  <c r="K33" i="24"/>
  <c r="K36" i="24"/>
  <c r="G32" i="12"/>
  <c r="G35" i="12"/>
  <c r="G33" i="12"/>
  <c r="G36" i="12"/>
  <c r="G31" i="12"/>
  <c r="G34" i="12"/>
  <c r="G41" i="23"/>
  <c r="G42" i="23"/>
  <c r="G45" i="23"/>
  <c r="G40" i="23"/>
  <c r="G43" i="23"/>
  <c r="G44" i="23"/>
  <c r="W32" i="17"/>
  <c r="W35" i="17"/>
  <c r="W33" i="17"/>
  <c r="W36" i="17"/>
  <c r="W31" i="17"/>
  <c r="W34" i="17"/>
  <c r="BC54" i="20"/>
  <c r="BK54" i="20"/>
  <c r="Z52" i="35"/>
  <c r="Z50" i="35"/>
  <c r="Z53" i="35"/>
  <c r="Z51" i="35"/>
  <c r="Z54" i="35"/>
  <c r="Z49" i="35"/>
  <c r="G24" i="33"/>
  <c r="G27" i="33"/>
  <c r="G22" i="33"/>
  <c r="G25" i="33"/>
  <c r="G23" i="33"/>
  <c r="G26" i="33"/>
  <c r="BC45" i="25"/>
  <c r="BK45" i="25"/>
  <c r="BH32" i="25"/>
  <c r="AZ32" i="25"/>
  <c r="G39" i="17"/>
  <c r="F39" i="17"/>
  <c r="BH50" i="10"/>
  <c r="AZ50" i="10"/>
  <c r="K54" i="39"/>
  <c r="K49" i="39"/>
  <c r="K52" i="39"/>
  <c r="K50" i="39"/>
  <c r="K53" i="39"/>
  <c r="K51" i="39"/>
  <c r="S26" i="26"/>
  <c r="S24" i="26"/>
  <c r="S27" i="26"/>
  <c r="S22" i="26"/>
  <c r="S25" i="26"/>
  <c r="S23" i="26"/>
  <c r="W34" i="39"/>
  <c r="W33" i="39"/>
  <c r="W31" i="39"/>
  <c r="W35" i="39"/>
  <c r="W36" i="39"/>
  <c r="W32" i="39"/>
  <c r="K32" i="37"/>
  <c r="K35" i="37"/>
  <c r="K33" i="37"/>
  <c r="K36" i="37"/>
  <c r="K34" i="37"/>
  <c r="K31" i="37"/>
  <c r="G53" i="18"/>
  <c r="G51" i="18"/>
  <c r="G49" i="18"/>
  <c r="G52" i="18"/>
  <c r="G50" i="18"/>
  <c r="G54" i="18"/>
  <c r="BC31" i="10"/>
  <c r="BK31" i="10"/>
  <c r="O50" i="38"/>
  <c r="O53" i="38"/>
  <c r="O51" i="38"/>
  <c r="O54" i="38"/>
  <c r="O49" i="38"/>
  <c r="O52" i="38"/>
  <c r="O26" i="32"/>
  <c r="O24" i="32"/>
  <c r="O27" i="32"/>
  <c r="O22" i="32"/>
  <c r="O25" i="32"/>
  <c r="O23" i="32"/>
  <c r="G22" i="29"/>
  <c r="G25" i="29"/>
  <c r="G23" i="29"/>
  <c r="G26" i="29"/>
  <c r="G24" i="29"/>
  <c r="G27" i="29"/>
  <c r="BA43" i="21"/>
  <c r="BI43" i="21"/>
  <c r="W23" i="16"/>
  <c r="W26" i="16"/>
  <c r="W24" i="16"/>
  <c r="W27" i="16"/>
  <c r="W22" i="16"/>
  <c r="W25" i="16"/>
  <c r="BG40" i="10"/>
  <c r="AY40" i="10"/>
  <c r="V24" i="35"/>
  <c r="BK41" i="42"/>
  <c r="BC41" i="42"/>
  <c r="AY45" i="38"/>
  <c r="BG45" i="38"/>
  <c r="BI32" i="31"/>
  <c r="BA32" i="31"/>
  <c r="O44" i="20"/>
  <c r="O42" i="20"/>
  <c r="O45" i="20"/>
  <c r="O43" i="20"/>
  <c r="O40" i="20"/>
  <c r="O41" i="20"/>
  <c r="BC53" i="42"/>
  <c r="BK53" i="42"/>
  <c r="N32" i="40"/>
  <c r="N35" i="40"/>
  <c r="N36" i="40"/>
  <c r="N31" i="40"/>
  <c r="N33" i="40"/>
  <c r="N34" i="40"/>
  <c r="BC43" i="34"/>
  <c r="BK43" i="34"/>
  <c r="BC43" i="30"/>
  <c r="BK43" i="30"/>
  <c r="O30" i="24"/>
  <c r="N30" i="24"/>
  <c r="BK32" i="21"/>
  <c r="BC32" i="21"/>
  <c r="AZ43" i="12"/>
  <c r="BH43" i="12"/>
  <c r="BC31" i="15"/>
  <c r="BK31" i="15"/>
  <c r="G23" i="28"/>
  <c r="G26" i="28"/>
  <c r="G24" i="28"/>
  <c r="G27" i="28"/>
  <c r="G22" i="28"/>
  <c r="G25" i="28"/>
  <c r="BB36" i="20"/>
  <c r="BJ36" i="20"/>
  <c r="O54" i="13"/>
  <c r="O49" i="13"/>
  <c r="O52" i="13"/>
  <c r="O50" i="13"/>
  <c r="O53" i="13"/>
  <c r="O51" i="13"/>
  <c r="S51" i="36"/>
  <c r="S54" i="36"/>
  <c r="S52" i="36"/>
  <c r="S50" i="36"/>
  <c r="S53" i="36"/>
  <c r="S49" i="36"/>
  <c r="S54" i="20"/>
  <c r="S49" i="20"/>
  <c r="S52" i="20"/>
  <c r="S50" i="20"/>
  <c r="S53" i="20"/>
  <c r="S51" i="20"/>
  <c r="BB54" i="37"/>
  <c r="BJ54" i="37"/>
  <c r="AY42" i="31"/>
  <c r="BG42" i="31"/>
  <c r="BA26" i="28"/>
  <c r="BI26" i="28"/>
  <c r="N35" i="15"/>
  <c r="N33" i="15"/>
  <c r="N36" i="15"/>
  <c r="N31" i="15"/>
  <c r="N34" i="15"/>
  <c r="N32" i="15"/>
  <c r="BI42" i="28"/>
  <c r="BA42" i="28"/>
  <c r="BB52" i="35"/>
  <c r="BJ52" i="35"/>
  <c r="BK33" i="28"/>
  <c r="BC33" i="28"/>
  <c r="BC24" i="31"/>
  <c r="BK24" i="31"/>
  <c r="BC22" i="19"/>
  <c r="BK22" i="19"/>
  <c r="BJ22" i="20"/>
  <c r="BB22" i="20"/>
  <c r="J44" i="15"/>
  <c r="J42" i="15"/>
  <c r="J45" i="15"/>
  <c r="J40" i="15"/>
  <c r="J43" i="15"/>
  <c r="J41" i="15"/>
  <c r="BC54" i="32"/>
  <c r="BK54" i="32"/>
  <c r="AX33" i="37"/>
  <c r="BF33" i="37"/>
  <c r="AZ43" i="37"/>
  <c r="BH43" i="37"/>
  <c r="BC23" i="29"/>
  <c r="BK23" i="29"/>
  <c r="BA33" i="21"/>
  <c r="BI33" i="21"/>
  <c r="F34" i="20"/>
  <c r="F32" i="20"/>
  <c r="F35" i="20"/>
  <c r="F33" i="20"/>
  <c r="F36" i="20"/>
  <c r="F31" i="20"/>
  <c r="BA44" i="13"/>
  <c r="BI44" i="13"/>
  <c r="BB22" i="10"/>
  <c r="BJ22" i="10"/>
  <c r="O45" i="41"/>
  <c r="O41" i="41"/>
  <c r="O44" i="41"/>
  <c r="O42" i="41"/>
  <c r="O43" i="41"/>
  <c r="O40" i="41"/>
  <c r="AY36" i="38"/>
  <c r="BG36" i="38"/>
  <c r="AA23" i="30"/>
  <c r="BC23" i="30" s="1"/>
  <c r="W49" i="25"/>
  <c r="O49" i="25"/>
  <c r="V49" i="16"/>
  <c r="V52" i="16"/>
  <c r="V50" i="16"/>
  <c r="V53" i="16"/>
  <c r="V51" i="16"/>
  <c r="V54" i="16"/>
  <c r="R45" i="40"/>
  <c r="R40" i="40"/>
  <c r="R43" i="40"/>
  <c r="R41" i="40"/>
  <c r="R44" i="40"/>
  <c r="R42" i="40"/>
  <c r="F39" i="35"/>
  <c r="G39" i="35"/>
  <c r="BC24" i="32"/>
  <c r="BK24" i="32"/>
  <c r="BA43" i="15"/>
  <c r="BI43" i="15"/>
  <c r="V52" i="41"/>
  <c r="V50" i="41"/>
  <c r="V53" i="41"/>
  <c r="V49" i="41"/>
  <c r="V54" i="41"/>
  <c r="V51" i="41"/>
  <c r="BC26" i="36"/>
  <c r="BK26" i="36"/>
  <c r="AZ43" i="10"/>
  <c r="BH43" i="10"/>
  <c r="AA31" i="11"/>
  <c r="F49" i="28"/>
  <c r="F52" i="28"/>
  <c r="F50" i="28"/>
  <c r="F53" i="28"/>
  <c r="F51" i="28"/>
  <c r="F54" i="28"/>
  <c r="BC36" i="36"/>
  <c r="BK36" i="36"/>
  <c r="BC44" i="31"/>
  <c r="BK44" i="31"/>
  <c r="R25" i="24"/>
  <c r="R23" i="24"/>
  <c r="R26" i="24"/>
  <c r="R24" i="24"/>
  <c r="R27" i="24"/>
  <c r="R22" i="24"/>
  <c r="BC36" i="32"/>
  <c r="BK36" i="32"/>
  <c r="K41" i="24"/>
  <c r="K44" i="24"/>
  <c r="K42" i="24"/>
  <c r="K45" i="24"/>
  <c r="K40" i="24"/>
  <c r="K43" i="24"/>
  <c r="G51" i="12"/>
  <c r="G54" i="12"/>
  <c r="G49" i="12"/>
  <c r="G52" i="12"/>
  <c r="G50" i="12"/>
  <c r="G53" i="12"/>
  <c r="F41" i="21"/>
  <c r="F44" i="21"/>
  <c r="F42" i="21"/>
  <c r="F45" i="21"/>
  <c r="F40" i="21"/>
  <c r="F43" i="21"/>
  <c r="N53" i="16"/>
  <c r="N51" i="16"/>
  <c r="N54" i="16"/>
  <c r="N49" i="16"/>
  <c r="N52" i="16"/>
  <c r="N50" i="16"/>
  <c r="BC23" i="39"/>
  <c r="BK23" i="39"/>
  <c r="O35" i="33"/>
  <c r="O33" i="33"/>
  <c r="O36" i="33"/>
  <c r="O31" i="33"/>
  <c r="O34" i="33"/>
  <c r="O32" i="33"/>
  <c r="AA49" i="31"/>
  <c r="BC49" i="31" s="1"/>
  <c r="G43" i="22"/>
  <c r="G41" i="22"/>
  <c r="G44" i="22"/>
  <c r="G42" i="22"/>
  <c r="G45" i="22"/>
  <c r="G40" i="22"/>
  <c r="N33" i="17"/>
  <c r="N36" i="17"/>
  <c r="N31" i="17"/>
  <c r="N34" i="17"/>
  <c r="N32" i="17"/>
  <c r="N35" i="17"/>
  <c r="BC51" i="11"/>
  <c r="BK51" i="11"/>
  <c r="BA41" i="34"/>
  <c r="BI41" i="34"/>
  <c r="R43" i="29"/>
  <c r="R41" i="29"/>
  <c r="R44" i="29"/>
  <c r="R42" i="29"/>
  <c r="R45" i="29"/>
  <c r="R40" i="29"/>
  <c r="O48" i="23"/>
  <c r="N48" i="23"/>
  <c r="V36" i="40"/>
  <c r="V31" i="40"/>
  <c r="V34" i="40"/>
  <c r="V32" i="40"/>
  <c r="V35" i="40"/>
  <c r="V33" i="40"/>
  <c r="F41" i="39"/>
  <c r="F44" i="39"/>
  <c r="F42" i="39"/>
  <c r="F45" i="39"/>
  <c r="F43" i="39"/>
  <c r="F40" i="39"/>
  <c r="BA51" i="34"/>
  <c r="BI51" i="34"/>
  <c r="BC41" i="24"/>
  <c r="BK41" i="24"/>
  <c r="S50" i="37"/>
  <c r="S53" i="37"/>
  <c r="S51" i="37"/>
  <c r="S54" i="37"/>
  <c r="S52" i="37"/>
  <c r="S49" i="37"/>
  <c r="BA27" i="31"/>
  <c r="BI27" i="31"/>
  <c r="BC33" i="29"/>
  <c r="BK33" i="29"/>
  <c r="BB51" i="25"/>
  <c r="BJ51" i="25"/>
  <c r="BB26" i="11"/>
  <c r="BJ26" i="11"/>
  <c r="AY36" i="32"/>
  <c r="BG36" i="32"/>
  <c r="BK41" i="37"/>
  <c r="BC41" i="37"/>
  <c r="AA51" i="27"/>
  <c r="AA54" i="27"/>
  <c r="AA52" i="27"/>
  <c r="AA50" i="27"/>
  <c r="AA49" i="27"/>
  <c r="AA53" i="27"/>
  <c r="BB35" i="25"/>
  <c r="BJ35" i="25"/>
  <c r="BC52" i="22"/>
  <c r="BK52" i="22"/>
  <c r="AY49" i="38"/>
  <c r="BG49" i="38"/>
  <c r="K50" i="11"/>
  <c r="K53" i="11"/>
  <c r="K51" i="11"/>
  <c r="K54" i="11"/>
  <c r="K49" i="11"/>
  <c r="K52" i="11"/>
  <c r="BC35" i="11"/>
  <c r="BK35" i="11"/>
  <c r="BH53" i="12"/>
  <c r="AZ53" i="12"/>
  <c r="BC41" i="11"/>
  <c r="BK41" i="11"/>
  <c r="R45" i="18"/>
  <c r="R43" i="18"/>
  <c r="R41" i="18"/>
  <c r="R44" i="18"/>
  <c r="R40" i="18"/>
  <c r="R42" i="18"/>
  <c r="V32" i="14"/>
  <c r="V35" i="14"/>
  <c r="V33" i="14"/>
  <c r="V36" i="14"/>
  <c r="V31" i="14"/>
  <c r="V34" i="14"/>
  <c r="N24" i="27"/>
  <c r="N27" i="27"/>
  <c r="N22" i="27"/>
  <c r="N25" i="27"/>
  <c r="N23" i="27"/>
  <c r="N26" i="27"/>
  <c r="R45" i="36"/>
  <c r="R40" i="36"/>
  <c r="R41" i="36"/>
  <c r="R43" i="36"/>
  <c r="R44" i="36"/>
  <c r="R42" i="36"/>
  <c r="R36" i="20"/>
  <c r="R31" i="20"/>
  <c r="R34" i="20"/>
  <c r="R32" i="20"/>
  <c r="R35" i="20"/>
  <c r="R33" i="20"/>
  <c r="BC34" i="31"/>
  <c r="BK34" i="31"/>
  <c r="V23" i="34"/>
  <c r="V26" i="34"/>
  <c r="V24" i="34"/>
  <c r="V27" i="34"/>
  <c r="V22" i="34"/>
  <c r="V25" i="34"/>
  <c r="BA26" i="33"/>
  <c r="BI26" i="33"/>
  <c r="V43" i="26"/>
  <c r="V41" i="26"/>
  <c r="V44" i="26"/>
  <c r="V42" i="26"/>
  <c r="V45" i="26"/>
  <c r="V40" i="26"/>
  <c r="F33" i="22"/>
  <c r="F36" i="22"/>
  <c r="F31" i="22"/>
  <c r="F34" i="22"/>
  <c r="F32" i="22"/>
  <c r="F35" i="22"/>
  <c r="N23" i="17"/>
  <c r="N26" i="17"/>
  <c r="N24" i="17"/>
  <c r="N27" i="17"/>
  <c r="N22" i="17"/>
  <c r="N25" i="17"/>
  <c r="O33" i="21"/>
  <c r="O36" i="21"/>
  <c r="O31" i="21"/>
  <c r="O34" i="21"/>
  <c r="O32" i="21"/>
  <c r="O35" i="21"/>
  <c r="BC23" i="11"/>
  <c r="BK23" i="11"/>
  <c r="AY23" i="31"/>
  <c r="BG23" i="31"/>
  <c r="BB33" i="37"/>
  <c r="BJ33" i="37"/>
  <c r="BA25" i="38"/>
  <c r="BI25" i="38"/>
  <c r="N44" i="22"/>
  <c r="N42" i="22"/>
  <c r="N45" i="22"/>
  <c r="N40" i="22"/>
  <c r="N43" i="22"/>
  <c r="N41" i="22"/>
  <c r="BC53" i="16"/>
  <c r="BK53" i="16"/>
  <c r="J41" i="40"/>
  <c r="J44" i="40"/>
  <c r="J45" i="40"/>
  <c r="J40" i="40"/>
  <c r="J43" i="40"/>
  <c r="J42" i="40"/>
  <c r="G21" i="42"/>
  <c r="F21" i="42"/>
  <c r="BF25" i="30"/>
  <c r="AX25" i="30"/>
  <c r="AA51" i="24"/>
  <c r="Z23" i="20"/>
  <c r="BC23" i="16"/>
  <c r="BK23" i="16"/>
  <c r="J33" i="14"/>
  <c r="J36" i="14"/>
  <c r="J31" i="14"/>
  <c r="J34" i="14"/>
  <c r="J32" i="14"/>
  <c r="J35" i="14"/>
  <c r="R22" i="42"/>
  <c r="BB34" i="30"/>
  <c r="BJ34" i="30"/>
  <c r="BC24" i="21"/>
  <c r="BK24" i="21"/>
  <c r="S21" i="22"/>
  <c r="R21" i="22"/>
  <c r="BC32" i="14"/>
  <c r="BK32" i="14"/>
  <c r="BA24" i="13"/>
  <c r="BI24" i="13"/>
  <c r="AY53" i="10"/>
  <c r="BG53" i="10"/>
  <c r="BI24" i="41"/>
  <c r="BA24" i="41"/>
  <c r="BB44" i="37"/>
  <c r="BJ44" i="37"/>
  <c r="BK42" i="38"/>
  <c r="BC42" i="38"/>
  <c r="R33" i="30"/>
  <c r="R36" i="30"/>
  <c r="R31" i="30"/>
  <c r="R34" i="30"/>
  <c r="R32" i="30"/>
  <c r="R35" i="30"/>
  <c r="BC43" i="20"/>
  <c r="BK43" i="20"/>
  <c r="AZ25" i="10"/>
  <c r="BH25" i="10"/>
  <c r="BC41" i="28"/>
  <c r="BK41" i="28"/>
  <c r="BC25" i="38"/>
  <c r="BK25" i="38"/>
  <c r="G54" i="32"/>
  <c r="G49" i="32"/>
  <c r="G52" i="32"/>
  <c r="G50" i="32"/>
  <c r="G53" i="32"/>
  <c r="G51" i="32"/>
  <c r="AY50" i="26"/>
  <c r="BG50" i="26"/>
  <c r="R42" i="24"/>
  <c r="R45" i="24"/>
  <c r="R40" i="24"/>
  <c r="R43" i="24"/>
  <c r="R41" i="24"/>
  <c r="R44" i="24"/>
  <c r="V53" i="15"/>
  <c r="V51" i="15"/>
  <c r="V49" i="15"/>
  <c r="V54" i="15"/>
  <c r="V52" i="15"/>
  <c r="V50" i="15"/>
  <c r="N43" i="42"/>
  <c r="N44" i="42"/>
  <c r="N40" i="42"/>
  <c r="N41" i="42"/>
  <c r="N45" i="42"/>
  <c r="N42" i="42"/>
  <c r="S24" i="20"/>
  <c r="S27" i="20"/>
  <c r="S22" i="20"/>
  <c r="S25" i="20"/>
  <c r="S23" i="20"/>
  <c r="S26" i="20"/>
  <c r="N42" i="15"/>
  <c r="N45" i="15"/>
  <c r="N40" i="15"/>
  <c r="N43" i="15"/>
  <c r="N41" i="15"/>
  <c r="N44" i="15"/>
  <c r="BI43" i="42"/>
  <c r="BA43" i="42"/>
  <c r="V49" i="42"/>
  <c r="BB27" i="37"/>
  <c r="BJ27" i="37"/>
  <c r="AZ34" i="37"/>
  <c r="BH34" i="37"/>
  <c r="AY54" i="31"/>
  <c r="BG54" i="31"/>
  <c r="AY44" i="29"/>
  <c r="BG44" i="29"/>
  <c r="BC24" i="25"/>
  <c r="BK24" i="25"/>
  <c r="R35" i="19"/>
  <c r="R33" i="19"/>
  <c r="R36" i="19"/>
  <c r="R31" i="19"/>
  <c r="R34" i="19"/>
  <c r="R32" i="19"/>
  <c r="F50" i="13"/>
  <c r="F53" i="13"/>
  <c r="F51" i="13"/>
  <c r="F54" i="13"/>
  <c r="F49" i="13"/>
  <c r="F52" i="13"/>
  <c r="AY27" i="38"/>
  <c r="BG27" i="38"/>
  <c r="BC33" i="22"/>
  <c r="BK33" i="22"/>
  <c r="O32" i="22"/>
  <c r="O35" i="22"/>
  <c r="O33" i="22"/>
  <c r="O36" i="22"/>
  <c r="O31" i="22"/>
  <c r="O34" i="22"/>
  <c r="O21" i="18"/>
  <c r="N21" i="18"/>
  <c r="J27" i="40"/>
  <c r="J24" i="40"/>
  <c r="J22" i="40"/>
  <c r="J26" i="40"/>
  <c r="J23" i="40"/>
  <c r="J25" i="40"/>
  <c r="R33" i="37"/>
  <c r="R36" i="37"/>
  <c r="R31" i="37"/>
  <c r="R34" i="37"/>
  <c r="R35" i="37"/>
  <c r="R32" i="37"/>
  <c r="G23" i="34"/>
  <c r="G26" i="34"/>
  <c r="G24" i="34"/>
  <c r="G27" i="34"/>
  <c r="G22" i="34"/>
  <c r="G25" i="34"/>
  <c r="G23" i="30"/>
  <c r="N39" i="26"/>
  <c r="O39" i="26"/>
  <c r="W24" i="22"/>
  <c r="W27" i="22"/>
  <c r="W22" i="22"/>
  <c r="W25" i="22"/>
  <c r="W23" i="22"/>
  <c r="W26" i="22"/>
  <c r="AA51" i="13"/>
  <c r="AA54" i="13"/>
  <c r="AA49" i="13"/>
  <c r="AA52" i="13"/>
  <c r="AA50" i="13"/>
  <c r="AA53" i="13"/>
  <c r="K26" i="14"/>
  <c r="K24" i="14"/>
  <c r="K27" i="14"/>
  <c r="K22" i="14"/>
  <c r="K25" i="14"/>
  <c r="K23" i="14"/>
  <c r="BB24" i="42"/>
  <c r="BJ24" i="42"/>
  <c r="G31" i="40"/>
  <c r="G34" i="40"/>
  <c r="G35" i="40"/>
  <c r="G33" i="40"/>
  <c r="G32" i="40"/>
  <c r="G36" i="40"/>
  <c r="BF49" i="37"/>
  <c r="AX49" i="37"/>
  <c r="AA32" i="30"/>
  <c r="AA43" i="27"/>
  <c r="AA41" i="27"/>
  <c r="AA44" i="27"/>
  <c r="AA42" i="27"/>
  <c r="AA45" i="27"/>
  <c r="AA40" i="27"/>
  <c r="BC52" i="34"/>
  <c r="BK52" i="34"/>
  <c r="BC43" i="32"/>
  <c r="BK43" i="32"/>
  <c r="J54" i="21"/>
  <c r="J49" i="21"/>
  <c r="J52" i="21"/>
  <c r="J50" i="21"/>
  <c r="J53" i="21"/>
  <c r="J51" i="21"/>
  <c r="BI54" i="15"/>
  <c r="BA54" i="15"/>
  <c r="J24" i="13"/>
  <c r="J27" i="13"/>
  <c r="J22" i="13"/>
  <c r="J25" i="13"/>
  <c r="J23" i="13"/>
  <c r="J26" i="13"/>
  <c r="AY43" i="32"/>
  <c r="BG43" i="32"/>
  <c r="S34" i="25"/>
  <c r="S32" i="25"/>
  <c r="S35" i="25"/>
  <c r="S33" i="25"/>
  <c r="S36" i="25"/>
  <c r="S31" i="25"/>
  <c r="F24" i="41"/>
  <c r="F25" i="41"/>
  <c r="F26" i="41"/>
  <c r="F22" i="41"/>
  <c r="F27" i="41"/>
  <c r="F23" i="41"/>
  <c r="R43" i="17"/>
  <c r="R41" i="17"/>
  <c r="R44" i="17"/>
  <c r="R42" i="17"/>
  <c r="R45" i="17"/>
  <c r="R40" i="17"/>
  <c r="N50" i="42"/>
  <c r="N54" i="42"/>
  <c r="N53" i="42"/>
  <c r="N49" i="42"/>
  <c r="N52" i="42"/>
  <c r="N51" i="42"/>
  <c r="N41" i="34"/>
  <c r="N44" i="34"/>
  <c r="N42" i="34"/>
  <c r="N45" i="34"/>
  <c r="N40" i="34"/>
  <c r="N43" i="34"/>
  <c r="AZ27" i="37"/>
  <c r="BH27" i="37"/>
  <c r="BG36" i="29"/>
  <c r="AY36" i="29"/>
  <c r="BB34" i="24"/>
  <c r="BJ34" i="24"/>
  <c r="BB54" i="21"/>
  <c r="BJ54" i="21"/>
  <c r="N45" i="17"/>
  <c r="N40" i="17"/>
  <c r="N43" i="17"/>
  <c r="N41" i="17"/>
  <c r="N44" i="17"/>
  <c r="N42" i="17"/>
  <c r="AZ35" i="12"/>
  <c r="BH35" i="12"/>
  <c r="BJ44" i="36"/>
  <c r="BB44" i="36"/>
  <c r="W52" i="31"/>
  <c r="W50" i="31"/>
  <c r="W53" i="31"/>
  <c r="W51" i="31"/>
  <c r="W49" i="31"/>
  <c r="W54" i="31"/>
  <c r="F40" i="13"/>
  <c r="F43" i="13"/>
  <c r="F41" i="13"/>
  <c r="F44" i="13"/>
  <c r="F42" i="13"/>
  <c r="F45" i="13"/>
  <c r="AX53" i="30"/>
  <c r="BF53" i="30"/>
  <c r="V50" i="30"/>
  <c r="F50" i="26"/>
  <c r="F53" i="26"/>
  <c r="F51" i="26"/>
  <c r="F54" i="26"/>
  <c r="F49" i="26"/>
  <c r="F52" i="26"/>
  <c r="AZ43" i="25"/>
  <c r="BH43" i="25"/>
  <c r="BB53" i="11"/>
  <c r="BJ53" i="11"/>
  <c r="R49" i="42"/>
  <c r="F49" i="34"/>
  <c r="F52" i="34"/>
  <c r="F50" i="34"/>
  <c r="F53" i="34"/>
  <c r="F51" i="34"/>
  <c r="F54" i="34"/>
  <c r="N50" i="32"/>
  <c r="N53" i="32"/>
  <c r="N51" i="32"/>
  <c r="N54" i="32"/>
  <c r="N49" i="32"/>
  <c r="N52" i="32"/>
  <c r="V23" i="28"/>
  <c r="V26" i="28"/>
  <c r="V24" i="28"/>
  <c r="V27" i="28"/>
  <c r="V22" i="28"/>
  <c r="V25" i="28"/>
  <c r="W21" i="19"/>
  <c r="V21" i="19"/>
  <c r="F25" i="40"/>
  <c r="F23" i="40"/>
  <c r="F24" i="40"/>
  <c r="F22" i="40"/>
  <c r="F27" i="40"/>
  <c r="F26" i="40"/>
  <c r="BA36" i="34"/>
  <c r="BI36" i="34"/>
  <c r="Z32" i="30"/>
  <c r="Z33" i="27"/>
  <c r="Z36" i="27"/>
  <c r="Z31" i="27"/>
  <c r="Z34" i="27"/>
  <c r="Z32" i="27"/>
  <c r="Z35" i="27"/>
  <c r="BC54" i="38"/>
  <c r="BK54" i="38"/>
  <c r="BA35" i="42"/>
  <c r="BI35" i="42"/>
  <c r="BC42" i="39"/>
  <c r="BK42" i="39"/>
  <c r="N23" i="36"/>
  <c r="N26" i="36"/>
  <c r="N24" i="36"/>
  <c r="N27" i="36"/>
  <c r="N22" i="36"/>
  <c r="N25" i="36"/>
  <c r="K42" i="21"/>
  <c r="K45" i="21"/>
  <c r="K40" i="21"/>
  <c r="K43" i="21"/>
  <c r="K41" i="21"/>
  <c r="K44" i="21"/>
  <c r="BC23" i="17"/>
  <c r="BK23" i="17"/>
  <c r="BC34" i="12"/>
  <c r="BK34" i="12"/>
  <c r="BB33" i="21"/>
  <c r="BJ33" i="21"/>
  <c r="BK31" i="19"/>
  <c r="BC31" i="19"/>
  <c r="K51" i="13"/>
  <c r="K54" i="13"/>
  <c r="K49" i="13"/>
  <c r="K52" i="13"/>
  <c r="K50" i="13"/>
  <c r="K53" i="13"/>
  <c r="BC24" i="42"/>
  <c r="BK24" i="42"/>
  <c r="BA54" i="41"/>
  <c r="BI54" i="41"/>
  <c r="AZ54" i="37"/>
  <c r="BH54" i="37"/>
  <c r="AY32" i="31"/>
  <c r="BG32" i="31"/>
  <c r="AY26" i="29"/>
  <c r="BG26" i="29"/>
  <c r="W23" i="14"/>
  <c r="W26" i="14"/>
  <c r="W24" i="14"/>
  <c r="W27" i="14"/>
  <c r="W22" i="14"/>
  <c r="W25" i="14"/>
  <c r="S42" i="27"/>
  <c r="S45" i="27"/>
  <c r="S40" i="27"/>
  <c r="S43" i="27"/>
  <c r="S41" i="27"/>
  <c r="S44" i="27"/>
  <c r="BK41" i="33"/>
  <c r="BC41" i="33"/>
  <c r="BH26" i="25"/>
  <c r="AZ26" i="25"/>
  <c r="R51" i="14"/>
  <c r="R54" i="14"/>
  <c r="R49" i="14"/>
  <c r="R52" i="14"/>
  <c r="R50" i="14"/>
  <c r="R53" i="14"/>
  <c r="BC52" i="25"/>
  <c r="BK52" i="25"/>
  <c r="AZ31" i="10"/>
  <c r="BH31" i="10"/>
  <c r="BA43" i="17" l="1"/>
  <c r="BI43" i="17"/>
  <c r="BI35" i="19"/>
  <c r="BA35" i="19"/>
  <c r="AZ44" i="22"/>
  <c r="BH44" i="22"/>
  <c r="AZ23" i="27"/>
  <c r="BH23" i="27"/>
  <c r="AZ51" i="16"/>
  <c r="BH51" i="16"/>
  <c r="BJ52" i="41"/>
  <c r="BB52" i="41"/>
  <c r="BB22" i="25"/>
  <c r="BJ22" i="25"/>
  <c r="BF52" i="15"/>
  <c r="AX52" i="15"/>
  <c r="AX40" i="34"/>
  <c r="BF40" i="34"/>
  <c r="BC45" i="27"/>
  <c r="BK45" i="27"/>
  <c r="BC50" i="27"/>
  <c r="BK50" i="27"/>
  <c r="AX42" i="22"/>
  <c r="BF42" i="22"/>
  <c r="AX22" i="28"/>
  <c r="BF22" i="28"/>
  <c r="AX25" i="29"/>
  <c r="BF25" i="29"/>
  <c r="AZ53" i="39"/>
  <c r="BH53" i="39"/>
  <c r="AY44" i="36"/>
  <c r="BG44" i="36"/>
  <c r="AZ53" i="28"/>
  <c r="BH53" i="28"/>
  <c r="AY24" i="15"/>
  <c r="BG24" i="15"/>
  <c r="BC49" i="18"/>
  <c r="BK49" i="18"/>
  <c r="AX31" i="23"/>
  <c r="BF31" i="23"/>
  <c r="BK25" i="18"/>
  <c r="BC25" i="18"/>
  <c r="BB52" i="26"/>
  <c r="BJ52" i="26"/>
  <c r="BA33" i="18"/>
  <c r="BI33" i="18"/>
  <c r="AY34" i="17"/>
  <c r="BG34" i="17"/>
  <c r="BK41" i="30"/>
  <c r="BC41" i="30"/>
  <c r="BA33" i="23"/>
  <c r="BI33" i="23"/>
  <c r="BC31" i="40"/>
  <c r="BK31" i="40"/>
  <c r="AX25" i="23"/>
  <c r="BF25" i="23"/>
  <c r="BA33" i="17"/>
  <c r="BI33" i="17"/>
  <c r="BC24" i="41"/>
  <c r="BK24" i="41"/>
  <c r="BH44" i="31"/>
  <c r="AZ44" i="31"/>
  <c r="BA27" i="30"/>
  <c r="BI27" i="30"/>
  <c r="BJ41" i="23"/>
  <c r="BB41" i="23"/>
  <c r="BG33" i="15"/>
  <c r="AY33" i="15"/>
  <c r="BA52" i="32"/>
  <c r="BI52" i="32"/>
  <c r="BB45" i="13"/>
  <c r="BJ45" i="13"/>
  <c r="AY51" i="33"/>
  <c r="BG51" i="33"/>
  <c r="BC51" i="40"/>
  <c r="BK51" i="40"/>
  <c r="BH52" i="29"/>
  <c r="AZ52" i="29"/>
  <c r="BH52" i="40"/>
  <c r="AZ52" i="40"/>
  <c r="AZ52" i="20"/>
  <c r="BH52" i="20"/>
  <c r="BA34" i="40"/>
  <c r="BI34" i="40"/>
  <c r="AZ26" i="41"/>
  <c r="BH26" i="41"/>
  <c r="BA33" i="26"/>
  <c r="BI33" i="26"/>
  <c r="AY49" i="28"/>
  <c r="BG49" i="28"/>
  <c r="BB42" i="17"/>
  <c r="BJ42" i="17"/>
  <c r="BB41" i="29"/>
  <c r="BJ41" i="29"/>
  <c r="AY32" i="21"/>
  <c r="BG32" i="21"/>
  <c r="AZ23" i="29"/>
  <c r="BH23" i="29"/>
  <c r="BB40" i="22"/>
  <c r="BJ40" i="22"/>
  <c r="BH54" i="41"/>
  <c r="AZ54" i="41"/>
  <c r="G23" i="11"/>
  <c r="G24" i="11"/>
  <c r="G27" i="11"/>
  <c r="G22" i="11"/>
  <c r="G25" i="11"/>
  <c r="G26" i="11"/>
  <c r="AY54" i="22"/>
  <c r="BG54" i="22"/>
  <c r="BA45" i="14"/>
  <c r="BI45" i="14"/>
  <c r="BI51" i="25"/>
  <c r="BA51" i="25"/>
  <c r="BA27" i="27"/>
  <c r="BI27" i="27"/>
  <c r="AZ34" i="29"/>
  <c r="BH34" i="29"/>
  <c r="BB49" i="29"/>
  <c r="BJ49" i="29"/>
  <c r="AX31" i="39"/>
  <c r="BF31" i="39"/>
  <c r="BB41" i="40"/>
  <c r="BJ41" i="40"/>
  <c r="AX49" i="24"/>
  <c r="BF49" i="24"/>
  <c r="BB42" i="33"/>
  <c r="BJ42" i="33"/>
  <c r="BA32" i="29"/>
  <c r="BI32" i="29"/>
  <c r="BB33" i="31"/>
  <c r="BJ33" i="31"/>
  <c r="AY33" i="25"/>
  <c r="BG33" i="25"/>
  <c r="BK31" i="11"/>
  <c r="BC31" i="11"/>
  <c r="AZ41" i="28"/>
  <c r="BH41" i="28"/>
  <c r="AZ35" i="14"/>
  <c r="BH35" i="14"/>
  <c r="BI49" i="11"/>
  <c r="BA49" i="11"/>
  <c r="BB52" i="14"/>
  <c r="BJ52" i="14"/>
  <c r="AZ34" i="20"/>
  <c r="BH34" i="20"/>
  <c r="AY35" i="18"/>
  <c r="BG35" i="18"/>
  <c r="BA27" i="39"/>
  <c r="BI27" i="39"/>
  <c r="AY53" i="19"/>
  <c r="BG53" i="19"/>
  <c r="AZ49" i="27"/>
  <c r="BH49" i="27"/>
  <c r="BC31" i="26"/>
  <c r="BK31" i="26"/>
  <c r="BG41" i="42"/>
  <c r="AY41" i="42"/>
  <c r="BB53" i="13"/>
  <c r="BJ53" i="13"/>
  <c r="BC50" i="23"/>
  <c r="BK50" i="23"/>
  <c r="AX24" i="26"/>
  <c r="BF24" i="26"/>
  <c r="AZ49" i="14"/>
  <c r="BH49" i="14"/>
  <c r="BA43" i="32"/>
  <c r="BI43" i="32"/>
  <c r="BA54" i="17"/>
  <c r="BI54" i="17"/>
  <c r="AX34" i="36"/>
  <c r="BF34" i="36"/>
  <c r="BA51" i="27"/>
  <c r="BI51" i="27"/>
  <c r="BB53" i="32"/>
  <c r="BJ53" i="32"/>
  <c r="F49" i="31"/>
  <c r="F52" i="31"/>
  <c r="F50" i="31"/>
  <c r="F53" i="31"/>
  <c r="F54" i="31"/>
  <c r="F51" i="31"/>
  <c r="BA51" i="40"/>
  <c r="BI51" i="40"/>
  <c r="BG34" i="40"/>
  <c r="AY34" i="40"/>
  <c r="AX45" i="26"/>
  <c r="BF45" i="26"/>
  <c r="BF31" i="41"/>
  <c r="AX31" i="41"/>
  <c r="BG53" i="42"/>
  <c r="AY53" i="42"/>
  <c r="BF35" i="32"/>
  <c r="AX35" i="32"/>
  <c r="BC40" i="13"/>
  <c r="BK40" i="13"/>
  <c r="BB26" i="40"/>
  <c r="BJ26" i="40"/>
  <c r="BA24" i="29"/>
  <c r="BI24" i="29"/>
  <c r="AZ53" i="11"/>
  <c r="BH53" i="11"/>
  <c r="BA49" i="12"/>
  <c r="BI49" i="12"/>
  <c r="BB23" i="23"/>
  <c r="BJ23" i="23"/>
  <c r="BA32" i="24"/>
  <c r="BI32" i="24"/>
  <c r="BG54" i="34"/>
  <c r="AY54" i="34"/>
  <c r="N45" i="18"/>
  <c r="N43" i="18"/>
  <c r="N41" i="18"/>
  <c r="N42" i="18"/>
  <c r="N44" i="18"/>
  <c r="N40" i="18"/>
  <c r="BJ52" i="34"/>
  <c r="BB52" i="34"/>
  <c r="AZ53" i="31"/>
  <c r="BH53" i="31"/>
  <c r="BA31" i="35"/>
  <c r="BI31" i="35"/>
  <c r="BB32" i="22"/>
  <c r="BJ32" i="22"/>
  <c r="AX27" i="18"/>
  <c r="BF27" i="18"/>
  <c r="AZ25" i="33"/>
  <c r="BH25" i="33"/>
  <c r="AX42" i="27"/>
  <c r="BF42" i="27"/>
  <c r="BA35" i="12"/>
  <c r="BI35" i="12"/>
  <c r="BF53" i="41"/>
  <c r="AX53" i="41"/>
  <c r="AX24" i="20"/>
  <c r="BF24" i="20"/>
  <c r="BB23" i="32"/>
  <c r="BJ23" i="32"/>
  <c r="BA25" i="36"/>
  <c r="BI25" i="36"/>
  <c r="BH32" i="27"/>
  <c r="AZ32" i="27"/>
  <c r="BA52" i="18"/>
  <c r="BI52" i="18"/>
  <c r="AX42" i="19"/>
  <c r="BF42" i="19"/>
  <c r="AY24" i="11"/>
  <c r="BG24" i="11"/>
  <c r="AZ22" i="40"/>
  <c r="BH22" i="40"/>
  <c r="AY23" i="27"/>
  <c r="BG23" i="27"/>
  <c r="F25" i="35"/>
  <c r="F23" i="35"/>
  <c r="F26" i="35"/>
  <c r="F24" i="35"/>
  <c r="F22" i="35"/>
  <c r="F27" i="35"/>
  <c r="AX26" i="10"/>
  <c r="BD26" i="10" s="1"/>
  <c r="AG10" i="10" s="1"/>
  <c r="BF26" i="10"/>
  <c r="BL26" i="10" s="1"/>
  <c r="AL10" i="10" s="1"/>
  <c r="BB34" i="32"/>
  <c r="BJ34" i="32"/>
  <c r="BC33" i="24"/>
  <c r="BK33" i="24"/>
  <c r="BH44" i="14"/>
  <c r="AZ44" i="14"/>
  <c r="BA22" i="11"/>
  <c r="BI22" i="11"/>
  <c r="BC43" i="35"/>
  <c r="BK43" i="35"/>
  <c r="BI32" i="32"/>
  <c r="BA32" i="32"/>
  <c r="AY44" i="35"/>
  <c r="BG44" i="35"/>
  <c r="AX49" i="38"/>
  <c r="BF49" i="38"/>
  <c r="BB36" i="33"/>
  <c r="BJ36" i="33"/>
  <c r="BF34" i="16"/>
  <c r="AX34" i="16"/>
  <c r="BF43" i="20"/>
  <c r="AX43" i="20"/>
  <c r="AY44" i="17"/>
  <c r="BG44" i="17"/>
  <c r="L2" i="57"/>
  <c r="L3" i="57"/>
  <c r="S2" i="6"/>
  <c r="S3" i="6"/>
  <c r="B50" i="54"/>
  <c r="A126" i="8" s="1"/>
  <c r="C126" i="8" s="1"/>
  <c r="E50" i="54"/>
  <c r="D50" i="54"/>
  <c r="E73" i="54"/>
  <c r="D73" i="54"/>
  <c r="B73" i="54"/>
  <c r="A97" i="8" s="1"/>
  <c r="C97" i="8" s="1"/>
  <c r="E91" i="54"/>
  <c r="D91" i="54"/>
  <c r="B91" i="54"/>
  <c r="A145" i="8" s="1"/>
  <c r="C145" i="8" s="1"/>
  <c r="E189" i="54"/>
  <c r="D189" i="54"/>
  <c r="B189" i="54"/>
  <c r="A203" i="8" s="1"/>
  <c r="C203" i="8" s="1"/>
  <c r="E95" i="54"/>
  <c r="D95" i="54"/>
  <c r="B95" i="54"/>
  <c r="A68" i="8" s="1"/>
  <c r="C68" i="8" s="1"/>
  <c r="E110" i="54"/>
  <c r="B110" i="54"/>
  <c r="A138" i="8" s="1"/>
  <c r="C138" i="8" s="1"/>
  <c r="D110" i="54"/>
  <c r="E53" i="54"/>
  <c r="D53" i="54"/>
  <c r="B53" i="54"/>
  <c r="A117" i="8" s="1"/>
  <c r="C117" i="8" s="1"/>
  <c r="E102" i="54"/>
  <c r="D102" i="54"/>
  <c r="B102" i="54"/>
  <c r="A69" i="8" s="1"/>
  <c r="C69" i="8" s="1"/>
  <c r="E176" i="54"/>
  <c r="D176" i="54"/>
  <c r="B176" i="54"/>
  <c r="A175" i="8" s="1"/>
  <c r="C175" i="8" s="1"/>
  <c r="E183" i="54"/>
  <c r="D183" i="54"/>
  <c r="B183" i="54"/>
  <c r="A221" i="8" s="1"/>
  <c r="C221" i="8" s="1"/>
  <c r="E181" i="54"/>
  <c r="D181" i="54"/>
  <c r="B181" i="54"/>
  <c r="A227" i="8" s="1"/>
  <c r="C227" i="8" s="1"/>
  <c r="B84" i="54"/>
  <c r="A130" i="8" s="1"/>
  <c r="C130" i="8" s="1"/>
  <c r="E84" i="54"/>
  <c r="D84" i="54"/>
  <c r="D143" i="54"/>
  <c r="B143" i="54"/>
  <c r="A158" i="8" s="1"/>
  <c r="C158" i="8" s="1"/>
  <c r="E143" i="54"/>
  <c r="B78" i="54"/>
  <c r="A112" i="8" s="1"/>
  <c r="C112" i="8" s="1"/>
  <c r="E78" i="54"/>
  <c r="D78" i="54"/>
  <c r="E130" i="54"/>
  <c r="D130" i="54"/>
  <c r="B130" i="54"/>
  <c r="A62" i="8" s="1"/>
  <c r="C62" i="8" s="1"/>
  <c r="E81" i="54"/>
  <c r="D81" i="54"/>
  <c r="B81" i="54"/>
  <c r="A121" i="8" s="1"/>
  <c r="C121" i="8" s="1"/>
  <c r="B99" i="54"/>
  <c r="A75" i="8" s="1"/>
  <c r="C75" i="8" s="1"/>
  <c r="E99" i="54"/>
  <c r="D99" i="54"/>
  <c r="E122" i="54"/>
  <c r="B122" i="54"/>
  <c r="A104" i="8" s="1"/>
  <c r="C104" i="8" s="1"/>
  <c r="D122" i="54"/>
  <c r="E124" i="54"/>
  <c r="D124" i="54"/>
  <c r="B124" i="54"/>
  <c r="A98" i="8" s="1"/>
  <c r="C98" i="8" s="1"/>
  <c r="B129" i="8"/>
  <c r="B131" i="8"/>
  <c r="B190" i="8"/>
  <c r="B120" i="8"/>
  <c r="B122" i="8"/>
  <c r="B230" i="8"/>
  <c r="B23" i="8"/>
  <c r="B136" i="8"/>
  <c r="B176" i="8"/>
  <c r="B45" i="8"/>
  <c r="B74" i="8"/>
  <c r="B151" i="8"/>
  <c r="B117" i="8"/>
  <c r="B119" i="8"/>
  <c r="B227" i="8"/>
  <c r="B40" i="8"/>
  <c r="B65" i="8"/>
  <c r="B186" i="8"/>
  <c r="B123" i="8"/>
  <c r="B125" i="8"/>
  <c r="B233" i="8"/>
  <c r="B114" i="8"/>
  <c r="B116" i="8"/>
  <c r="B224" i="8"/>
  <c r="AY50" i="41"/>
  <c r="BG50" i="41"/>
  <c r="AZ33" i="11"/>
  <c r="BH33" i="11"/>
  <c r="BA27" i="23"/>
  <c r="BI27" i="23"/>
  <c r="AY43" i="13"/>
  <c r="BG43" i="13"/>
  <c r="J44" i="23"/>
  <c r="J42" i="23"/>
  <c r="J45" i="23"/>
  <c r="J43" i="23"/>
  <c r="J41" i="23"/>
  <c r="J40" i="23"/>
  <c r="AZ51" i="36"/>
  <c r="BH51" i="36"/>
  <c r="AX44" i="29"/>
  <c r="BF44" i="29"/>
  <c r="AX52" i="16"/>
  <c r="BF52" i="16"/>
  <c r="AY50" i="37"/>
  <c r="BG50" i="37"/>
  <c r="BA54" i="19"/>
  <c r="BI54" i="19"/>
  <c r="BA53" i="35"/>
  <c r="BI53" i="35"/>
  <c r="AX40" i="33"/>
  <c r="BF40" i="33"/>
  <c r="BC32" i="20"/>
  <c r="BA27" i="25"/>
  <c r="BI27" i="25"/>
  <c r="BJ32" i="38"/>
  <c r="BB32" i="38"/>
  <c r="BB40" i="38"/>
  <c r="BJ40" i="38"/>
  <c r="BB23" i="29"/>
  <c r="BJ23" i="29"/>
  <c r="BG43" i="21"/>
  <c r="AY43" i="21"/>
  <c r="V35" i="19"/>
  <c r="V33" i="19"/>
  <c r="V36" i="19"/>
  <c r="V31" i="19"/>
  <c r="V34" i="19"/>
  <c r="V32" i="19"/>
  <c r="BA34" i="25"/>
  <c r="BI34" i="25"/>
  <c r="AZ33" i="28"/>
  <c r="BH33" i="28"/>
  <c r="AY53" i="35"/>
  <c r="BG53" i="35"/>
  <c r="AX44" i="28"/>
  <c r="BF44" i="28"/>
  <c r="BI40" i="30"/>
  <c r="BA40" i="30"/>
  <c r="AX51" i="40"/>
  <c r="BF51" i="40"/>
  <c r="AY42" i="14"/>
  <c r="BG42" i="14"/>
  <c r="AX40" i="10"/>
  <c r="BD40" i="10" s="1"/>
  <c r="AI6" i="10" s="1"/>
  <c r="BF40" i="10"/>
  <c r="BL40" i="10" s="1"/>
  <c r="AN6" i="10" s="1"/>
  <c r="AZ23" i="15"/>
  <c r="BH23" i="15"/>
  <c r="AX49" i="12"/>
  <c r="BF49" i="12"/>
  <c r="BF27" i="19"/>
  <c r="AX27" i="19"/>
  <c r="AX26" i="27"/>
  <c r="BF26" i="27"/>
  <c r="AX24" i="12"/>
  <c r="BF24" i="12"/>
  <c r="AX54" i="19"/>
  <c r="BF54" i="19"/>
  <c r="N41" i="24"/>
  <c r="N44" i="24"/>
  <c r="N42" i="24"/>
  <c r="N45" i="24"/>
  <c r="N40" i="24"/>
  <c r="N43" i="24"/>
  <c r="BG50" i="27"/>
  <c r="AY50" i="27"/>
  <c r="AY43" i="22"/>
  <c r="BG43" i="22"/>
  <c r="BB40" i="32"/>
  <c r="BJ40" i="32"/>
  <c r="AY52" i="15"/>
  <c r="BG52" i="15"/>
  <c r="BA31" i="11"/>
  <c r="BI31" i="11"/>
  <c r="AX26" i="33"/>
  <c r="BF26" i="33"/>
  <c r="BA36" i="36"/>
  <c r="BI36" i="36"/>
  <c r="BB33" i="29"/>
  <c r="BJ33" i="29"/>
  <c r="BC33" i="23"/>
  <c r="BK33" i="23"/>
  <c r="AX53" i="20"/>
  <c r="BF53" i="20"/>
  <c r="AX31" i="26"/>
  <c r="BF31" i="26"/>
  <c r="AY41" i="37"/>
  <c r="BG41" i="37"/>
  <c r="BC44" i="18"/>
  <c r="BK44" i="18"/>
  <c r="AZ45" i="32"/>
  <c r="BH45" i="32"/>
  <c r="BB49" i="39"/>
  <c r="BJ49" i="39"/>
  <c r="AZ34" i="31"/>
  <c r="BH34" i="31"/>
  <c r="AX49" i="36"/>
  <c r="BF49" i="36"/>
  <c r="AZ40" i="21"/>
  <c r="BH40" i="21"/>
  <c r="BK44" i="19"/>
  <c r="BK49" i="31"/>
  <c r="BC35" i="27"/>
  <c r="BK35" i="27"/>
  <c r="AX52" i="26"/>
  <c r="BF52" i="26"/>
  <c r="AZ40" i="34"/>
  <c r="BH40" i="34"/>
  <c r="AY53" i="21"/>
  <c r="BG53" i="21"/>
  <c r="BG27" i="40"/>
  <c r="AY27" i="40"/>
  <c r="BB50" i="15"/>
  <c r="BJ50" i="15"/>
  <c r="BA36" i="20"/>
  <c r="BI36" i="20"/>
  <c r="BB34" i="40"/>
  <c r="BJ34" i="40"/>
  <c r="BA44" i="40"/>
  <c r="BI44" i="40"/>
  <c r="AX41" i="12"/>
  <c r="BF41" i="12"/>
  <c r="AX34" i="40"/>
  <c r="BF34" i="40"/>
  <c r="BB24" i="22"/>
  <c r="BJ24" i="22"/>
  <c r="AX23" i="21"/>
  <c r="BF23" i="21"/>
  <c r="AY44" i="24"/>
  <c r="BG44" i="24"/>
  <c r="BJ24" i="39"/>
  <c r="BB24" i="39"/>
  <c r="BI51" i="20"/>
  <c r="BA51" i="20"/>
  <c r="BA24" i="26"/>
  <c r="BI24" i="26"/>
  <c r="AX35" i="12"/>
  <c r="BF35" i="12"/>
  <c r="AZ26" i="42"/>
  <c r="BH26" i="42"/>
  <c r="BA31" i="14"/>
  <c r="BI31" i="14"/>
  <c r="AZ49" i="17"/>
  <c r="BH49" i="17"/>
  <c r="BJ50" i="40"/>
  <c r="BB50" i="40"/>
  <c r="BG23" i="39"/>
  <c r="AY23" i="39"/>
  <c r="BB44" i="14"/>
  <c r="BJ44" i="14"/>
  <c r="AZ40" i="29"/>
  <c r="BH40" i="29"/>
  <c r="BF35" i="10"/>
  <c r="BL35" i="10" s="1"/>
  <c r="AM10" i="10" s="1"/>
  <c r="AX35" i="10"/>
  <c r="BD35" i="10" s="1"/>
  <c r="AH10" i="10" s="1"/>
  <c r="BB33" i="26"/>
  <c r="BJ33" i="26"/>
  <c r="AX22" i="38"/>
  <c r="BF22" i="38"/>
  <c r="BF34" i="34"/>
  <c r="AX34" i="34"/>
  <c r="AX53" i="23"/>
  <c r="BF53" i="23"/>
  <c r="BC32" i="41"/>
  <c r="BK32" i="41"/>
  <c r="BC42" i="41"/>
  <c r="BK42" i="41"/>
  <c r="BA25" i="12"/>
  <c r="BI25" i="12"/>
  <c r="AZ33" i="38"/>
  <c r="BH33" i="38"/>
  <c r="AY36" i="35"/>
  <c r="BG36" i="35"/>
  <c r="AY41" i="39"/>
  <c r="BG41" i="39"/>
  <c r="BG26" i="36"/>
  <c r="AY26" i="36"/>
  <c r="AY54" i="36"/>
  <c r="BG54" i="36"/>
  <c r="AY32" i="42"/>
  <c r="BG32" i="42"/>
  <c r="BB33" i="16"/>
  <c r="BJ33" i="16"/>
  <c r="AX45" i="16"/>
  <c r="BF45" i="16"/>
  <c r="AZ26" i="31"/>
  <c r="BH26" i="31"/>
  <c r="AZ35" i="34"/>
  <c r="BH35" i="34"/>
  <c r="AY52" i="14"/>
  <c r="BG52" i="14"/>
  <c r="AX23" i="16"/>
  <c r="BF23" i="16"/>
  <c r="AZ50" i="21"/>
  <c r="BH50" i="21"/>
  <c r="AX53" i="33"/>
  <c r="BF53" i="33"/>
  <c r="BI25" i="18"/>
  <c r="BA25" i="18"/>
  <c r="BA50" i="29"/>
  <c r="BI50" i="29"/>
  <c r="AY40" i="28"/>
  <c r="BG40" i="28"/>
  <c r="BA42" i="37"/>
  <c r="BI42" i="37"/>
  <c r="BH36" i="39"/>
  <c r="AZ36" i="39"/>
  <c r="AY41" i="33"/>
  <c r="BG41" i="33"/>
  <c r="BA50" i="14"/>
  <c r="BI50" i="14"/>
  <c r="AZ23" i="36"/>
  <c r="BH23" i="36"/>
  <c r="BC32" i="27"/>
  <c r="BK32" i="27"/>
  <c r="AX26" i="40"/>
  <c r="BF26" i="40"/>
  <c r="BB25" i="28"/>
  <c r="BJ25" i="28"/>
  <c r="AZ54" i="32"/>
  <c r="BH54" i="32"/>
  <c r="AX52" i="34"/>
  <c r="BF52" i="34"/>
  <c r="BF49" i="26"/>
  <c r="AX49" i="26"/>
  <c r="AX45" i="13"/>
  <c r="BF45" i="13"/>
  <c r="AZ42" i="17"/>
  <c r="BH42" i="17"/>
  <c r="AZ45" i="34"/>
  <c r="BH45" i="34"/>
  <c r="AZ54" i="42"/>
  <c r="BH54" i="42"/>
  <c r="BF23" i="41"/>
  <c r="AX23" i="41"/>
  <c r="AY25" i="13"/>
  <c r="BG25" i="13"/>
  <c r="BG50" i="21"/>
  <c r="AY50" i="21"/>
  <c r="BI36" i="37"/>
  <c r="BA36" i="37"/>
  <c r="N25" i="18"/>
  <c r="N23" i="18"/>
  <c r="N27" i="18"/>
  <c r="N24" i="18"/>
  <c r="N22" i="18"/>
  <c r="N26" i="18"/>
  <c r="AX53" i="13"/>
  <c r="BF53" i="13"/>
  <c r="AZ40" i="15"/>
  <c r="BH40" i="15"/>
  <c r="BB52" i="15"/>
  <c r="BJ52" i="15"/>
  <c r="BA40" i="24"/>
  <c r="BI40" i="24"/>
  <c r="BI33" i="30"/>
  <c r="BA33" i="30"/>
  <c r="AY36" i="14"/>
  <c r="BG36" i="14"/>
  <c r="F22" i="42"/>
  <c r="F25" i="42"/>
  <c r="F23" i="42"/>
  <c r="F26" i="42"/>
  <c r="F24" i="42"/>
  <c r="F27" i="42"/>
  <c r="AZ27" i="17"/>
  <c r="BH27" i="17"/>
  <c r="AX36" i="22"/>
  <c r="BF36" i="22"/>
  <c r="BA42" i="36"/>
  <c r="BI42" i="36"/>
  <c r="BH25" i="27"/>
  <c r="AZ25" i="27"/>
  <c r="BJ35" i="14"/>
  <c r="BB35" i="14"/>
  <c r="BF45" i="39"/>
  <c r="AX45" i="39"/>
  <c r="BJ31" i="40"/>
  <c r="BB31" i="40"/>
  <c r="BI41" i="29"/>
  <c r="BA41" i="29"/>
  <c r="AZ34" i="17"/>
  <c r="BH34" i="17"/>
  <c r="AZ53" i="16"/>
  <c r="BH53" i="16"/>
  <c r="BA26" i="24"/>
  <c r="BI26" i="24"/>
  <c r="AX51" i="28"/>
  <c r="BF51" i="28"/>
  <c r="BA41" i="40"/>
  <c r="BI41" i="40"/>
  <c r="BJ52" i="16"/>
  <c r="BB52" i="16"/>
  <c r="AZ35" i="15"/>
  <c r="BH35" i="15"/>
  <c r="O32" i="24"/>
  <c r="O35" i="24"/>
  <c r="O33" i="24"/>
  <c r="O36" i="24"/>
  <c r="O31" i="24"/>
  <c r="O34" i="24"/>
  <c r="AZ36" i="40"/>
  <c r="BH36" i="40"/>
  <c r="F41" i="17"/>
  <c r="F44" i="17"/>
  <c r="F42" i="17"/>
  <c r="F45" i="17"/>
  <c r="F40" i="17"/>
  <c r="F43" i="17"/>
  <c r="BC50" i="35"/>
  <c r="BK50" i="35"/>
  <c r="BB24" i="13"/>
  <c r="BJ24" i="13"/>
  <c r="BH45" i="36"/>
  <c r="AZ45" i="36"/>
  <c r="AX35" i="29"/>
  <c r="BF35" i="29"/>
  <c r="AX53" i="10"/>
  <c r="BD53" i="10" s="1"/>
  <c r="AJ10" i="10" s="1"/>
  <c r="BF53" i="10"/>
  <c r="BL53" i="10" s="1"/>
  <c r="AO10" i="10" s="1"/>
  <c r="BA43" i="39"/>
  <c r="BI43" i="39"/>
  <c r="AX33" i="33"/>
  <c r="BF33" i="33"/>
  <c r="BC27" i="35"/>
  <c r="BK27" i="35"/>
  <c r="BH25" i="34"/>
  <c r="AZ25" i="34"/>
  <c r="AZ36" i="42"/>
  <c r="BH36" i="42"/>
  <c r="AX49" i="15"/>
  <c r="BF49" i="15"/>
  <c r="BJ36" i="13"/>
  <c r="BB36" i="13"/>
  <c r="AX34" i="38"/>
  <c r="BF34" i="38"/>
  <c r="BK42" i="23"/>
  <c r="BC42" i="23"/>
  <c r="AY34" i="41"/>
  <c r="BG34" i="41"/>
  <c r="BB54" i="28"/>
  <c r="BJ54" i="28"/>
  <c r="AX45" i="34"/>
  <c r="BF45" i="34"/>
  <c r="AY33" i="37"/>
  <c r="BG33" i="37"/>
  <c r="BB22" i="14"/>
  <c r="BJ22" i="14"/>
  <c r="BJ52" i="31"/>
  <c r="BB52" i="31"/>
  <c r="AX54" i="21"/>
  <c r="BF54" i="21"/>
  <c r="BC42" i="27"/>
  <c r="BK42" i="27"/>
  <c r="AX33" i="40"/>
  <c r="BF33" i="40"/>
  <c r="AY22" i="14"/>
  <c r="BG22" i="14"/>
  <c r="BC54" i="13"/>
  <c r="BK54" i="13"/>
  <c r="BB26" i="22"/>
  <c r="BJ26" i="22"/>
  <c r="AX24" i="34"/>
  <c r="BF24" i="34"/>
  <c r="O49" i="18"/>
  <c r="O53" i="18"/>
  <c r="O51" i="18"/>
  <c r="O50" i="18"/>
  <c r="O54" i="18"/>
  <c r="O52" i="18"/>
  <c r="AX25" i="21"/>
  <c r="BF25" i="21"/>
  <c r="BJ32" i="23"/>
  <c r="BB32" i="23"/>
  <c r="AX51" i="32"/>
  <c r="BF51" i="32"/>
  <c r="BC24" i="24"/>
  <c r="BK24" i="24"/>
  <c r="BC52" i="27"/>
  <c r="BK52" i="27"/>
  <c r="BA51" i="37"/>
  <c r="BI51" i="37"/>
  <c r="N42" i="23"/>
  <c r="N40" i="23"/>
  <c r="N43" i="23"/>
  <c r="N41" i="23"/>
  <c r="N44" i="23"/>
  <c r="N45" i="23"/>
  <c r="AX44" i="22"/>
  <c r="BF44" i="22"/>
  <c r="AZ35" i="33"/>
  <c r="BH35" i="33"/>
  <c r="AY41" i="24"/>
  <c r="BG41" i="24"/>
  <c r="BG24" i="25"/>
  <c r="AY24" i="25"/>
  <c r="AX44" i="18"/>
  <c r="BF44" i="18"/>
  <c r="BA54" i="36"/>
  <c r="BI54" i="36"/>
  <c r="BH52" i="13"/>
  <c r="AZ52" i="13"/>
  <c r="BF27" i="28"/>
  <c r="AX27" i="28"/>
  <c r="AZ42" i="20"/>
  <c r="BH42" i="20"/>
  <c r="BB26" i="16"/>
  <c r="BJ26" i="16"/>
  <c r="AX22" i="29"/>
  <c r="BF22" i="29"/>
  <c r="AZ52" i="38"/>
  <c r="BH52" i="38"/>
  <c r="BJ31" i="39"/>
  <c r="BB31" i="39"/>
  <c r="BA26" i="26"/>
  <c r="BI26" i="26"/>
  <c r="BB31" i="17"/>
  <c r="BJ31" i="17"/>
  <c r="BF40" i="23"/>
  <c r="AX40" i="23"/>
  <c r="AX32" i="12"/>
  <c r="BF32" i="12"/>
  <c r="AY35" i="27"/>
  <c r="BG35" i="27"/>
  <c r="BH44" i="40"/>
  <c r="AZ44" i="40"/>
  <c r="F49" i="11"/>
  <c r="F52" i="11"/>
  <c r="F50" i="11"/>
  <c r="F53" i="11"/>
  <c r="F51" i="11"/>
  <c r="F54" i="11"/>
  <c r="AY43" i="41"/>
  <c r="BG43" i="41"/>
  <c r="AY31" i="12"/>
  <c r="BG31" i="12"/>
  <c r="AZ22" i="16"/>
  <c r="BH22" i="16"/>
  <c r="BA36" i="14"/>
  <c r="BI36" i="14"/>
  <c r="AX33" i="15"/>
  <c r="BF33" i="15"/>
  <c r="AZ26" i="28"/>
  <c r="BH26" i="28"/>
  <c r="AZ32" i="36"/>
  <c r="BH32" i="36"/>
  <c r="AZ22" i="21"/>
  <c r="BH22" i="21"/>
  <c r="AZ54" i="17"/>
  <c r="BH54" i="17"/>
  <c r="BH50" i="39"/>
  <c r="AZ50" i="39"/>
  <c r="AX51" i="39"/>
  <c r="BF51" i="39"/>
  <c r="AZ42" i="16"/>
  <c r="BH42" i="16"/>
  <c r="AX34" i="21"/>
  <c r="BF34" i="21"/>
  <c r="AZ32" i="30"/>
  <c r="BH32" i="30"/>
  <c r="BC42" i="24"/>
  <c r="BK42" i="24"/>
  <c r="AY25" i="39"/>
  <c r="BG25" i="39"/>
  <c r="AX52" i="27"/>
  <c r="BF52" i="27"/>
  <c r="BH45" i="19"/>
  <c r="AZ45" i="19"/>
  <c r="AY45" i="36"/>
  <c r="BG45" i="36"/>
  <c r="BB41" i="14"/>
  <c r="BJ41" i="14"/>
  <c r="BG44" i="34"/>
  <c r="AY44" i="34"/>
  <c r="BB23" i="20"/>
  <c r="BJ23" i="20"/>
  <c r="AY27" i="24"/>
  <c r="BG27" i="24"/>
  <c r="AZ45" i="29"/>
  <c r="BH45" i="29"/>
  <c r="BJ34" i="41"/>
  <c r="BB34" i="41"/>
  <c r="AX32" i="10"/>
  <c r="BD32" i="10" s="1"/>
  <c r="AH7" i="10" s="1"/>
  <c r="BF32" i="10"/>
  <c r="BL32" i="10" s="1"/>
  <c r="AM7" i="10" s="1"/>
  <c r="BA51" i="16"/>
  <c r="BI51" i="16"/>
  <c r="BI36" i="39"/>
  <c r="BA36" i="39"/>
  <c r="BB35" i="26"/>
  <c r="BJ35" i="26"/>
  <c r="AY41" i="11"/>
  <c r="BG41" i="11"/>
  <c r="AX27" i="38"/>
  <c r="BF27" i="38"/>
  <c r="AX31" i="34"/>
  <c r="BF31" i="34"/>
  <c r="AX23" i="13"/>
  <c r="BF23" i="13"/>
  <c r="BG26" i="15"/>
  <c r="AY26" i="15"/>
  <c r="AY32" i="19"/>
  <c r="BG32" i="19"/>
  <c r="AY49" i="17"/>
  <c r="BG49" i="17"/>
  <c r="AZ34" i="13"/>
  <c r="BH34" i="13"/>
  <c r="AY45" i="27"/>
  <c r="BG45" i="27"/>
  <c r="BC34" i="13"/>
  <c r="BK34" i="13"/>
  <c r="BC36" i="41"/>
  <c r="BK36" i="41"/>
  <c r="AX36" i="13"/>
  <c r="BF36" i="13"/>
  <c r="BA40" i="26"/>
  <c r="BI40" i="26"/>
  <c r="BI25" i="14"/>
  <c r="BA25" i="14"/>
  <c r="AX25" i="32"/>
  <c r="BF25" i="32"/>
  <c r="BC50" i="18"/>
  <c r="BK50" i="18"/>
  <c r="BF36" i="23"/>
  <c r="AX36" i="23"/>
  <c r="BK27" i="18"/>
  <c r="BC27" i="18"/>
  <c r="BG22" i="41"/>
  <c r="AY22" i="41"/>
  <c r="BB35" i="28"/>
  <c r="BJ35" i="28"/>
  <c r="BK45" i="41"/>
  <c r="BC45" i="41"/>
  <c r="BA22" i="12"/>
  <c r="BI22" i="12"/>
  <c r="BI44" i="25"/>
  <c r="BA44" i="25"/>
  <c r="BF34" i="19"/>
  <c r="AX34" i="19"/>
  <c r="AY33" i="13"/>
  <c r="BG33" i="13"/>
  <c r="BB49" i="26"/>
  <c r="BJ49" i="26"/>
  <c r="BB36" i="34"/>
  <c r="BJ36" i="34"/>
  <c r="BA54" i="24"/>
  <c r="BI54" i="24"/>
  <c r="BI32" i="18"/>
  <c r="BA32" i="18"/>
  <c r="AY33" i="35"/>
  <c r="BG33" i="35"/>
  <c r="BB23" i="33"/>
  <c r="BJ23" i="33"/>
  <c r="AZ40" i="38"/>
  <c r="BH40" i="38"/>
  <c r="AY43" i="39"/>
  <c r="BG43" i="39"/>
  <c r="BB26" i="26"/>
  <c r="BJ26" i="26"/>
  <c r="AY31" i="17"/>
  <c r="BG31" i="17"/>
  <c r="AY23" i="36"/>
  <c r="BG23" i="36"/>
  <c r="AX24" i="36"/>
  <c r="BF24" i="36"/>
  <c r="BG44" i="25"/>
  <c r="AY44" i="25"/>
  <c r="AY53" i="18"/>
  <c r="BG53" i="18"/>
  <c r="BA36" i="23"/>
  <c r="BI36" i="23"/>
  <c r="BG53" i="36"/>
  <c r="AY53" i="36"/>
  <c r="AZ22" i="13"/>
  <c r="BH22" i="13"/>
  <c r="AY34" i="42"/>
  <c r="BG34" i="42"/>
  <c r="BC22" i="13"/>
  <c r="BK22" i="13"/>
  <c r="BB35" i="16"/>
  <c r="BJ35" i="16"/>
  <c r="AX42" i="16"/>
  <c r="BF42" i="16"/>
  <c r="BC32" i="40"/>
  <c r="BK32" i="40"/>
  <c r="AZ23" i="31"/>
  <c r="BH23" i="31"/>
  <c r="BA24" i="17"/>
  <c r="BI24" i="17"/>
  <c r="G36" i="11"/>
  <c r="G31" i="11"/>
  <c r="G34" i="11"/>
  <c r="G32" i="11"/>
  <c r="G35" i="11"/>
  <c r="G33" i="11"/>
  <c r="AY27" i="12"/>
  <c r="BG27" i="12"/>
  <c r="BH32" i="34"/>
  <c r="AZ32" i="34"/>
  <c r="BF22" i="23"/>
  <c r="AX22" i="23"/>
  <c r="AY25" i="28"/>
  <c r="BG25" i="28"/>
  <c r="BJ51" i="17"/>
  <c r="BB51" i="17"/>
  <c r="BA35" i="17"/>
  <c r="BI35" i="17"/>
  <c r="BB52" i="22"/>
  <c r="BJ52" i="22"/>
  <c r="BG35" i="22"/>
  <c r="AY35" i="22"/>
  <c r="BC23" i="41"/>
  <c r="BK23" i="41"/>
  <c r="AZ27" i="22"/>
  <c r="BH27" i="22"/>
  <c r="AZ50" i="30"/>
  <c r="BH50" i="30"/>
  <c r="AX24" i="39"/>
  <c r="BF24" i="39"/>
  <c r="AZ52" i="21"/>
  <c r="BH52" i="21"/>
  <c r="BK41" i="40"/>
  <c r="BC41" i="40"/>
  <c r="AY31" i="28"/>
  <c r="BG31" i="28"/>
  <c r="AX50" i="33"/>
  <c r="BF50" i="33"/>
  <c r="AZ41" i="31"/>
  <c r="BH41" i="31"/>
  <c r="BB42" i="15"/>
  <c r="BJ42" i="15"/>
  <c r="BI27" i="18"/>
  <c r="BA27" i="18"/>
  <c r="BA31" i="27"/>
  <c r="BI31" i="27"/>
  <c r="BA24" i="30"/>
  <c r="BI24" i="30"/>
  <c r="G23" i="14"/>
  <c r="G26" i="14"/>
  <c r="G24" i="14"/>
  <c r="G27" i="14"/>
  <c r="G22" i="14"/>
  <c r="G25" i="14"/>
  <c r="BI51" i="29"/>
  <c r="BA51" i="29"/>
  <c r="BB26" i="31"/>
  <c r="BJ26" i="31"/>
  <c r="AX24" i="22"/>
  <c r="BF24" i="22"/>
  <c r="AZ51" i="33"/>
  <c r="BH51" i="33"/>
  <c r="BF34" i="27"/>
  <c r="AX34" i="27"/>
  <c r="BH32" i="16"/>
  <c r="AZ32" i="16"/>
  <c r="AX40" i="40"/>
  <c r="BF40" i="40"/>
  <c r="BA44" i="37"/>
  <c r="BI44" i="37"/>
  <c r="AZ31" i="39"/>
  <c r="BH31" i="39"/>
  <c r="AY52" i="12"/>
  <c r="BG52" i="12"/>
  <c r="AZ31" i="19"/>
  <c r="BH31" i="19"/>
  <c r="BB43" i="23"/>
  <c r="BJ43" i="23"/>
  <c r="AZ49" i="25"/>
  <c r="BH49" i="25"/>
  <c r="AY35" i="15"/>
  <c r="BG35" i="15"/>
  <c r="BA40" i="20"/>
  <c r="BI40" i="20"/>
  <c r="BA49" i="32"/>
  <c r="BI49" i="32"/>
  <c r="BI41" i="12"/>
  <c r="BA41" i="12"/>
  <c r="BC53" i="26"/>
  <c r="BK53" i="26"/>
  <c r="BC22" i="26"/>
  <c r="BK22" i="26"/>
  <c r="AY25" i="42"/>
  <c r="BG25" i="42"/>
  <c r="BB45" i="12"/>
  <c r="BJ45" i="12"/>
  <c r="BB42" i="13"/>
  <c r="BJ42" i="13"/>
  <c r="BA53" i="30"/>
  <c r="BI53" i="30"/>
  <c r="K23" i="20"/>
  <c r="K26" i="20"/>
  <c r="K24" i="20"/>
  <c r="K27" i="20"/>
  <c r="K22" i="20"/>
  <c r="K25" i="20"/>
  <c r="BA41" i="16"/>
  <c r="BI41" i="16"/>
  <c r="BG23" i="21"/>
  <c r="AY23" i="21"/>
  <c r="AZ49" i="29"/>
  <c r="BH49" i="29"/>
  <c r="AZ49" i="40"/>
  <c r="BH49" i="40"/>
  <c r="AZ49" i="20"/>
  <c r="BH49" i="20"/>
  <c r="BI36" i="40"/>
  <c r="BA36" i="40"/>
  <c r="BH25" i="41"/>
  <c r="AZ25" i="41"/>
  <c r="AY44" i="18"/>
  <c r="BG44" i="18"/>
  <c r="AY54" i="28"/>
  <c r="BG54" i="28"/>
  <c r="BJ44" i="17"/>
  <c r="BB44" i="17"/>
  <c r="AX45" i="36"/>
  <c r="BF45" i="36"/>
  <c r="BB22" i="41"/>
  <c r="BJ22" i="41"/>
  <c r="AY26" i="22"/>
  <c r="BG26" i="22"/>
  <c r="AY51" i="22"/>
  <c r="BG51" i="22"/>
  <c r="BA42" i="14"/>
  <c r="BI42" i="14"/>
  <c r="BA53" i="25"/>
  <c r="BI53" i="25"/>
  <c r="BA24" i="27"/>
  <c r="BI24" i="27"/>
  <c r="BH31" i="29"/>
  <c r="AZ31" i="29"/>
  <c r="AX35" i="24"/>
  <c r="BF35" i="24"/>
  <c r="AX53" i="29"/>
  <c r="BF53" i="29"/>
  <c r="BB53" i="29"/>
  <c r="BJ53" i="29"/>
  <c r="AX36" i="39"/>
  <c r="BF36" i="39"/>
  <c r="BJ43" i="40"/>
  <c r="BB43" i="40"/>
  <c r="AX54" i="24"/>
  <c r="BF54" i="24"/>
  <c r="BB44" i="33"/>
  <c r="BJ44" i="33"/>
  <c r="BI34" i="29"/>
  <c r="BA34" i="29"/>
  <c r="BJ35" i="31"/>
  <c r="BB35" i="31"/>
  <c r="AY35" i="25"/>
  <c r="BG35" i="25"/>
  <c r="AZ32" i="14"/>
  <c r="BH32" i="14"/>
  <c r="BA54" i="11"/>
  <c r="BI54" i="11"/>
  <c r="BJ49" i="14"/>
  <c r="BB49" i="14"/>
  <c r="AY31" i="33"/>
  <c r="BG31" i="33"/>
  <c r="BH31" i="20"/>
  <c r="AZ31" i="20"/>
  <c r="AY31" i="18"/>
  <c r="BG31" i="18"/>
  <c r="BA24" i="39"/>
  <c r="BI24" i="39"/>
  <c r="AY50" i="19"/>
  <c r="BG50" i="19"/>
  <c r="AZ50" i="27"/>
  <c r="BH50" i="27"/>
  <c r="BC36" i="26"/>
  <c r="BK36" i="26"/>
  <c r="BG45" i="42"/>
  <c r="AY45" i="42"/>
  <c r="BJ50" i="13"/>
  <c r="BB50" i="13"/>
  <c r="BC52" i="23"/>
  <c r="BK52" i="23"/>
  <c r="AZ54" i="14"/>
  <c r="BH54" i="14"/>
  <c r="BA40" i="32"/>
  <c r="BI40" i="32"/>
  <c r="BA51" i="17"/>
  <c r="BI51" i="17"/>
  <c r="AX31" i="36"/>
  <c r="BF31" i="36"/>
  <c r="BC50" i="30"/>
  <c r="BK50" i="30"/>
  <c r="BA53" i="27"/>
  <c r="BI53" i="27"/>
  <c r="BB50" i="32"/>
  <c r="BJ50" i="32"/>
  <c r="G52" i="31"/>
  <c r="G50" i="31"/>
  <c r="G53" i="31"/>
  <c r="G51" i="31"/>
  <c r="G49" i="31"/>
  <c r="G54" i="31"/>
  <c r="BI50" i="40"/>
  <c r="BA50" i="40"/>
  <c r="BF42" i="26"/>
  <c r="AX42" i="26"/>
  <c r="BA52" i="39"/>
  <c r="BI52" i="39"/>
  <c r="BC53" i="41"/>
  <c r="BK53" i="41"/>
  <c r="AY50" i="42"/>
  <c r="BG50" i="42"/>
  <c r="AZ43" i="11"/>
  <c r="BH43" i="11"/>
  <c r="J26" i="16"/>
  <c r="J24" i="16"/>
  <c r="J27" i="16"/>
  <c r="J22" i="16"/>
  <c r="J25" i="16"/>
  <c r="J23" i="16"/>
  <c r="BC45" i="13"/>
  <c r="BK45" i="13"/>
  <c r="BB23" i="40"/>
  <c r="BJ23" i="40"/>
  <c r="BA50" i="23"/>
  <c r="BI50" i="23"/>
  <c r="BA54" i="12"/>
  <c r="BI54" i="12"/>
  <c r="BJ25" i="23"/>
  <c r="BB25" i="23"/>
  <c r="BB53" i="38"/>
  <c r="BJ53" i="38"/>
  <c r="G42" i="14"/>
  <c r="G45" i="14"/>
  <c r="G40" i="14"/>
  <c r="G43" i="14"/>
  <c r="G41" i="14"/>
  <c r="G44" i="14"/>
  <c r="BJ51" i="18"/>
  <c r="BB51" i="18"/>
  <c r="BB54" i="34"/>
  <c r="BJ54" i="34"/>
  <c r="AZ27" i="19"/>
  <c r="BH27" i="19"/>
  <c r="BA33" i="35"/>
  <c r="BI33" i="35"/>
  <c r="BB34" i="22"/>
  <c r="BJ34" i="22"/>
  <c r="F32" i="42"/>
  <c r="F35" i="42"/>
  <c r="F33" i="42"/>
  <c r="F36" i="42"/>
  <c r="F31" i="42"/>
  <c r="F34" i="42"/>
  <c r="AZ51" i="15"/>
  <c r="BH51" i="15"/>
  <c r="BA32" i="12"/>
  <c r="BI32" i="12"/>
  <c r="AX50" i="41"/>
  <c r="BF50" i="41"/>
  <c r="BF26" i="20"/>
  <c r="AX26" i="20"/>
  <c r="BB25" i="32"/>
  <c r="BJ25" i="32"/>
  <c r="AY22" i="17"/>
  <c r="BG22" i="17"/>
  <c r="BA22" i="36"/>
  <c r="BI22" i="36"/>
  <c r="AZ34" i="27"/>
  <c r="BH34" i="27"/>
  <c r="AY52" i="24"/>
  <c r="BG52" i="24"/>
  <c r="AY26" i="11"/>
  <c r="BG26" i="11"/>
  <c r="AZ25" i="40"/>
  <c r="BH25" i="40"/>
  <c r="AY25" i="27"/>
  <c r="BG25" i="27"/>
  <c r="G23" i="35"/>
  <c r="G26" i="35"/>
  <c r="G24" i="35"/>
  <c r="G27" i="35"/>
  <c r="G25" i="35"/>
  <c r="G22" i="35"/>
  <c r="AX23" i="10"/>
  <c r="BD23" i="10" s="1"/>
  <c r="AG7" i="10" s="1"/>
  <c r="BF23" i="10"/>
  <c r="BL23" i="10" s="1"/>
  <c r="AL7" i="10" s="1"/>
  <c r="BB31" i="32"/>
  <c r="BJ31" i="32"/>
  <c r="AZ41" i="14"/>
  <c r="BH41" i="14"/>
  <c r="BC40" i="35"/>
  <c r="BK40" i="35"/>
  <c r="O51" i="24"/>
  <c r="O54" i="24"/>
  <c r="O49" i="24"/>
  <c r="O52" i="24"/>
  <c r="O50" i="24"/>
  <c r="O53" i="24"/>
  <c r="BG41" i="35"/>
  <c r="AY41" i="35"/>
  <c r="AX54" i="38"/>
  <c r="BF54" i="38"/>
  <c r="BA22" i="40"/>
  <c r="BI22" i="40"/>
  <c r="AX31" i="16"/>
  <c r="BF31" i="16"/>
  <c r="AX45" i="20"/>
  <c r="BF45" i="20"/>
  <c r="AY41" i="17"/>
  <c r="BG41" i="17"/>
  <c r="E149" i="54"/>
  <c r="D149" i="54"/>
  <c r="B149" i="54"/>
  <c r="A156" i="8" s="1"/>
  <c r="C156" i="8" s="1"/>
  <c r="E59" i="54"/>
  <c r="D59" i="54"/>
  <c r="B59" i="54"/>
  <c r="A99" i="8" s="1"/>
  <c r="C99" i="8" s="1"/>
  <c r="E63" i="54"/>
  <c r="D63" i="54"/>
  <c r="B63" i="54"/>
  <c r="A84" i="8" s="1"/>
  <c r="C84" i="8" s="1"/>
  <c r="E193" i="54"/>
  <c r="D193" i="54"/>
  <c r="B193" i="54"/>
  <c r="A192" i="8" s="1"/>
  <c r="C192" i="8" s="1"/>
  <c r="E144" i="54"/>
  <c r="D144" i="54"/>
  <c r="B144" i="54"/>
  <c r="A155" i="8" s="1"/>
  <c r="C155" i="8" s="1"/>
  <c r="E151" i="54"/>
  <c r="D151" i="54"/>
  <c r="B151" i="54"/>
  <c r="A162" i="8" s="1"/>
  <c r="C162" i="8" s="1"/>
  <c r="B109" i="54"/>
  <c r="A140" i="8" s="1"/>
  <c r="C140" i="8" s="1"/>
  <c r="E109" i="54"/>
  <c r="D109" i="54"/>
  <c r="E190" i="54"/>
  <c r="D190" i="54"/>
  <c r="B190" i="54"/>
  <c r="A200" i="8" s="1"/>
  <c r="C200" i="8" s="1"/>
  <c r="E168" i="54"/>
  <c r="D168" i="54"/>
  <c r="B168" i="54"/>
  <c r="A186" i="8" s="1"/>
  <c r="C186" i="8" s="1"/>
  <c r="B111" i="54"/>
  <c r="A136" i="8" s="1"/>
  <c r="C136" i="8" s="1"/>
  <c r="E111" i="54"/>
  <c r="D111" i="54"/>
  <c r="B66" i="54"/>
  <c r="A60" i="8" s="1"/>
  <c r="C60" i="8" s="1"/>
  <c r="E66" i="54"/>
  <c r="D66" i="54"/>
  <c r="D49" i="54"/>
  <c r="B49" i="54"/>
  <c r="A129" i="8" s="1"/>
  <c r="C129" i="8" s="1"/>
  <c r="E49" i="54"/>
  <c r="E67" i="54"/>
  <c r="D67" i="54"/>
  <c r="B67" i="54"/>
  <c r="A61" i="8" s="1"/>
  <c r="C61" i="8" s="1"/>
  <c r="B58" i="54"/>
  <c r="A102" i="8" s="1"/>
  <c r="C102" i="8" s="1"/>
  <c r="E58" i="54"/>
  <c r="D58" i="54"/>
  <c r="B60" i="54"/>
  <c r="A96" i="8" s="1"/>
  <c r="C96" i="8" s="1"/>
  <c r="E60" i="54"/>
  <c r="D60" i="54"/>
  <c r="B18" i="8"/>
  <c r="B105" i="8"/>
  <c r="B107" i="8"/>
  <c r="B215" i="8"/>
  <c r="B96" i="8"/>
  <c r="B98" i="8"/>
  <c r="B206" i="8"/>
  <c r="B111" i="8"/>
  <c r="B113" i="8"/>
  <c r="B221" i="8"/>
  <c r="B27" i="8"/>
  <c r="B146" i="8"/>
  <c r="B182" i="8"/>
  <c r="B92" i="8"/>
  <c r="B94" i="8"/>
  <c r="B203" i="8"/>
  <c r="B132" i="8"/>
  <c r="B134" i="8"/>
  <c r="B175" i="8"/>
  <c r="B99" i="8"/>
  <c r="B101" i="8"/>
  <c r="B209" i="8"/>
  <c r="B88" i="8"/>
  <c r="B90" i="8"/>
  <c r="B200" i="8"/>
  <c r="BH33" i="32"/>
  <c r="AZ33" i="32"/>
  <c r="G45" i="31"/>
  <c r="G40" i="31"/>
  <c r="G43" i="31"/>
  <c r="G41" i="31"/>
  <c r="G44" i="31"/>
  <c r="G42" i="31"/>
  <c r="AZ35" i="11"/>
  <c r="BH35" i="11"/>
  <c r="BA24" i="23"/>
  <c r="BI24" i="23"/>
  <c r="AY40" i="13"/>
  <c r="BG40" i="13"/>
  <c r="K45" i="23"/>
  <c r="K40" i="23"/>
  <c r="K43" i="23"/>
  <c r="K41" i="23"/>
  <c r="K44" i="23"/>
  <c r="K42" i="23"/>
  <c r="AZ50" i="36"/>
  <c r="BH50" i="36"/>
  <c r="AX41" i="29"/>
  <c r="BF41" i="29"/>
  <c r="AX49" i="16"/>
  <c r="BF49" i="16"/>
  <c r="AY53" i="37"/>
  <c r="BG53" i="37"/>
  <c r="BA51" i="19"/>
  <c r="BI51" i="19"/>
  <c r="BA50" i="35"/>
  <c r="BI50" i="35"/>
  <c r="AX45" i="33"/>
  <c r="BF45" i="33"/>
  <c r="BA26" i="25"/>
  <c r="BI26" i="25"/>
  <c r="BB45" i="38"/>
  <c r="BJ45" i="38"/>
  <c r="BB25" i="29"/>
  <c r="BJ25" i="29"/>
  <c r="AY40" i="21"/>
  <c r="BG40" i="21"/>
  <c r="W36" i="19"/>
  <c r="W31" i="19"/>
  <c r="W34" i="19"/>
  <c r="W32" i="19"/>
  <c r="W35" i="19"/>
  <c r="W33" i="19"/>
  <c r="BI36" i="25"/>
  <c r="BA36" i="25"/>
  <c r="AX42" i="24"/>
  <c r="BF42" i="24"/>
  <c r="O35" i="18"/>
  <c r="O33" i="18"/>
  <c r="O31" i="18"/>
  <c r="O34" i="18"/>
  <c r="O32" i="18"/>
  <c r="O36" i="18"/>
  <c r="BA26" i="20"/>
  <c r="BI26" i="20"/>
  <c r="AZ35" i="28"/>
  <c r="BH35" i="28"/>
  <c r="AY50" i="35"/>
  <c r="BG50" i="35"/>
  <c r="BC23" i="27"/>
  <c r="BK23" i="27"/>
  <c r="F43" i="42"/>
  <c r="F42" i="42"/>
  <c r="F44" i="42"/>
  <c r="F40" i="42"/>
  <c r="F45" i="42"/>
  <c r="F41" i="42"/>
  <c r="AZ35" i="21"/>
  <c r="BH35" i="21"/>
  <c r="BC31" i="31"/>
  <c r="BK31" i="31"/>
  <c r="BF41" i="28"/>
  <c r="AX41" i="28"/>
  <c r="BA45" i="30"/>
  <c r="BI45" i="30"/>
  <c r="AX52" i="40"/>
  <c r="BF52" i="40"/>
  <c r="AY44" i="14"/>
  <c r="BG44" i="14"/>
  <c r="AX41" i="10"/>
  <c r="BD41" i="10" s="1"/>
  <c r="AI7" i="10" s="1"/>
  <c r="BF41" i="10"/>
  <c r="BL41" i="10" s="1"/>
  <c r="AN7" i="10" s="1"/>
  <c r="AX54" i="12"/>
  <c r="BF54" i="12"/>
  <c r="AX24" i="19"/>
  <c r="BF24" i="19"/>
  <c r="AX23" i="27"/>
  <c r="BF23" i="27"/>
  <c r="BF26" i="12"/>
  <c r="AX26" i="12"/>
  <c r="AX51" i="19"/>
  <c r="BF51" i="19"/>
  <c r="O44" i="24"/>
  <c r="O42" i="24"/>
  <c r="O45" i="24"/>
  <c r="O40" i="24"/>
  <c r="O43" i="24"/>
  <c r="O41" i="24"/>
  <c r="BG51" i="27"/>
  <c r="AY51" i="27"/>
  <c r="AY40" i="22"/>
  <c r="BG40" i="22"/>
  <c r="BB41" i="32"/>
  <c r="BJ41" i="32"/>
  <c r="AY49" i="15"/>
  <c r="BG49" i="15"/>
  <c r="BA36" i="11"/>
  <c r="BI36" i="11"/>
  <c r="AX23" i="33"/>
  <c r="BF23" i="33"/>
  <c r="BA33" i="36"/>
  <c r="BI33" i="36"/>
  <c r="BB35" i="29"/>
  <c r="BJ35" i="29"/>
  <c r="BK32" i="23"/>
  <c r="BC32" i="23"/>
  <c r="BF50" i="20"/>
  <c r="AX50" i="20"/>
  <c r="AX36" i="26"/>
  <c r="BF36" i="26"/>
  <c r="BB40" i="39"/>
  <c r="BJ40" i="39"/>
  <c r="BC42" i="18"/>
  <c r="BK42" i="18"/>
  <c r="AZ42" i="32"/>
  <c r="BH42" i="32"/>
  <c r="BB54" i="39"/>
  <c r="BJ54" i="39"/>
  <c r="AZ31" i="31"/>
  <c r="BH31" i="31"/>
  <c r="BF50" i="36"/>
  <c r="AX50" i="36"/>
  <c r="AZ45" i="21"/>
  <c r="BH45" i="21"/>
  <c r="BC22" i="35"/>
  <c r="BK22" i="35"/>
  <c r="N54" i="18"/>
  <c r="N52" i="18"/>
  <c r="N50" i="18"/>
  <c r="N53" i="18"/>
  <c r="N49" i="18"/>
  <c r="N51" i="18"/>
  <c r="BC41" i="20"/>
  <c r="BK41" i="20"/>
  <c r="BA49" i="37"/>
  <c r="BI49" i="37"/>
  <c r="BF43" i="23"/>
  <c r="AX43" i="23"/>
  <c r="AY34" i="12"/>
  <c r="BG34" i="12"/>
  <c r="AX32" i="21"/>
  <c r="BF32" i="21"/>
  <c r="BL32" i="21" s="1"/>
  <c r="AM7" i="21" s="1"/>
  <c r="AX50" i="27"/>
  <c r="BF50" i="27"/>
  <c r="AY22" i="24"/>
  <c r="BG22" i="24"/>
  <c r="BB42" i="16"/>
  <c r="BJ42" i="16"/>
  <c r="BA45" i="25"/>
  <c r="BI45" i="25"/>
  <c r="F35" i="11"/>
  <c r="F33" i="11"/>
  <c r="F36" i="11"/>
  <c r="F31" i="11"/>
  <c r="F34" i="11"/>
  <c r="F32" i="11"/>
  <c r="AY22" i="12"/>
  <c r="BG22" i="12"/>
  <c r="BC44" i="40"/>
  <c r="BK44" i="40"/>
  <c r="BA34" i="27"/>
  <c r="BI34" i="27"/>
  <c r="AX27" i="22"/>
  <c r="BF27" i="22"/>
  <c r="AZ35" i="16"/>
  <c r="BH35" i="16"/>
  <c r="AX44" i="40"/>
  <c r="BF44" i="40"/>
  <c r="BH32" i="19"/>
  <c r="AZ32" i="19"/>
  <c r="BC33" i="35"/>
  <c r="BK33" i="35"/>
  <c r="BC25" i="26"/>
  <c r="BK25" i="26"/>
  <c r="BA51" i="30"/>
  <c r="BI51" i="30"/>
  <c r="BC34" i="27"/>
  <c r="BK34" i="27"/>
  <c r="BB22" i="28"/>
  <c r="BJ22" i="28"/>
  <c r="AX54" i="26"/>
  <c r="BF54" i="26"/>
  <c r="BF27" i="41"/>
  <c r="AX27" i="41"/>
  <c r="AY22" i="13"/>
  <c r="BG22" i="13"/>
  <c r="BI33" i="37"/>
  <c r="BA33" i="37"/>
  <c r="AX50" i="13"/>
  <c r="BF50" i="13"/>
  <c r="BH42" i="42"/>
  <c r="AZ42" i="42"/>
  <c r="BI45" i="24"/>
  <c r="BA45" i="24"/>
  <c r="AY33" i="14"/>
  <c r="BG33" i="14"/>
  <c r="G25" i="42"/>
  <c r="G23" i="42"/>
  <c r="G26" i="42"/>
  <c r="G24" i="42"/>
  <c r="G27" i="42"/>
  <c r="G22" i="42"/>
  <c r="BH24" i="17"/>
  <c r="AZ24" i="17"/>
  <c r="AX33" i="22"/>
  <c r="BF33" i="22"/>
  <c r="BI44" i="36"/>
  <c r="BA44" i="36"/>
  <c r="AZ22" i="27"/>
  <c r="BH22" i="27"/>
  <c r="BB32" i="14"/>
  <c r="BJ32" i="14"/>
  <c r="AX42" i="39"/>
  <c r="BF42" i="39"/>
  <c r="BJ36" i="40"/>
  <c r="BB36" i="40"/>
  <c r="BA43" i="29"/>
  <c r="BI43" i="29"/>
  <c r="BH31" i="17"/>
  <c r="AZ31" i="17"/>
  <c r="AX43" i="21"/>
  <c r="BF43" i="21"/>
  <c r="BI23" i="24"/>
  <c r="BA23" i="24"/>
  <c r="AX53" i="28"/>
  <c r="BF53" i="28"/>
  <c r="BI43" i="40"/>
  <c r="BA43" i="40"/>
  <c r="BB49" i="16"/>
  <c r="BJ49" i="16"/>
  <c r="AX31" i="20"/>
  <c r="BF31" i="20"/>
  <c r="AY41" i="15"/>
  <c r="BG41" i="15"/>
  <c r="AZ35" i="40"/>
  <c r="BH35" i="40"/>
  <c r="BB24" i="35"/>
  <c r="BJ24" i="35"/>
  <c r="G44" i="17"/>
  <c r="G42" i="17"/>
  <c r="G45" i="17"/>
  <c r="G40" i="17"/>
  <c r="G43" i="17"/>
  <c r="G41" i="17"/>
  <c r="BK52" i="35"/>
  <c r="BC52" i="35"/>
  <c r="BB26" i="13"/>
  <c r="BJ26" i="13"/>
  <c r="AZ40" i="36"/>
  <c r="BH40" i="36"/>
  <c r="AX32" i="29"/>
  <c r="BF32" i="29"/>
  <c r="BA40" i="39"/>
  <c r="BI40" i="39"/>
  <c r="BF35" i="33"/>
  <c r="AX35" i="33"/>
  <c r="BC24" i="35"/>
  <c r="BK24" i="35"/>
  <c r="AZ22" i="34"/>
  <c r="BH22" i="34"/>
  <c r="AZ33" i="42"/>
  <c r="BH33" i="42"/>
  <c r="AX54" i="15"/>
  <c r="BF54" i="15"/>
  <c r="BB33" i="13"/>
  <c r="BJ33" i="13"/>
  <c r="AX31" i="38"/>
  <c r="BF31" i="38"/>
  <c r="BK44" i="23"/>
  <c r="BC44" i="23"/>
  <c r="AY32" i="41"/>
  <c r="BG32" i="41"/>
  <c r="BB51" i="28"/>
  <c r="BJ51" i="28"/>
  <c r="AX42" i="34"/>
  <c r="BF42" i="34"/>
  <c r="BG35" i="37"/>
  <c r="AY35" i="37"/>
  <c r="N43" i="35"/>
  <c r="N41" i="35"/>
  <c r="N44" i="35"/>
  <c r="N42" i="35"/>
  <c r="N45" i="35"/>
  <c r="N40" i="35"/>
  <c r="BB27" i="14"/>
  <c r="BJ27" i="14"/>
  <c r="AY50" i="13"/>
  <c r="BG50" i="13"/>
  <c r="BJ49" i="31"/>
  <c r="BB49" i="31"/>
  <c r="AX51" i="21"/>
  <c r="BF51" i="21"/>
  <c r="BC44" i="27"/>
  <c r="BK44" i="27"/>
  <c r="BF35" i="40"/>
  <c r="AX35" i="40"/>
  <c r="BG27" i="14"/>
  <c r="AY27" i="14"/>
  <c r="BC51" i="13"/>
  <c r="BK51" i="13"/>
  <c r="AX26" i="34"/>
  <c r="BF26" i="34"/>
  <c r="AZ34" i="22"/>
  <c r="BH34" i="22"/>
  <c r="AY44" i="12"/>
  <c r="BG44" i="12"/>
  <c r="AX22" i="21"/>
  <c r="BF22" i="21"/>
  <c r="AY52" i="11"/>
  <c r="BG52" i="11"/>
  <c r="BK53" i="27"/>
  <c r="BC53" i="27"/>
  <c r="BB49" i="25"/>
  <c r="BJ49" i="25"/>
  <c r="BA53" i="37"/>
  <c r="BI53" i="37"/>
  <c r="O45" i="23"/>
  <c r="O43" i="23"/>
  <c r="O41" i="23"/>
  <c r="O44" i="23"/>
  <c r="O42" i="23"/>
  <c r="O40" i="23"/>
  <c r="AX41" i="22"/>
  <c r="BF41" i="22"/>
  <c r="AZ32" i="33"/>
  <c r="BH32" i="33"/>
  <c r="AY43" i="24"/>
  <c r="BG43" i="24"/>
  <c r="BG22" i="25"/>
  <c r="AY22" i="25"/>
  <c r="BF40" i="18"/>
  <c r="AX40" i="18"/>
  <c r="BA50" i="36"/>
  <c r="BI50" i="36"/>
  <c r="AZ49" i="13"/>
  <c r="BH49" i="13"/>
  <c r="AX24" i="28"/>
  <c r="BF24" i="28"/>
  <c r="AZ44" i="20"/>
  <c r="BH44" i="20"/>
  <c r="BJ23" i="16"/>
  <c r="BB23" i="16"/>
  <c r="AX27" i="29"/>
  <c r="BF27" i="29"/>
  <c r="AZ49" i="38"/>
  <c r="BH49" i="38"/>
  <c r="BJ33" i="39"/>
  <c r="BB33" i="39"/>
  <c r="BA23" i="26"/>
  <c r="BI23" i="26"/>
  <c r="BB36" i="17"/>
  <c r="BJ36" i="17"/>
  <c r="BF45" i="23"/>
  <c r="AX45" i="23"/>
  <c r="AX34" i="12"/>
  <c r="BF34" i="12"/>
  <c r="AY32" i="27"/>
  <c r="BG32" i="27"/>
  <c r="BH40" i="40"/>
  <c r="AZ40" i="40"/>
  <c r="G52" i="11"/>
  <c r="G50" i="11"/>
  <c r="G53" i="11"/>
  <c r="G51" i="11"/>
  <c r="G54" i="11"/>
  <c r="G49" i="11"/>
  <c r="AY41" i="41"/>
  <c r="BG41" i="41"/>
  <c r="BA25" i="37"/>
  <c r="BI25" i="37"/>
  <c r="BA25" i="19"/>
  <c r="BI25" i="19"/>
  <c r="AZ44" i="39"/>
  <c r="BH44" i="39"/>
  <c r="BG36" i="12"/>
  <c r="AY36" i="12"/>
  <c r="AZ27" i="16"/>
  <c r="BH27" i="16"/>
  <c r="BA24" i="35"/>
  <c r="BI24" i="35"/>
  <c r="BA33" i="14"/>
  <c r="BI33" i="14"/>
  <c r="AX35" i="15"/>
  <c r="BF35" i="15"/>
  <c r="AZ23" i="28"/>
  <c r="BH23" i="28"/>
  <c r="AZ34" i="36"/>
  <c r="BH34" i="36"/>
  <c r="AZ25" i="21"/>
  <c r="BH25" i="21"/>
  <c r="AZ51" i="17"/>
  <c r="BH51" i="17"/>
  <c r="AZ52" i="39"/>
  <c r="BH52" i="39"/>
  <c r="AZ50" i="34"/>
  <c r="BH50" i="34"/>
  <c r="AX53" i="39"/>
  <c r="BF53" i="39"/>
  <c r="AZ44" i="16"/>
  <c r="BH44" i="16"/>
  <c r="BB26" i="15"/>
  <c r="BJ26" i="15"/>
  <c r="AY22" i="39"/>
  <c r="BG22" i="39"/>
  <c r="AX53" i="27"/>
  <c r="BF53" i="27"/>
  <c r="AZ42" i="19"/>
  <c r="BH42" i="19"/>
  <c r="BB50" i="23"/>
  <c r="BJ50" i="23"/>
  <c r="BB43" i="14"/>
  <c r="BJ43" i="14"/>
  <c r="AY41" i="34"/>
  <c r="BG41" i="34"/>
  <c r="AY24" i="24"/>
  <c r="BG24" i="24"/>
  <c r="BB53" i="12"/>
  <c r="BJ53" i="12"/>
  <c r="BB35" i="41"/>
  <c r="BJ35" i="41"/>
  <c r="AX34" i="10"/>
  <c r="BD34" i="10" s="1"/>
  <c r="AH9" i="10" s="1"/>
  <c r="BF34" i="10"/>
  <c r="BL34" i="10" s="1"/>
  <c r="AM9" i="10" s="1"/>
  <c r="BB32" i="26"/>
  <c r="BJ32" i="26"/>
  <c r="BG52" i="25"/>
  <c r="AY52" i="25"/>
  <c r="AY43" i="11"/>
  <c r="BG43" i="11"/>
  <c r="AX24" i="38"/>
  <c r="BF24" i="38"/>
  <c r="AX36" i="34"/>
  <c r="BF36" i="34"/>
  <c r="BF25" i="13"/>
  <c r="AX25" i="13"/>
  <c r="AY23" i="15"/>
  <c r="BG23" i="15"/>
  <c r="AY34" i="19"/>
  <c r="BG34" i="19"/>
  <c r="AY54" i="17"/>
  <c r="BG54" i="17"/>
  <c r="AZ31" i="13"/>
  <c r="BH31" i="13"/>
  <c r="AY42" i="27"/>
  <c r="BG42" i="27"/>
  <c r="BK31" i="13"/>
  <c r="BC31" i="13"/>
  <c r="BC31" i="41"/>
  <c r="BK31" i="41"/>
  <c r="AX33" i="13"/>
  <c r="BF33" i="13"/>
  <c r="BA45" i="26"/>
  <c r="BI45" i="26"/>
  <c r="BA22" i="14"/>
  <c r="BI22" i="14"/>
  <c r="AX22" i="32"/>
  <c r="BF22" i="32"/>
  <c r="AX26" i="15"/>
  <c r="BF26" i="15"/>
  <c r="BK52" i="18"/>
  <c r="BC52" i="18"/>
  <c r="AY24" i="37"/>
  <c r="BG24" i="37"/>
  <c r="BF33" i="23"/>
  <c r="AX33" i="23"/>
  <c r="N54" i="26"/>
  <c r="N49" i="26"/>
  <c r="N52" i="26"/>
  <c r="N50" i="26"/>
  <c r="N53" i="26"/>
  <c r="N51" i="26"/>
  <c r="BK40" i="41"/>
  <c r="BC40" i="41"/>
  <c r="BI27" i="12"/>
  <c r="BA27" i="12"/>
  <c r="AY23" i="34"/>
  <c r="BG23" i="34"/>
  <c r="AX31" i="19"/>
  <c r="BF31" i="19"/>
  <c r="BG35" i="13"/>
  <c r="AY35" i="13"/>
  <c r="AZ25" i="20"/>
  <c r="BH25" i="20"/>
  <c r="BD41" i="37"/>
  <c r="AI7" i="37" s="1"/>
  <c r="BB54" i="26"/>
  <c r="BJ54" i="26"/>
  <c r="BB33" i="34"/>
  <c r="BJ33" i="34"/>
  <c r="BI34" i="18"/>
  <c r="BA34" i="18"/>
  <c r="BC22" i="23"/>
  <c r="BK22" i="23"/>
  <c r="BB25" i="33"/>
  <c r="BJ25" i="33"/>
  <c r="BG40" i="39"/>
  <c r="AY40" i="39"/>
  <c r="BB23" i="26"/>
  <c r="BJ23" i="26"/>
  <c r="BG36" i="17"/>
  <c r="AY36" i="17"/>
  <c r="AY25" i="36"/>
  <c r="BG25" i="36"/>
  <c r="AY41" i="25"/>
  <c r="BG41" i="25"/>
  <c r="AY51" i="18"/>
  <c r="BG51" i="18"/>
  <c r="G51" i="17"/>
  <c r="G54" i="17"/>
  <c r="G49" i="17"/>
  <c r="G52" i="17"/>
  <c r="G50" i="17"/>
  <c r="G53" i="17"/>
  <c r="AY23" i="19"/>
  <c r="BG23" i="19"/>
  <c r="BA35" i="23"/>
  <c r="BI35" i="23"/>
  <c r="AY52" i="36"/>
  <c r="BG52" i="36"/>
  <c r="BB27" i="38"/>
  <c r="BJ27" i="38"/>
  <c r="BG31" i="42"/>
  <c r="AY31" i="42"/>
  <c r="BC27" i="13"/>
  <c r="BK27" i="13"/>
  <c r="F51" i="25"/>
  <c r="F49" i="25"/>
  <c r="F52" i="25"/>
  <c r="F50" i="25"/>
  <c r="F53" i="25"/>
  <c r="F54" i="25"/>
  <c r="BA27" i="16"/>
  <c r="BI27" i="16"/>
  <c r="BC35" i="40"/>
  <c r="BK35" i="40"/>
  <c r="BH25" i="31"/>
  <c r="AZ25" i="31"/>
  <c r="AZ22" i="39"/>
  <c r="BH22" i="39"/>
  <c r="AY24" i="12"/>
  <c r="BG24" i="12"/>
  <c r="AZ34" i="34"/>
  <c r="BH34" i="34"/>
  <c r="AZ41" i="13"/>
  <c r="BH41" i="13"/>
  <c r="BG22" i="28"/>
  <c r="AY22" i="28"/>
  <c r="AY43" i="19"/>
  <c r="BG43" i="19"/>
  <c r="BA32" i="17"/>
  <c r="BI32" i="17"/>
  <c r="BB49" i="22"/>
  <c r="BJ49" i="22"/>
  <c r="AY32" i="22"/>
  <c r="BG32" i="22"/>
  <c r="BC27" i="41"/>
  <c r="BK27" i="41"/>
  <c r="AZ24" i="22"/>
  <c r="BH24" i="22"/>
  <c r="BA49" i="26"/>
  <c r="BI49" i="26"/>
  <c r="AY36" i="28"/>
  <c r="BG36" i="28"/>
  <c r="BB24" i="17"/>
  <c r="BJ24" i="17"/>
  <c r="BB44" i="15"/>
  <c r="BJ44" i="15"/>
  <c r="AX40" i="32"/>
  <c r="BF40" i="32"/>
  <c r="BA36" i="27"/>
  <c r="BI36" i="27"/>
  <c r="BI26" i="30"/>
  <c r="BA26" i="30"/>
  <c r="BA54" i="29"/>
  <c r="BI54" i="29"/>
  <c r="BJ23" i="31"/>
  <c r="BB23" i="31"/>
  <c r="AX26" i="22"/>
  <c r="BF26" i="22"/>
  <c r="AZ53" i="33"/>
  <c r="BH53" i="33"/>
  <c r="AX31" i="27"/>
  <c r="BF31" i="27"/>
  <c r="AZ34" i="16"/>
  <c r="BH34" i="16"/>
  <c r="BF41" i="41"/>
  <c r="AX41" i="41"/>
  <c r="BG51" i="26"/>
  <c r="AX45" i="40"/>
  <c r="BF45" i="40"/>
  <c r="BB44" i="28"/>
  <c r="BJ44" i="28"/>
  <c r="BA41" i="37"/>
  <c r="BI41" i="37"/>
  <c r="BL41" i="37" s="1"/>
  <c r="AN7" i="37" s="1"/>
  <c r="BA41" i="11"/>
  <c r="BI41" i="11"/>
  <c r="AZ33" i="39"/>
  <c r="BH33" i="39"/>
  <c r="AY49" i="12"/>
  <c r="BG49" i="12"/>
  <c r="AY34" i="36"/>
  <c r="BG34" i="36"/>
  <c r="BB40" i="23"/>
  <c r="BJ40" i="23"/>
  <c r="AY32" i="15"/>
  <c r="BG32" i="15"/>
  <c r="BA43" i="20"/>
  <c r="BI43" i="20"/>
  <c r="BA54" i="32"/>
  <c r="BI54" i="32"/>
  <c r="BA43" i="12"/>
  <c r="BI43" i="12"/>
  <c r="BC50" i="26"/>
  <c r="BK50" i="26"/>
  <c r="BK27" i="26"/>
  <c r="BC27" i="26"/>
  <c r="AY22" i="42"/>
  <c r="BG22" i="42"/>
  <c r="BB42" i="12"/>
  <c r="BJ42" i="12"/>
  <c r="BB44" i="13"/>
  <c r="BJ44" i="13"/>
  <c r="BI50" i="30"/>
  <c r="BA50" i="30"/>
  <c r="AX41" i="38"/>
  <c r="BF41" i="38"/>
  <c r="BA43" i="16"/>
  <c r="BI43" i="16"/>
  <c r="AY25" i="21"/>
  <c r="BG25" i="21"/>
  <c r="AZ54" i="29"/>
  <c r="BH54" i="29"/>
  <c r="AZ54" i="40"/>
  <c r="BH54" i="40"/>
  <c r="BH54" i="20"/>
  <c r="AZ54" i="20"/>
  <c r="BA33" i="40"/>
  <c r="BI33" i="40"/>
  <c r="AZ24" i="41"/>
  <c r="BH24" i="41"/>
  <c r="AY42" i="18"/>
  <c r="BG42" i="18"/>
  <c r="BG51" i="28"/>
  <c r="AY51" i="28"/>
  <c r="BB41" i="17"/>
  <c r="BJ41" i="17"/>
  <c r="AX40" i="36"/>
  <c r="BF40" i="36"/>
  <c r="BB26" i="41"/>
  <c r="BJ26" i="41"/>
  <c r="AY23" i="22"/>
  <c r="BG23" i="22"/>
  <c r="AY53" i="22"/>
  <c r="BG53" i="22"/>
  <c r="BA44" i="14"/>
  <c r="BI44" i="14"/>
  <c r="BA26" i="27"/>
  <c r="BI26" i="27"/>
  <c r="AZ36" i="29"/>
  <c r="BH36" i="29"/>
  <c r="AX32" i="24"/>
  <c r="BF32" i="24"/>
  <c r="BF49" i="29"/>
  <c r="AX49" i="29"/>
  <c r="BJ50" i="29"/>
  <c r="BB50" i="29"/>
  <c r="AX35" i="39"/>
  <c r="BF35" i="39"/>
  <c r="AX32" i="28"/>
  <c r="BF32" i="28"/>
  <c r="AX43" i="15"/>
  <c r="BF43" i="15"/>
  <c r="BF51" i="24"/>
  <c r="AX51" i="24"/>
  <c r="BB41" i="33"/>
  <c r="BJ41" i="33"/>
  <c r="BA31" i="29"/>
  <c r="BI31" i="29"/>
  <c r="AY31" i="39"/>
  <c r="BG31" i="39"/>
  <c r="BA23" i="32"/>
  <c r="BI23" i="32"/>
  <c r="BB31" i="12"/>
  <c r="BJ31" i="12"/>
  <c r="AZ34" i="14"/>
  <c r="BH34" i="14"/>
  <c r="BA51" i="11"/>
  <c r="BI51" i="11"/>
  <c r="BB54" i="14"/>
  <c r="BJ54" i="14"/>
  <c r="AY36" i="33"/>
  <c r="BG36" i="33"/>
  <c r="AZ36" i="20"/>
  <c r="BH36" i="20"/>
  <c r="BG36" i="18"/>
  <c r="AY36" i="18"/>
  <c r="BA26" i="39"/>
  <c r="BI26" i="39"/>
  <c r="AZ50" i="19"/>
  <c r="BH50" i="19"/>
  <c r="AZ51" i="27"/>
  <c r="BH51" i="27"/>
  <c r="BC33" i="26"/>
  <c r="BK33" i="26"/>
  <c r="BK49" i="23"/>
  <c r="BC49" i="23"/>
  <c r="BH51" i="14"/>
  <c r="AZ51" i="14"/>
  <c r="AZ27" i="11"/>
  <c r="BH27" i="11"/>
  <c r="BA45" i="32"/>
  <c r="BI45" i="32"/>
  <c r="BA53" i="17"/>
  <c r="BI53" i="17"/>
  <c r="BC43" i="26"/>
  <c r="BK43" i="26"/>
  <c r="K51" i="30"/>
  <c r="K54" i="30"/>
  <c r="K49" i="30"/>
  <c r="K52" i="30"/>
  <c r="K50" i="30"/>
  <c r="K53" i="30"/>
  <c r="BI50" i="27"/>
  <c r="BA50" i="27"/>
  <c r="F44" i="25"/>
  <c r="F42" i="25"/>
  <c r="F45" i="25"/>
  <c r="F43" i="25"/>
  <c r="F40" i="25"/>
  <c r="F41" i="25"/>
  <c r="AZ23" i="38"/>
  <c r="BH23" i="38"/>
  <c r="BB52" i="32"/>
  <c r="BJ52" i="32"/>
  <c r="BA41" i="19"/>
  <c r="BI41" i="19"/>
  <c r="BA52" i="40"/>
  <c r="BI52" i="40"/>
  <c r="AX44" i="26"/>
  <c r="BF44" i="26"/>
  <c r="BA49" i="39"/>
  <c r="BI49" i="39"/>
  <c r="BC49" i="41"/>
  <c r="BK49" i="41"/>
  <c r="AY54" i="42"/>
  <c r="BG54" i="42"/>
  <c r="AZ40" i="11"/>
  <c r="BH40" i="11"/>
  <c r="AY31" i="31"/>
  <c r="BG31" i="31"/>
  <c r="K24" i="16"/>
  <c r="K27" i="16"/>
  <c r="K22" i="16"/>
  <c r="K25" i="16"/>
  <c r="K23" i="16"/>
  <c r="K26" i="16"/>
  <c r="BC42" i="13"/>
  <c r="BK42" i="13"/>
  <c r="BJ25" i="40"/>
  <c r="BB25" i="40"/>
  <c r="BA52" i="23"/>
  <c r="BI52" i="23"/>
  <c r="BA51" i="12"/>
  <c r="BI51" i="12"/>
  <c r="BJ22" i="23"/>
  <c r="BB22" i="23"/>
  <c r="BB50" i="38"/>
  <c r="BJ50" i="38"/>
  <c r="F42" i="14"/>
  <c r="F45" i="14"/>
  <c r="F40" i="14"/>
  <c r="F43" i="14"/>
  <c r="F41" i="14"/>
  <c r="F44" i="14"/>
  <c r="BA40" i="42"/>
  <c r="BI40" i="42"/>
  <c r="BB49" i="34"/>
  <c r="BJ49" i="34"/>
  <c r="AZ26" i="19"/>
  <c r="BH26" i="19"/>
  <c r="BA35" i="35"/>
  <c r="BI35" i="35"/>
  <c r="BB31" i="22"/>
  <c r="BJ31" i="22"/>
  <c r="G32" i="42"/>
  <c r="G35" i="42"/>
  <c r="G33" i="42"/>
  <c r="G36" i="42"/>
  <c r="G31" i="42"/>
  <c r="G34" i="42"/>
  <c r="AZ53" i="15"/>
  <c r="BH53" i="15"/>
  <c r="BI34" i="12"/>
  <c r="BA34" i="12"/>
  <c r="AX52" i="41"/>
  <c r="BF52" i="41"/>
  <c r="AX23" i="20"/>
  <c r="BF23" i="20"/>
  <c r="BJ22" i="32"/>
  <c r="BB22" i="32"/>
  <c r="AY27" i="17"/>
  <c r="BG27" i="17"/>
  <c r="BA27" i="36"/>
  <c r="BI27" i="36"/>
  <c r="AZ31" i="27"/>
  <c r="BH31" i="27"/>
  <c r="AY49" i="24"/>
  <c r="BG49" i="24"/>
  <c r="BG22" i="27"/>
  <c r="AY22" i="27"/>
  <c r="AX25" i="10"/>
  <c r="BD25" i="10" s="1"/>
  <c r="AG9" i="10" s="1"/>
  <c r="BF25" i="10"/>
  <c r="BL25" i="10" s="1"/>
  <c r="AL9" i="10" s="1"/>
  <c r="BB36" i="32"/>
  <c r="BJ36" i="32"/>
  <c r="AZ43" i="14"/>
  <c r="BH43" i="14"/>
  <c r="BK45" i="35"/>
  <c r="BC45" i="35"/>
  <c r="N51" i="24"/>
  <c r="N54" i="24"/>
  <c r="N49" i="24"/>
  <c r="N52" i="24"/>
  <c r="N50" i="24"/>
  <c r="N53" i="24"/>
  <c r="AY43" i="35"/>
  <c r="BG43" i="35"/>
  <c r="AX51" i="38"/>
  <c r="BF51" i="38"/>
  <c r="BA24" i="40"/>
  <c r="BI24" i="40"/>
  <c r="AX36" i="16"/>
  <c r="BF36" i="16"/>
  <c r="AX42" i="20"/>
  <c r="BF42" i="20"/>
  <c r="BG43" i="17"/>
  <c r="AY43" i="17"/>
  <c r="D125" i="54"/>
  <c r="B125" i="54"/>
  <c r="A94" i="8" s="1"/>
  <c r="C94" i="8" s="1"/>
  <c r="E125" i="54"/>
  <c r="E180" i="54"/>
  <c r="D180" i="54"/>
  <c r="B180" i="54"/>
  <c r="A230" i="8" s="1"/>
  <c r="C230" i="8" s="1"/>
  <c r="E174" i="54"/>
  <c r="D174" i="54"/>
  <c r="B174" i="54"/>
  <c r="A177" i="8" s="1"/>
  <c r="C177" i="8" s="1"/>
  <c r="E170" i="54"/>
  <c r="D170" i="54"/>
  <c r="B170" i="54"/>
  <c r="A182" i="8" s="1"/>
  <c r="C182" i="8" s="1"/>
  <c r="E194" i="54"/>
  <c r="D194" i="54"/>
  <c r="B194" i="54"/>
  <c r="A191" i="8" s="1"/>
  <c r="C191" i="8" s="1"/>
  <c r="E161" i="54"/>
  <c r="D161" i="54"/>
  <c r="B161" i="54"/>
  <c r="A154" i="8" s="1"/>
  <c r="C154" i="8" s="1"/>
  <c r="E179" i="54"/>
  <c r="D179" i="54"/>
  <c r="B179" i="54"/>
  <c r="A233" i="8" s="1"/>
  <c r="C233" i="8" s="1"/>
  <c r="B80" i="54"/>
  <c r="A118" i="8" s="1"/>
  <c r="C118" i="8" s="1"/>
  <c r="E80" i="54"/>
  <c r="D80" i="54"/>
  <c r="B119" i="54"/>
  <c r="A113" i="8" s="1"/>
  <c r="C113" i="8" s="1"/>
  <c r="E119" i="54"/>
  <c r="D119" i="54"/>
  <c r="E77" i="54"/>
  <c r="D77" i="54"/>
  <c r="B77" i="54"/>
  <c r="A109" i="8" s="1"/>
  <c r="C109" i="8" s="1"/>
  <c r="E150" i="54"/>
  <c r="D150" i="54"/>
  <c r="B150" i="54"/>
  <c r="A159" i="8" s="1"/>
  <c r="C159" i="8" s="1"/>
  <c r="E128" i="54"/>
  <c r="D128" i="54"/>
  <c r="B128" i="54"/>
  <c r="A82" i="8" s="1"/>
  <c r="C82" i="8" s="1"/>
  <c r="E79" i="54"/>
  <c r="D79" i="54"/>
  <c r="B79" i="54"/>
  <c r="A115" i="8" s="1"/>
  <c r="C115" i="8" s="1"/>
  <c r="E120" i="54"/>
  <c r="B120" i="54"/>
  <c r="A110" i="8" s="1"/>
  <c r="C110" i="8" s="1"/>
  <c r="D120" i="54"/>
  <c r="E167" i="54"/>
  <c r="D167" i="54"/>
  <c r="B167" i="54"/>
  <c r="A188" i="8" s="1"/>
  <c r="C188" i="8" s="1"/>
  <c r="B44" i="8"/>
  <c r="B76" i="8"/>
  <c r="B78" i="8"/>
  <c r="B192" i="8"/>
  <c r="B77" i="8"/>
  <c r="B79" i="8"/>
  <c r="B8" i="8"/>
  <c r="B84" i="8"/>
  <c r="B86" i="8"/>
  <c r="B197" i="8"/>
  <c r="B126" i="8"/>
  <c r="B128" i="8"/>
  <c r="B189" i="8"/>
  <c r="B81" i="8"/>
  <c r="B83" i="8"/>
  <c r="S8" i="6"/>
  <c r="O7" i="6"/>
  <c r="B108" i="8"/>
  <c r="B110" i="8"/>
  <c r="B218" i="8"/>
  <c r="B61" i="8"/>
  <c r="B63" i="8"/>
  <c r="B39" i="8"/>
  <c r="B85" i="8"/>
  <c r="B87" i="8"/>
  <c r="AD2" i="54"/>
  <c r="AC2" i="54"/>
  <c r="AE2" i="54" s="1"/>
  <c r="T2" i="54"/>
  <c r="AA2" i="54"/>
  <c r="Z2" i="54"/>
  <c r="AB2" i="54" s="1"/>
  <c r="Q2" i="54"/>
  <c r="AF2" i="54"/>
  <c r="X2" i="54"/>
  <c r="W2" i="54"/>
  <c r="Y2" i="54" s="1"/>
  <c r="BJ41" i="41"/>
  <c r="BB41" i="41"/>
  <c r="AZ36" i="32"/>
  <c r="BH36" i="32"/>
  <c r="F42" i="31"/>
  <c r="F45" i="31"/>
  <c r="F40" i="31"/>
  <c r="F43" i="31"/>
  <c r="F41" i="31"/>
  <c r="F44" i="31"/>
  <c r="BH32" i="11"/>
  <c r="AZ32" i="11"/>
  <c r="BA43" i="35"/>
  <c r="BI43" i="35"/>
  <c r="AY45" i="13"/>
  <c r="BG45" i="13"/>
  <c r="BA34" i="16"/>
  <c r="BI34" i="16"/>
  <c r="BG52" i="37"/>
  <c r="AY52" i="37"/>
  <c r="BA40" i="23"/>
  <c r="BI40" i="23"/>
  <c r="BA52" i="35"/>
  <c r="BI52" i="35"/>
  <c r="BF42" i="33"/>
  <c r="AX42" i="33"/>
  <c r="BC31" i="18"/>
  <c r="BK31" i="18"/>
  <c r="BB36" i="15"/>
  <c r="BJ36" i="15"/>
  <c r="BI23" i="25"/>
  <c r="BA23" i="25"/>
  <c r="BB42" i="38"/>
  <c r="BJ42" i="38"/>
  <c r="BJ22" i="29"/>
  <c r="BB22" i="29"/>
  <c r="AY45" i="21"/>
  <c r="BG45" i="21"/>
  <c r="BA33" i="25"/>
  <c r="BI33" i="25"/>
  <c r="BF44" i="24"/>
  <c r="AX44" i="24"/>
  <c r="N32" i="18"/>
  <c r="N36" i="18"/>
  <c r="N31" i="18"/>
  <c r="N34" i="18"/>
  <c r="N33" i="18"/>
  <c r="N35" i="18"/>
  <c r="BA23" i="20"/>
  <c r="BI23" i="20"/>
  <c r="BH32" i="28"/>
  <c r="AZ32" i="28"/>
  <c r="AY52" i="35"/>
  <c r="BG52" i="35"/>
  <c r="BC25" i="27"/>
  <c r="BK25" i="27"/>
  <c r="G42" i="42"/>
  <c r="G43" i="42"/>
  <c r="G44" i="42"/>
  <c r="G40" i="42"/>
  <c r="G45" i="42"/>
  <c r="G41" i="42"/>
  <c r="AZ32" i="21"/>
  <c r="BH32" i="21"/>
  <c r="AY35" i="34"/>
  <c r="BG35" i="34"/>
  <c r="AX43" i="28"/>
  <c r="BF43" i="28"/>
  <c r="AY25" i="35"/>
  <c r="BG25" i="35"/>
  <c r="AX25" i="24"/>
  <c r="BF25" i="24"/>
  <c r="BB52" i="33"/>
  <c r="BJ52" i="33"/>
  <c r="BF49" i="40"/>
  <c r="AX49" i="40"/>
  <c r="BG41" i="14"/>
  <c r="AY41" i="14"/>
  <c r="AX43" i="10"/>
  <c r="BD43" i="10" s="1"/>
  <c r="AI9" i="10" s="1"/>
  <c r="BF43" i="10"/>
  <c r="BL43" i="10" s="1"/>
  <c r="AN9" i="10" s="1"/>
  <c r="AX51" i="12"/>
  <c r="BF51" i="12"/>
  <c r="AX26" i="19"/>
  <c r="BF26" i="19"/>
  <c r="F54" i="35"/>
  <c r="F49" i="35"/>
  <c r="F52" i="35"/>
  <c r="F50" i="35"/>
  <c r="F53" i="35"/>
  <c r="F51" i="35"/>
  <c r="AX23" i="12"/>
  <c r="BF23" i="12"/>
  <c r="AX53" i="19"/>
  <c r="BF53" i="19"/>
  <c r="AY36" i="11"/>
  <c r="BG36" i="11"/>
  <c r="AY53" i="27"/>
  <c r="BG53" i="27"/>
  <c r="AY45" i="22"/>
  <c r="BG45" i="22"/>
  <c r="BH32" i="41"/>
  <c r="AZ32" i="41"/>
  <c r="BF53" i="18"/>
  <c r="AX53" i="18"/>
  <c r="BB43" i="32"/>
  <c r="BJ43" i="32"/>
  <c r="AY54" i="15"/>
  <c r="BG54" i="15"/>
  <c r="BI33" i="11"/>
  <c r="BA33" i="11"/>
  <c r="AX25" i="33"/>
  <c r="BF25" i="33"/>
  <c r="AZ43" i="27"/>
  <c r="BH43" i="27"/>
  <c r="J34" i="30"/>
  <c r="J32" i="30"/>
  <c r="J35" i="30"/>
  <c r="J33" i="30"/>
  <c r="J36" i="30"/>
  <c r="J31" i="30"/>
  <c r="BB32" i="29"/>
  <c r="BJ32" i="29"/>
  <c r="BC34" i="23"/>
  <c r="BK34" i="23"/>
  <c r="AX52" i="20"/>
  <c r="BF52" i="20"/>
  <c r="BB43" i="39"/>
  <c r="BJ43" i="39"/>
  <c r="BC43" i="18"/>
  <c r="BK43" i="18"/>
  <c r="AZ44" i="32"/>
  <c r="BH44" i="32"/>
  <c r="BB51" i="39"/>
  <c r="BJ51" i="39"/>
  <c r="BC23" i="40"/>
  <c r="BK23" i="40"/>
  <c r="BF54" i="36"/>
  <c r="AX54" i="36"/>
  <c r="AZ26" i="14"/>
  <c r="BH26" i="14"/>
  <c r="BK23" i="30"/>
  <c r="BB42" i="35"/>
  <c r="BK49" i="11"/>
  <c r="W23" i="19"/>
  <c r="W24" i="19"/>
  <c r="W27" i="19"/>
  <c r="W22" i="19"/>
  <c r="W25" i="19"/>
  <c r="W26" i="19"/>
  <c r="AX51" i="13"/>
  <c r="BF51" i="13"/>
  <c r="AY31" i="14"/>
  <c r="BG31" i="14"/>
  <c r="AX31" i="22"/>
  <c r="BF31" i="22"/>
  <c r="BB33" i="14"/>
  <c r="BJ33" i="14"/>
  <c r="N34" i="24"/>
  <c r="N32" i="24"/>
  <c r="N35" i="24"/>
  <c r="N33" i="24"/>
  <c r="N36" i="24"/>
  <c r="N31" i="24"/>
  <c r="BF33" i="29"/>
  <c r="AX33" i="29"/>
  <c r="AZ31" i="42"/>
  <c r="BH31" i="42"/>
  <c r="BG35" i="41"/>
  <c r="AY35" i="41"/>
  <c r="BF27" i="34"/>
  <c r="AX27" i="34"/>
  <c r="BJ33" i="23"/>
  <c r="BB33" i="23"/>
  <c r="K50" i="20"/>
  <c r="K53" i="20"/>
  <c r="K51" i="20"/>
  <c r="K54" i="20"/>
  <c r="K52" i="20"/>
  <c r="K49" i="20"/>
  <c r="AZ42" i="33"/>
  <c r="BH42" i="33"/>
  <c r="BB24" i="16"/>
  <c r="BJ24" i="16"/>
  <c r="AY36" i="24"/>
  <c r="BG36" i="24"/>
  <c r="AX36" i="15"/>
  <c r="BF36" i="15"/>
  <c r="AX54" i="39"/>
  <c r="BF54" i="39"/>
  <c r="BJ31" i="25"/>
  <c r="BB31" i="25"/>
  <c r="BB36" i="41"/>
  <c r="BJ36" i="41"/>
  <c r="BI32" i="39"/>
  <c r="BA32" i="39"/>
  <c r="BG44" i="11"/>
  <c r="AY44" i="11"/>
  <c r="AY52" i="17"/>
  <c r="BG52" i="17"/>
  <c r="BC32" i="13"/>
  <c r="BK32" i="13"/>
  <c r="BB33" i="28"/>
  <c r="BJ33" i="28"/>
  <c r="BF32" i="19"/>
  <c r="AX32" i="19"/>
  <c r="BB22" i="11"/>
  <c r="BJ22" i="11"/>
  <c r="AZ43" i="38"/>
  <c r="BH43" i="38"/>
  <c r="AY49" i="18"/>
  <c r="BG49" i="18"/>
  <c r="AZ25" i="13"/>
  <c r="BH25" i="13"/>
  <c r="BC25" i="13"/>
  <c r="BK25" i="13"/>
  <c r="BI27" i="17"/>
  <c r="BA27" i="17"/>
  <c r="AY23" i="28"/>
  <c r="BG23" i="28"/>
  <c r="AY33" i="22"/>
  <c r="BG33" i="22"/>
  <c r="AX27" i="39"/>
  <c r="BF27" i="39"/>
  <c r="AY34" i="28"/>
  <c r="BG34" i="28"/>
  <c r="BB45" i="15"/>
  <c r="BJ45" i="15"/>
  <c r="F25" i="14"/>
  <c r="F23" i="14"/>
  <c r="F26" i="14"/>
  <c r="F24" i="14"/>
  <c r="F27" i="14"/>
  <c r="F22" i="14"/>
  <c r="BB24" i="31"/>
  <c r="BJ24" i="31"/>
  <c r="AX32" i="27"/>
  <c r="BF32" i="27"/>
  <c r="BG50" i="12"/>
  <c r="AY50" i="12"/>
  <c r="BG27" i="18"/>
  <c r="AY27" i="18"/>
  <c r="BA44" i="12"/>
  <c r="BI44" i="12"/>
  <c r="BB40" i="12"/>
  <c r="BJ40" i="12"/>
  <c r="J25" i="20"/>
  <c r="J23" i="20"/>
  <c r="J26" i="20"/>
  <c r="J24" i="20"/>
  <c r="J27" i="20"/>
  <c r="J22" i="20"/>
  <c r="BB42" i="34"/>
  <c r="BJ42" i="34"/>
  <c r="AY26" i="21"/>
  <c r="BG26" i="21"/>
  <c r="BA52" i="14"/>
  <c r="BI52" i="14"/>
  <c r="AX27" i="40"/>
  <c r="BF27" i="40"/>
  <c r="AZ51" i="32"/>
  <c r="BH51" i="32"/>
  <c r="AX49" i="34"/>
  <c r="BF49" i="34"/>
  <c r="AX42" i="13"/>
  <c r="BF42" i="13"/>
  <c r="AZ44" i="17"/>
  <c r="BH44" i="17"/>
  <c r="AZ42" i="34"/>
  <c r="BH42" i="34"/>
  <c r="AZ50" i="42"/>
  <c r="BH50" i="42"/>
  <c r="AY52" i="21"/>
  <c r="BG52" i="21"/>
  <c r="O26" i="18"/>
  <c r="O24" i="18"/>
  <c r="O27" i="18"/>
  <c r="O22" i="18"/>
  <c r="O25" i="18"/>
  <c r="O23" i="18"/>
  <c r="AZ45" i="15"/>
  <c r="BH45" i="15"/>
  <c r="BJ54" i="15"/>
  <c r="BB54" i="15"/>
  <c r="BA49" i="14"/>
  <c r="BI49" i="14"/>
  <c r="BC31" i="27"/>
  <c r="BK31" i="27"/>
  <c r="BF22" i="40"/>
  <c r="AX22" i="40"/>
  <c r="BB27" i="28"/>
  <c r="BJ27" i="28"/>
  <c r="AZ53" i="32"/>
  <c r="BH53" i="32"/>
  <c r="BA49" i="42"/>
  <c r="BI49" i="42"/>
  <c r="AX51" i="26"/>
  <c r="BF51" i="26"/>
  <c r="AX44" i="13"/>
  <c r="BF44" i="13"/>
  <c r="AZ41" i="17"/>
  <c r="BH41" i="17"/>
  <c r="AZ44" i="34"/>
  <c r="BH44" i="34"/>
  <c r="BA40" i="17"/>
  <c r="BI40" i="17"/>
  <c r="AX22" i="41"/>
  <c r="BF22" i="41"/>
  <c r="AY27" i="13"/>
  <c r="BG27" i="13"/>
  <c r="AY49" i="21"/>
  <c r="BG49" i="21"/>
  <c r="BG25" i="40"/>
  <c r="AY25" i="40"/>
  <c r="BA32" i="19"/>
  <c r="BI32" i="19"/>
  <c r="BB49" i="42"/>
  <c r="BJ49" i="42"/>
  <c r="AZ42" i="15"/>
  <c r="BH42" i="15"/>
  <c r="BH45" i="42"/>
  <c r="AZ45" i="42"/>
  <c r="BB49" i="15"/>
  <c r="BJ49" i="15"/>
  <c r="BA42" i="24"/>
  <c r="BI42" i="24"/>
  <c r="AY42" i="40"/>
  <c r="BG42" i="40"/>
  <c r="AZ41" i="22"/>
  <c r="BH41" i="22"/>
  <c r="AZ26" i="17"/>
  <c r="BH26" i="17"/>
  <c r="BB40" i="26"/>
  <c r="BJ40" i="26"/>
  <c r="BB25" i="34"/>
  <c r="BJ25" i="34"/>
  <c r="BA33" i="20"/>
  <c r="BI33" i="20"/>
  <c r="BI43" i="36"/>
  <c r="BA43" i="36"/>
  <c r="AZ27" i="27"/>
  <c r="BH27" i="27"/>
  <c r="BA42" i="18"/>
  <c r="BI42" i="18"/>
  <c r="AX44" i="39"/>
  <c r="BF44" i="39"/>
  <c r="N49" i="23"/>
  <c r="N50" i="23"/>
  <c r="N53" i="23"/>
  <c r="N51" i="23"/>
  <c r="N54" i="23"/>
  <c r="N52" i="23"/>
  <c r="AZ36" i="17"/>
  <c r="BH36" i="17"/>
  <c r="BF40" i="21"/>
  <c r="BL40" i="21" s="1"/>
  <c r="AN6" i="21" s="1"/>
  <c r="AX40" i="21"/>
  <c r="BD40" i="21" s="1"/>
  <c r="AI6" i="21" s="1"/>
  <c r="BA25" i="24"/>
  <c r="BI25" i="24"/>
  <c r="AX50" i="28"/>
  <c r="BF50" i="28"/>
  <c r="BB51" i="41"/>
  <c r="BJ51" i="41"/>
  <c r="BI40" i="40"/>
  <c r="BA40" i="40"/>
  <c r="AX36" i="20"/>
  <c r="BF36" i="20"/>
  <c r="AY43" i="15"/>
  <c r="BG43" i="15"/>
  <c r="AZ32" i="40"/>
  <c r="BH32" i="40"/>
  <c r="AZ42" i="36"/>
  <c r="BH42" i="36"/>
  <c r="AX34" i="29"/>
  <c r="BF34" i="29"/>
  <c r="AX32" i="33"/>
  <c r="BF32" i="33"/>
  <c r="BC26" i="35"/>
  <c r="BK26" i="35"/>
  <c r="AZ27" i="34"/>
  <c r="BH27" i="34"/>
  <c r="AX43" i="12"/>
  <c r="BF43" i="12"/>
  <c r="AX51" i="15"/>
  <c r="BF51" i="15"/>
  <c r="K23" i="23"/>
  <c r="K26" i="23"/>
  <c r="K24" i="23"/>
  <c r="K27" i="23"/>
  <c r="K22" i="23"/>
  <c r="K25" i="23"/>
  <c r="BF36" i="38"/>
  <c r="AX36" i="38"/>
  <c r="AY36" i="41"/>
  <c r="BG36" i="41"/>
  <c r="BB53" i="28"/>
  <c r="BJ53" i="28"/>
  <c r="AZ53" i="22"/>
  <c r="BH53" i="22"/>
  <c r="AY32" i="37"/>
  <c r="BG32" i="37"/>
  <c r="O41" i="35"/>
  <c r="O44" i="35"/>
  <c r="O42" i="35"/>
  <c r="O45" i="35"/>
  <c r="O43" i="35"/>
  <c r="O40" i="35"/>
  <c r="BA41" i="27"/>
  <c r="BI41" i="27"/>
  <c r="BB24" i="14"/>
  <c r="BJ24" i="14"/>
  <c r="AY52" i="13"/>
  <c r="BG52" i="13"/>
  <c r="V42" i="19"/>
  <c r="V40" i="19"/>
  <c r="V43" i="19"/>
  <c r="V41" i="19"/>
  <c r="V44" i="19"/>
  <c r="V45" i="19"/>
  <c r="BC41" i="27"/>
  <c r="BK41" i="27"/>
  <c r="BF32" i="40"/>
  <c r="AX32" i="40"/>
  <c r="AY24" i="14"/>
  <c r="BG24" i="14"/>
  <c r="BK53" i="13"/>
  <c r="BC53" i="13"/>
  <c r="AY33" i="26"/>
  <c r="BG33" i="26"/>
  <c r="AX23" i="34"/>
  <c r="BF23" i="34"/>
  <c r="AZ31" i="22"/>
  <c r="BH31" i="22"/>
  <c r="AY41" i="12"/>
  <c r="BG41" i="12"/>
  <c r="AX27" i="21"/>
  <c r="BF27" i="21"/>
  <c r="R49" i="22"/>
  <c r="R52" i="22"/>
  <c r="R50" i="22"/>
  <c r="R53" i="22"/>
  <c r="R51" i="22"/>
  <c r="R54" i="22"/>
  <c r="AY49" i="11"/>
  <c r="BG49" i="11"/>
  <c r="BC54" i="27"/>
  <c r="BK54" i="27"/>
  <c r="BI50" i="37"/>
  <c r="BL50" i="37" s="1"/>
  <c r="AO7" i="37" s="1"/>
  <c r="BA50" i="37"/>
  <c r="BD50" i="37" s="1"/>
  <c r="AJ7" i="37" s="1"/>
  <c r="BB44" i="31"/>
  <c r="BJ44" i="31"/>
  <c r="AX43" i="22"/>
  <c r="BF43" i="22"/>
  <c r="AY27" i="25"/>
  <c r="BG27" i="25"/>
  <c r="BH43" i="41"/>
  <c r="AZ43" i="41"/>
  <c r="AX45" i="18"/>
  <c r="BF45" i="18"/>
  <c r="BB26" i="39"/>
  <c r="BJ26" i="39"/>
  <c r="AZ44" i="33"/>
  <c r="BH44" i="33"/>
  <c r="BA50" i="20"/>
  <c r="BI50" i="20"/>
  <c r="BI51" i="36"/>
  <c r="BA51" i="36"/>
  <c r="AZ54" i="13"/>
  <c r="BH54" i="13"/>
  <c r="AX26" i="28"/>
  <c r="BF26" i="28"/>
  <c r="N27" i="24"/>
  <c r="N22" i="24"/>
  <c r="N25" i="24"/>
  <c r="N23" i="24"/>
  <c r="N26" i="24"/>
  <c r="N24" i="24"/>
  <c r="AZ25" i="32"/>
  <c r="BH25" i="32"/>
  <c r="AZ54" i="38"/>
  <c r="BH54" i="38"/>
  <c r="BJ35" i="39"/>
  <c r="BB35" i="39"/>
  <c r="AY53" i="39"/>
  <c r="BG53" i="39"/>
  <c r="F34" i="17"/>
  <c r="F32" i="17"/>
  <c r="F35" i="17"/>
  <c r="F33" i="17"/>
  <c r="F36" i="17"/>
  <c r="F31" i="17"/>
  <c r="BB33" i="17"/>
  <c r="BJ33" i="17"/>
  <c r="AX42" i="23"/>
  <c r="BF42" i="23"/>
  <c r="AY33" i="24"/>
  <c r="BG33" i="24"/>
  <c r="AY24" i="33"/>
  <c r="BG24" i="33"/>
  <c r="BB24" i="12"/>
  <c r="BJ24" i="12"/>
  <c r="AY34" i="27"/>
  <c r="BG34" i="27"/>
  <c r="AZ41" i="40"/>
  <c r="BH41" i="40"/>
  <c r="AZ23" i="42"/>
  <c r="BH23" i="42"/>
  <c r="BG45" i="41"/>
  <c r="AY45" i="41"/>
  <c r="BA22" i="37"/>
  <c r="BI22" i="37"/>
  <c r="BA27" i="19"/>
  <c r="BI27" i="19"/>
  <c r="AZ41" i="39"/>
  <c r="BH41" i="39"/>
  <c r="AY33" i="12"/>
  <c r="BG33" i="12"/>
  <c r="AZ24" i="16"/>
  <c r="BH24" i="16"/>
  <c r="BA26" i="35"/>
  <c r="BI26" i="35"/>
  <c r="BA35" i="14"/>
  <c r="BI35" i="14"/>
  <c r="AX32" i="15"/>
  <c r="BF32" i="15"/>
  <c r="BH25" i="28"/>
  <c r="AZ25" i="28"/>
  <c r="AZ31" i="36"/>
  <c r="BH31" i="36"/>
  <c r="AZ27" i="21"/>
  <c r="BH27" i="21"/>
  <c r="BH53" i="17"/>
  <c r="AZ53" i="17"/>
  <c r="AZ49" i="39"/>
  <c r="BH49" i="39"/>
  <c r="AZ52" i="34"/>
  <c r="BH52" i="34"/>
  <c r="BB52" i="40"/>
  <c r="BJ52" i="40"/>
  <c r="AZ41" i="16"/>
  <c r="BH41" i="16"/>
  <c r="BB23" i="15"/>
  <c r="BJ23" i="15"/>
  <c r="BF31" i="18"/>
  <c r="AX31" i="18"/>
  <c r="AY27" i="39"/>
  <c r="BG27" i="39"/>
  <c r="AX49" i="27"/>
  <c r="BF49" i="27"/>
  <c r="AZ44" i="19"/>
  <c r="BH44" i="19"/>
  <c r="BB52" i="23"/>
  <c r="BJ52" i="23"/>
  <c r="BB40" i="14"/>
  <c r="BJ40" i="14"/>
  <c r="AY43" i="34"/>
  <c r="BG43" i="34"/>
  <c r="AZ50" i="28"/>
  <c r="BH50" i="28"/>
  <c r="AX52" i="22"/>
  <c r="BF52" i="22"/>
  <c r="BB50" i="12"/>
  <c r="BJ50" i="12"/>
  <c r="BB31" i="41"/>
  <c r="BJ31" i="41"/>
  <c r="AX36" i="10"/>
  <c r="BD36" i="10" s="1"/>
  <c r="AH11" i="10" s="1"/>
  <c r="BF36" i="10"/>
  <c r="BL36" i="10" s="1"/>
  <c r="AM11" i="10" s="1"/>
  <c r="BB34" i="26"/>
  <c r="BJ34" i="26"/>
  <c r="BG53" i="25"/>
  <c r="AY53" i="25"/>
  <c r="AY40" i="11"/>
  <c r="BG40" i="11"/>
  <c r="AX26" i="38"/>
  <c r="BF26" i="38"/>
  <c r="AX33" i="34"/>
  <c r="BF33" i="34"/>
  <c r="AX22" i="13"/>
  <c r="BF22" i="13"/>
  <c r="AY25" i="15"/>
  <c r="BG25" i="15"/>
  <c r="AY31" i="19"/>
  <c r="BG31" i="19"/>
  <c r="BF50" i="23"/>
  <c r="AX50" i="23"/>
  <c r="AZ36" i="13"/>
  <c r="BH36" i="13"/>
  <c r="BG44" i="27"/>
  <c r="AY44" i="27"/>
  <c r="BB44" i="16"/>
  <c r="BJ44" i="16"/>
  <c r="BC35" i="41"/>
  <c r="BK35" i="41"/>
  <c r="F42" i="11"/>
  <c r="F45" i="11"/>
  <c r="F40" i="11"/>
  <c r="F43" i="11"/>
  <c r="F41" i="11"/>
  <c r="F44" i="11"/>
  <c r="N36" i="35"/>
  <c r="N31" i="35"/>
  <c r="N34" i="35"/>
  <c r="N32" i="35"/>
  <c r="N35" i="35"/>
  <c r="N33" i="35"/>
  <c r="BA27" i="14"/>
  <c r="BI27" i="14"/>
  <c r="AX27" i="32"/>
  <c r="BF27" i="32"/>
  <c r="BF23" i="15"/>
  <c r="AX23" i="15"/>
  <c r="BD23" i="15" s="1"/>
  <c r="AG7" i="15" s="1"/>
  <c r="BK54" i="18"/>
  <c r="BC54" i="18"/>
  <c r="AY53" i="40"/>
  <c r="BG53" i="40"/>
  <c r="AY26" i="37"/>
  <c r="BG26" i="37"/>
  <c r="AX32" i="23"/>
  <c r="BF32" i="23"/>
  <c r="O49" i="26"/>
  <c r="O52" i="26"/>
  <c r="O50" i="26"/>
  <c r="O53" i="26"/>
  <c r="O51" i="26"/>
  <c r="O54" i="26"/>
  <c r="BC44" i="41"/>
  <c r="BK44" i="41"/>
  <c r="BA24" i="12"/>
  <c r="BI24" i="12"/>
  <c r="AY25" i="34"/>
  <c r="BG25" i="34"/>
  <c r="AX36" i="19"/>
  <c r="BF36" i="19"/>
  <c r="AY32" i="13"/>
  <c r="BG32" i="13"/>
  <c r="AZ22" i="20"/>
  <c r="BH22" i="20"/>
  <c r="AZ35" i="38"/>
  <c r="BH35" i="38"/>
  <c r="BB51" i="26"/>
  <c r="BJ51" i="26"/>
  <c r="BB35" i="34"/>
  <c r="BJ35" i="34"/>
  <c r="BI36" i="18"/>
  <c r="BA36" i="18"/>
  <c r="BC25" i="23"/>
  <c r="BK25" i="23"/>
  <c r="BB22" i="33"/>
  <c r="BJ22" i="33"/>
  <c r="AY45" i="39"/>
  <c r="BG45" i="39"/>
  <c r="BB25" i="26"/>
  <c r="BJ25" i="26"/>
  <c r="AY33" i="17"/>
  <c r="BG33" i="17"/>
  <c r="AY22" i="36"/>
  <c r="BG22" i="36"/>
  <c r="AY43" i="25"/>
  <c r="BG43" i="25"/>
  <c r="BG50" i="18"/>
  <c r="AY50" i="18"/>
  <c r="F51" i="17"/>
  <c r="F54" i="17"/>
  <c r="F49" i="17"/>
  <c r="F52" i="17"/>
  <c r="F50" i="17"/>
  <c r="F53" i="17"/>
  <c r="AY25" i="19"/>
  <c r="BG25" i="19"/>
  <c r="BA32" i="23"/>
  <c r="BI32" i="23"/>
  <c r="BG49" i="36"/>
  <c r="AY49" i="36"/>
  <c r="BB24" i="38"/>
  <c r="BJ24" i="38"/>
  <c r="AY36" i="42"/>
  <c r="BG36" i="42"/>
  <c r="BK24" i="13"/>
  <c r="BC24" i="13"/>
  <c r="G54" i="25"/>
  <c r="G52" i="25"/>
  <c r="G53" i="25"/>
  <c r="G49" i="25"/>
  <c r="G51" i="25"/>
  <c r="G50" i="25"/>
  <c r="BA24" i="16"/>
  <c r="BI24" i="16"/>
  <c r="BC36" i="40"/>
  <c r="BK36" i="40"/>
  <c r="BH22" i="31"/>
  <c r="AZ22" i="31"/>
  <c r="AZ27" i="39"/>
  <c r="BH27" i="39"/>
  <c r="AY26" i="12"/>
  <c r="BG26" i="12"/>
  <c r="AZ31" i="34"/>
  <c r="BH31" i="34"/>
  <c r="AZ43" i="13"/>
  <c r="BH43" i="13"/>
  <c r="AY27" i="28"/>
  <c r="BG27" i="28"/>
  <c r="AY45" i="19"/>
  <c r="BG45" i="19"/>
  <c r="BI34" i="17"/>
  <c r="BA34" i="17"/>
  <c r="J40" i="16"/>
  <c r="J43" i="16"/>
  <c r="J41" i="16"/>
  <c r="J44" i="16"/>
  <c r="J42" i="16"/>
  <c r="J45" i="16"/>
  <c r="AY49" i="14"/>
  <c r="BG49" i="14"/>
  <c r="BB54" i="22"/>
  <c r="BJ54" i="22"/>
  <c r="AY34" i="22"/>
  <c r="BG34" i="22"/>
  <c r="BK26" i="41"/>
  <c r="BC26" i="41"/>
  <c r="AX25" i="16"/>
  <c r="BF25" i="16"/>
  <c r="AZ26" i="22"/>
  <c r="BH26" i="22"/>
  <c r="BA54" i="26"/>
  <c r="BI54" i="26"/>
  <c r="AY33" i="28"/>
  <c r="BG33" i="28"/>
  <c r="BB26" i="17"/>
  <c r="BJ26" i="17"/>
  <c r="BJ41" i="15"/>
  <c r="BB41" i="15"/>
  <c r="AX41" i="32"/>
  <c r="BF41" i="32"/>
  <c r="BA33" i="27"/>
  <c r="BI33" i="27"/>
  <c r="BA23" i="30"/>
  <c r="BI23" i="30"/>
  <c r="BB22" i="42"/>
  <c r="BJ22" i="42"/>
  <c r="BA52" i="29"/>
  <c r="BI52" i="29"/>
  <c r="AY45" i="28"/>
  <c r="BG45" i="28"/>
  <c r="AZ50" i="33"/>
  <c r="BH50" i="33"/>
  <c r="AX36" i="27"/>
  <c r="BF36" i="27"/>
  <c r="AZ31" i="16"/>
  <c r="BH31" i="16"/>
  <c r="AX44" i="41"/>
  <c r="BF44" i="41"/>
  <c r="BF42" i="40"/>
  <c r="AX42" i="40"/>
  <c r="BB41" i="28"/>
  <c r="BJ41" i="28"/>
  <c r="BI43" i="37"/>
  <c r="BA43" i="37"/>
  <c r="BA43" i="11"/>
  <c r="BI43" i="11"/>
  <c r="AZ32" i="39"/>
  <c r="BH32" i="39"/>
  <c r="AY54" i="12"/>
  <c r="BG54" i="12"/>
  <c r="AY31" i="36"/>
  <c r="BG31" i="36"/>
  <c r="BB45" i="23"/>
  <c r="BJ45" i="23"/>
  <c r="BG23" i="18"/>
  <c r="AY23" i="18"/>
  <c r="BC32" i="35"/>
  <c r="BK32" i="35"/>
  <c r="BA41" i="20"/>
  <c r="BI41" i="20"/>
  <c r="BI51" i="32"/>
  <c r="BA51" i="32"/>
  <c r="BC52" i="26"/>
  <c r="BK52" i="26"/>
  <c r="AY43" i="33"/>
  <c r="BG43" i="33"/>
  <c r="AY27" i="42"/>
  <c r="BG27" i="42"/>
  <c r="BJ44" i="12"/>
  <c r="BB44" i="12"/>
  <c r="BB41" i="13"/>
  <c r="BJ41" i="13"/>
  <c r="BA52" i="30"/>
  <c r="BI52" i="30"/>
  <c r="BF43" i="38"/>
  <c r="AX43" i="38"/>
  <c r="BA40" i="16"/>
  <c r="BI40" i="16"/>
  <c r="BB44" i="34"/>
  <c r="BJ44" i="34"/>
  <c r="AY53" i="33"/>
  <c r="BG53" i="33"/>
  <c r="BC50" i="40"/>
  <c r="BK50" i="40"/>
  <c r="J27" i="30"/>
  <c r="J22" i="30"/>
  <c r="J25" i="30"/>
  <c r="J23" i="30"/>
  <c r="J26" i="30"/>
  <c r="J24" i="30"/>
  <c r="AZ51" i="29"/>
  <c r="BH51" i="29"/>
  <c r="AZ51" i="20"/>
  <c r="BH51" i="20"/>
  <c r="F35" i="25"/>
  <c r="F36" i="25"/>
  <c r="F31" i="25"/>
  <c r="F34" i="25"/>
  <c r="F32" i="25"/>
  <c r="F33" i="25"/>
  <c r="BG43" i="18"/>
  <c r="AY43" i="18"/>
  <c r="BA35" i="26"/>
  <c r="BI35" i="26"/>
  <c r="F23" i="31"/>
  <c r="F26" i="31"/>
  <c r="F24" i="31"/>
  <c r="F27" i="31"/>
  <c r="F25" i="31"/>
  <c r="F22" i="31"/>
  <c r="AY53" i="28"/>
  <c r="BG53" i="28"/>
  <c r="AX42" i="36"/>
  <c r="BF42" i="36"/>
  <c r="BB43" i="29"/>
  <c r="BJ43" i="29"/>
  <c r="AY31" i="21"/>
  <c r="BG31" i="21"/>
  <c r="AZ25" i="29"/>
  <c r="BH25" i="29"/>
  <c r="BJ25" i="41"/>
  <c r="BB25" i="41"/>
  <c r="BB45" i="22"/>
  <c r="BJ45" i="22"/>
  <c r="AY25" i="22"/>
  <c r="BG25" i="22"/>
  <c r="AZ50" i="41"/>
  <c r="BH50" i="41"/>
  <c r="V50" i="27"/>
  <c r="V51" i="27"/>
  <c r="V54" i="27"/>
  <c r="V53" i="27"/>
  <c r="V49" i="27"/>
  <c r="V52" i="27"/>
  <c r="BA41" i="14"/>
  <c r="BI41" i="14"/>
  <c r="BA23" i="27"/>
  <c r="BI23" i="27"/>
  <c r="AZ33" i="29"/>
  <c r="BH33" i="29"/>
  <c r="AX34" i="24"/>
  <c r="BF34" i="24"/>
  <c r="AX52" i="29"/>
  <c r="BF52" i="29"/>
  <c r="BB49" i="11"/>
  <c r="BJ49" i="11"/>
  <c r="BJ54" i="29"/>
  <c r="BB54" i="29"/>
  <c r="AX34" i="39"/>
  <c r="BF34" i="39"/>
  <c r="BF34" i="28"/>
  <c r="AX34" i="28"/>
  <c r="AX40" i="15"/>
  <c r="BF40" i="15"/>
  <c r="AX53" i="24"/>
  <c r="BF53" i="24"/>
  <c r="BB43" i="33"/>
  <c r="BJ43" i="33"/>
  <c r="BA36" i="29"/>
  <c r="BI36" i="29"/>
  <c r="AY35" i="39"/>
  <c r="BG35" i="39"/>
  <c r="BA26" i="32"/>
  <c r="BI26" i="32"/>
  <c r="BB36" i="12"/>
  <c r="BJ36" i="12"/>
  <c r="AZ43" i="28"/>
  <c r="BH43" i="28"/>
  <c r="AZ31" i="14"/>
  <c r="BH31" i="14"/>
  <c r="AY33" i="33"/>
  <c r="BG33" i="33"/>
  <c r="AZ33" i="20"/>
  <c r="BH33" i="20"/>
  <c r="AY33" i="18"/>
  <c r="BG33" i="18"/>
  <c r="BA23" i="39"/>
  <c r="BI23" i="39"/>
  <c r="AZ52" i="19"/>
  <c r="BH52" i="19"/>
  <c r="BH53" i="27"/>
  <c r="AZ53" i="27"/>
  <c r="BC35" i="26"/>
  <c r="BK35" i="26"/>
  <c r="BK51" i="23"/>
  <c r="BC51" i="23"/>
  <c r="AX26" i="26"/>
  <c r="BF26" i="26"/>
  <c r="AZ53" i="14"/>
  <c r="BH53" i="14"/>
  <c r="AZ26" i="11"/>
  <c r="BH26" i="11"/>
  <c r="BA42" i="32"/>
  <c r="BI42" i="32"/>
  <c r="BA50" i="17"/>
  <c r="BI50" i="17"/>
  <c r="BC40" i="26"/>
  <c r="BK40" i="26"/>
  <c r="J51" i="30"/>
  <c r="J54" i="30"/>
  <c r="J49" i="30"/>
  <c r="J52" i="30"/>
  <c r="J50" i="30"/>
  <c r="J53" i="30"/>
  <c r="BA52" i="27"/>
  <c r="BI52" i="27"/>
  <c r="G45" i="25"/>
  <c r="G40" i="25"/>
  <c r="G41" i="25"/>
  <c r="G42" i="25"/>
  <c r="G44" i="25"/>
  <c r="G43" i="25"/>
  <c r="AZ25" i="38"/>
  <c r="BH25" i="38"/>
  <c r="BB49" i="32"/>
  <c r="BJ49" i="32"/>
  <c r="BA43" i="19"/>
  <c r="BI43" i="19"/>
  <c r="AY36" i="40"/>
  <c r="BG36" i="40"/>
  <c r="AX41" i="26"/>
  <c r="BF41" i="26"/>
  <c r="BA54" i="39"/>
  <c r="BI54" i="39"/>
  <c r="BF34" i="41"/>
  <c r="AX34" i="41"/>
  <c r="BK52" i="41"/>
  <c r="BC52" i="41"/>
  <c r="BG52" i="42"/>
  <c r="AY52" i="42"/>
  <c r="AZ45" i="11"/>
  <c r="BH45" i="11"/>
  <c r="AX32" i="32"/>
  <c r="BF32" i="32"/>
  <c r="BC44" i="13"/>
  <c r="BK44" i="13"/>
  <c r="BA26" i="29"/>
  <c r="BI26" i="29"/>
  <c r="AZ50" i="11"/>
  <c r="BH50" i="11"/>
  <c r="BA49" i="23"/>
  <c r="BI49" i="23"/>
  <c r="BA53" i="12"/>
  <c r="BI53" i="12"/>
  <c r="BA34" i="24"/>
  <c r="BI34" i="24"/>
  <c r="AY52" i="34"/>
  <c r="BG52" i="34"/>
  <c r="BB52" i="38"/>
  <c r="BJ52" i="38"/>
  <c r="AZ50" i="31"/>
  <c r="BH50" i="31"/>
  <c r="BH23" i="19"/>
  <c r="AZ23" i="19"/>
  <c r="BI32" i="35"/>
  <c r="BA32" i="35"/>
  <c r="BJ36" i="22"/>
  <c r="BB36" i="22"/>
  <c r="BF26" i="18"/>
  <c r="AX26" i="18"/>
  <c r="BH50" i="15"/>
  <c r="AZ50" i="15"/>
  <c r="AZ22" i="33"/>
  <c r="BH22" i="33"/>
  <c r="AX44" i="27"/>
  <c r="BF44" i="27"/>
  <c r="BA31" i="12"/>
  <c r="BI31" i="12"/>
  <c r="BK40" i="11"/>
  <c r="BC40" i="11"/>
  <c r="AX25" i="20"/>
  <c r="BF25" i="20"/>
  <c r="BJ27" i="32"/>
  <c r="BB27" i="32"/>
  <c r="AY24" i="17"/>
  <c r="BG24" i="17"/>
  <c r="BI24" i="36"/>
  <c r="BA24" i="36"/>
  <c r="BA49" i="18"/>
  <c r="BI49" i="18"/>
  <c r="BG54" i="24"/>
  <c r="AY54" i="24"/>
  <c r="AX45" i="19"/>
  <c r="BF45" i="19"/>
  <c r="AY27" i="27"/>
  <c r="BG27" i="27"/>
  <c r="AX27" i="10"/>
  <c r="BD27" i="10" s="1"/>
  <c r="AG11" i="10" s="1"/>
  <c r="BF27" i="10"/>
  <c r="BL27" i="10" s="1"/>
  <c r="AL11" i="10" s="1"/>
  <c r="BB35" i="32"/>
  <c r="BJ35" i="32"/>
  <c r="BA25" i="11"/>
  <c r="BI25" i="11"/>
  <c r="BA34" i="32"/>
  <c r="BI34" i="32"/>
  <c r="AY40" i="35"/>
  <c r="BG40" i="35"/>
  <c r="BB33" i="33"/>
  <c r="BJ33" i="33"/>
  <c r="BI25" i="40"/>
  <c r="BA25" i="40"/>
  <c r="AX33" i="16"/>
  <c r="BF33" i="16"/>
  <c r="AY40" i="17"/>
  <c r="BG40" i="17"/>
  <c r="E93" i="54"/>
  <c r="D93" i="54"/>
  <c r="B93" i="54"/>
  <c r="A64" i="8" s="1"/>
  <c r="C64" i="8" s="1"/>
  <c r="E116" i="54"/>
  <c r="B116" i="54"/>
  <c r="A122" i="8" s="1"/>
  <c r="C122" i="8" s="1"/>
  <c r="D116" i="54"/>
  <c r="E118" i="54"/>
  <c r="B118" i="54"/>
  <c r="A116" i="8" s="1"/>
  <c r="C116" i="8" s="1"/>
  <c r="D118" i="54"/>
  <c r="E106" i="54"/>
  <c r="B106" i="54"/>
  <c r="A146" i="8" s="1"/>
  <c r="C146" i="8" s="1"/>
  <c r="D106" i="54"/>
  <c r="E172" i="54"/>
  <c r="D172" i="54"/>
  <c r="B172" i="54"/>
  <c r="A179" i="8" s="1"/>
  <c r="C179" i="8" s="1"/>
  <c r="B88" i="54"/>
  <c r="A139" i="8" s="1"/>
  <c r="C139" i="8" s="1"/>
  <c r="E88" i="54"/>
  <c r="D88" i="54"/>
  <c r="E162" i="54"/>
  <c r="D162" i="54"/>
  <c r="B162" i="54"/>
  <c r="A151" i="8" s="1"/>
  <c r="C151" i="8" s="1"/>
  <c r="D129" i="54"/>
  <c r="B129" i="54"/>
  <c r="A78" i="8" s="1"/>
  <c r="C78" i="8" s="1"/>
  <c r="E129" i="54"/>
  <c r="E147" i="54"/>
  <c r="D147" i="54"/>
  <c r="B147" i="54"/>
  <c r="A150" i="8" s="1"/>
  <c r="C150" i="8" s="1"/>
  <c r="E87" i="54"/>
  <c r="D87" i="54"/>
  <c r="B87" i="54"/>
  <c r="A137" i="8" s="1"/>
  <c r="C137" i="8" s="1"/>
  <c r="E158" i="54"/>
  <c r="D158" i="54"/>
  <c r="B158" i="54"/>
  <c r="A163" i="8" s="1"/>
  <c r="C163" i="8" s="1"/>
  <c r="E186" i="54"/>
  <c r="D186" i="54"/>
  <c r="B186" i="54"/>
  <c r="A212" i="8" s="1"/>
  <c r="C212" i="8" s="1"/>
  <c r="E185" i="54"/>
  <c r="D185" i="54"/>
  <c r="B185" i="54"/>
  <c r="A215" i="8" s="1"/>
  <c r="C215" i="8" s="1"/>
  <c r="B86" i="54"/>
  <c r="A135" i="8" s="1"/>
  <c r="C135" i="8" s="1"/>
  <c r="E86" i="54"/>
  <c r="D86" i="54"/>
  <c r="B64" i="54"/>
  <c r="A80" i="8" s="1"/>
  <c r="C80" i="8" s="1"/>
  <c r="E64" i="54"/>
  <c r="D64" i="54"/>
  <c r="B56" i="54"/>
  <c r="A108" i="8" s="1"/>
  <c r="C108" i="8" s="1"/>
  <c r="E56" i="54"/>
  <c r="D56" i="54"/>
  <c r="E132" i="54"/>
  <c r="D132" i="54"/>
  <c r="B132" i="54"/>
  <c r="A79" i="8" s="1"/>
  <c r="C79" i="8" s="1"/>
  <c r="E182" i="54"/>
  <c r="D182" i="54"/>
  <c r="B182" i="54"/>
  <c r="A224" i="8" s="1"/>
  <c r="C224" i="8" s="1"/>
  <c r="E192" i="54"/>
  <c r="D192" i="54"/>
  <c r="B192" i="54"/>
  <c r="A195" i="8" s="1"/>
  <c r="C195" i="8" s="1"/>
  <c r="D135" i="54"/>
  <c r="B135" i="54"/>
  <c r="A91" i="8" s="1"/>
  <c r="C91" i="8" s="1"/>
  <c r="E135" i="54"/>
  <c r="B33" i="8"/>
  <c r="B97" i="8"/>
  <c r="B167" i="8"/>
  <c r="B4" i="8"/>
  <c r="B106" i="8"/>
  <c r="B168" i="8"/>
  <c r="B31" i="8"/>
  <c r="B89" i="8"/>
  <c r="B91" i="8"/>
  <c r="B24" i="8"/>
  <c r="B102" i="8"/>
  <c r="B104" i="8"/>
  <c r="B212" i="8"/>
  <c r="B109" i="8"/>
  <c r="B164" i="8"/>
  <c r="B13" i="8"/>
  <c r="B80" i="8"/>
  <c r="B82" i="8"/>
  <c r="B195" i="8"/>
  <c r="B103" i="8"/>
  <c r="B172" i="8"/>
  <c r="B3" i="8"/>
  <c r="B112" i="8"/>
  <c r="B161" i="8"/>
  <c r="J259" i="57"/>
  <c r="F257" i="57"/>
  <c r="J252" i="57"/>
  <c r="F250" i="57"/>
  <c r="J243" i="57"/>
  <c r="F241" i="57"/>
  <c r="J236" i="57"/>
  <c r="F234" i="57"/>
  <c r="J227" i="57"/>
  <c r="F225" i="57"/>
  <c r="J220" i="57"/>
  <c r="F218" i="57"/>
  <c r="J211" i="57"/>
  <c r="F209" i="57"/>
  <c r="J204" i="57"/>
  <c r="F202" i="57"/>
  <c r="J195" i="57"/>
  <c r="F193" i="57"/>
  <c r="F259" i="57"/>
  <c r="J254" i="57"/>
  <c r="F252" i="57"/>
  <c r="J245" i="57"/>
  <c r="F243" i="57"/>
  <c r="J238" i="57"/>
  <c r="F236" i="57"/>
  <c r="J229" i="57"/>
  <c r="F227" i="57"/>
  <c r="J256" i="57"/>
  <c r="F254" i="57"/>
  <c r="J247" i="57"/>
  <c r="F245" i="57"/>
  <c r="J240" i="57"/>
  <c r="F238" i="57"/>
  <c r="J231" i="57"/>
  <c r="F229" i="57"/>
  <c r="J224" i="57"/>
  <c r="F222" i="57"/>
  <c r="J215" i="57"/>
  <c r="F213" i="57"/>
  <c r="J208" i="57"/>
  <c r="F206" i="57"/>
  <c r="J258" i="57"/>
  <c r="F256" i="57"/>
  <c r="J249" i="57"/>
  <c r="F247" i="57"/>
  <c r="J242" i="57"/>
  <c r="F240" i="57"/>
  <c r="J233" i="57"/>
  <c r="F231" i="57"/>
  <c r="J226" i="57"/>
  <c r="F224" i="57"/>
  <c r="J217" i="57"/>
  <c r="F215" i="57"/>
  <c r="J210" i="57"/>
  <c r="F208" i="57"/>
  <c r="J201" i="57"/>
  <c r="F199" i="57"/>
  <c r="J194" i="57"/>
  <c r="F192" i="57"/>
  <c r="F258" i="57"/>
  <c r="J251" i="57"/>
  <c r="F249" i="57"/>
  <c r="J244" i="57"/>
  <c r="F242" i="57"/>
  <c r="J235" i="57"/>
  <c r="F233" i="57"/>
  <c r="J228" i="57"/>
  <c r="F226" i="57"/>
  <c r="J219" i="57"/>
  <c r="F217" i="57"/>
  <c r="J212" i="57"/>
  <c r="F210" i="57"/>
  <c r="J203" i="57"/>
  <c r="F201" i="57"/>
  <c r="J196" i="57"/>
  <c r="F194" i="57"/>
  <c r="J257" i="57"/>
  <c r="F255" i="57"/>
  <c r="J250" i="57"/>
  <c r="F248" i="57"/>
  <c r="J241" i="57"/>
  <c r="F239" i="57"/>
  <c r="J234" i="57"/>
  <c r="F232" i="57"/>
  <c r="J225" i="57"/>
  <c r="F223" i="57"/>
  <c r="J218" i="57"/>
  <c r="F216" i="57"/>
  <c r="J209" i="57"/>
  <c r="F207" i="57"/>
  <c r="J202" i="57"/>
  <c r="F200" i="57"/>
  <c r="J193" i="57"/>
  <c r="F191" i="57"/>
  <c r="J230" i="57"/>
  <c r="J223" i="57"/>
  <c r="F211" i="57"/>
  <c r="F205" i="57"/>
  <c r="J199" i="57"/>
  <c r="F190" i="57"/>
  <c r="F186" i="57"/>
  <c r="F182" i="57"/>
  <c r="F179" i="57"/>
  <c r="J63" i="57"/>
  <c r="F60" i="57"/>
  <c r="J55" i="57"/>
  <c r="F52" i="57"/>
  <c r="J248" i="57"/>
  <c r="J239" i="57"/>
  <c r="F230" i="57"/>
  <c r="J222" i="57"/>
  <c r="J216" i="57"/>
  <c r="F204" i="57"/>
  <c r="J198" i="57"/>
  <c r="J189" i="57"/>
  <c r="J185" i="57"/>
  <c r="J181" i="57"/>
  <c r="J178" i="57"/>
  <c r="J176" i="57"/>
  <c r="J174" i="57"/>
  <c r="J172" i="57"/>
  <c r="J170" i="57"/>
  <c r="J168" i="57"/>
  <c r="J166" i="57"/>
  <c r="J164" i="57"/>
  <c r="J162" i="57"/>
  <c r="J160" i="57"/>
  <c r="J158" i="57"/>
  <c r="J156" i="57"/>
  <c r="J154" i="57"/>
  <c r="J152" i="57"/>
  <c r="J150" i="57"/>
  <c r="J148" i="57"/>
  <c r="J146" i="57"/>
  <c r="J144" i="57"/>
  <c r="J142" i="57"/>
  <c r="J140" i="57"/>
  <c r="J138" i="57"/>
  <c r="J136" i="57"/>
  <c r="J134" i="57"/>
  <c r="J132" i="57"/>
  <c r="J130" i="57"/>
  <c r="J128" i="57"/>
  <c r="J126" i="57"/>
  <c r="J124" i="57"/>
  <c r="J122" i="57"/>
  <c r="J120" i="57"/>
  <c r="J118" i="57"/>
  <c r="J116" i="57"/>
  <c r="J114" i="57"/>
  <c r="J112" i="57"/>
  <c r="J110" i="57"/>
  <c r="J108" i="57"/>
  <c r="J246" i="57"/>
  <c r="J237" i="57"/>
  <c r="F228" i="57"/>
  <c r="J221" i="57"/>
  <c r="F203" i="57"/>
  <c r="F198" i="57"/>
  <c r="F189" i="57"/>
  <c r="F185" i="57"/>
  <c r="F181" i="57"/>
  <c r="F178" i="57"/>
  <c r="F176" i="57"/>
  <c r="F174" i="57"/>
  <c r="F172" i="57"/>
  <c r="F170" i="57"/>
  <c r="F168" i="57"/>
  <c r="F166" i="57"/>
  <c r="F164" i="57"/>
  <c r="F162" i="57"/>
  <c r="F160" i="57"/>
  <c r="F158" i="57"/>
  <c r="F156" i="57"/>
  <c r="F154" i="57"/>
  <c r="F152" i="57"/>
  <c r="F150" i="57"/>
  <c r="F148" i="57"/>
  <c r="F146" i="57"/>
  <c r="F144" i="57"/>
  <c r="F142" i="57"/>
  <c r="F140" i="57"/>
  <c r="F138" i="57"/>
  <c r="F136" i="57"/>
  <c r="F134" i="57"/>
  <c r="F132" i="57"/>
  <c r="F130" i="57"/>
  <c r="F128" i="57"/>
  <c r="F126" i="57"/>
  <c r="F124" i="57"/>
  <c r="F122" i="57"/>
  <c r="J255" i="57"/>
  <c r="F246" i="57"/>
  <c r="F237" i="57"/>
  <c r="F221" i="57"/>
  <c r="J214" i="57"/>
  <c r="J197" i="57"/>
  <c r="J188" i="57"/>
  <c r="J184" i="57"/>
  <c r="J180" i="57"/>
  <c r="J64" i="57"/>
  <c r="F61" i="57"/>
  <c r="J56" i="57"/>
  <c r="F53" i="57"/>
  <c r="J48" i="57"/>
  <c r="F45" i="57"/>
  <c r="J253" i="57"/>
  <c r="F244" i="57"/>
  <c r="F235" i="57"/>
  <c r="F220" i="57"/>
  <c r="F214" i="57"/>
  <c r="F197" i="57"/>
  <c r="J192" i="57"/>
  <c r="F188" i="57"/>
  <c r="F184" i="57"/>
  <c r="F180" i="57"/>
  <c r="F253" i="57"/>
  <c r="F219" i="57"/>
  <c r="J213" i="57"/>
  <c r="J207" i="57"/>
  <c r="F196" i="57"/>
  <c r="J187" i="57"/>
  <c r="J183" i="57"/>
  <c r="J177" i="57"/>
  <c r="J175" i="57"/>
  <c r="J173" i="57"/>
  <c r="J171" i="57"/>
  <c r="J169" i="57"/>
  <c r="J167" i="57"/>
  <c r="J165" i="57"/>
  <c r="J163" i="57"/>
  <c r="J161" i="57"/>
  <c r="J159" i="57"/>
  <c r="J157" i="57"/>
  <c r="J155" i="57"/>
  <c r="J153" i="57"/>
  <c r="J151" i="57"/>
  <c r="J149" i="57"/>
  <c r="J147" i="57"/>
  <c r="J145" i="57"/>
  <c r="J143" i="57"/>
  <c r="J141" i="57"/>
  <c r="J139" i="57"/>
  <c r="J137" i="57"/>
  <c r="J135" i="57"/>
  <c r="J133" i="57"/>
  <c r="J131" i="57"/>
  <c r="J129" i="57"/>
  <c r="J127" i="57"/>
  <c r="J125" i="57"/>
  <c r="J123" i="57"/>
  <c r="J121" i="57"/>
  <c r="J119" i="57"/>
  <c r="J117" i="57"/>
  <c r="J115" i="57"/>
  <c r="J113" i="57"/>
  <c r="J111" i="57"/>
  <c r="J109" i="57"/>
  <c r="J107" i="57"/>
  <c r="J105" i="57"/>
  <c r="J103" i="57"/>
  <c r="J101" i="57"/>
  <c r="J99" i="57"/>
  <c r="J97" i="57"/>
  <c r="J232" i="57"/>
  <c r="J205" i="57"/>
  <c r="F195" i="57"/>
  <c r="J190" i="57"/>
  <c r="J186" i="57"/>
  <c r="J182" i="57"/>
  <c r="J179" i="57"/>
  <c r="J191" i="57"/>
  <c r="F169" i="57"/>
  <c r="F153" i="57"/>
  <c r="F137" i="57"/>
  <c r="F121" i="57"/>
  <c r="F110" i="57"/>
  <c r="F92" i="57"/>
  <c r="J89" i="57"/>
  <c r="F84" i="57"/>
  <c r="J81" i="57"/>
  <c r="F76" i="57"/>
  <c r="J73" i="57"/>
  <c r="F68" i="57"/>
  <c r="J46" i="57"/>
  <c r="F41" i="57"/>
  <c r="J36" i="57"/>
  <c r="J31" i="57"/>
  <c r="F28" i="57"/>
  <c r="J23" i="57"/>
  <c r="F20" i="57"/>
  <c r="J18" i="57"/>
  <c r="F15" i="57"/>
  <c r="F10" i="57"/>
  <c r="F5" i="57"/>
  <c r="F187" i="57"/>
  <c r="F167" i="57"/>
  <c r="F151" i="57"/>
  <c r="F135" i="57"/>
  <c r="F120" i="57"/>
  <c r="F115" i="57"/>
  <c r="F105" i="57"/>
  <c r="F101" i="57"/>
  <c r="F97" i="57"/>
  <c r="J94" i="57"/>
  <c r="F89" i="57"/>
  <c r="J86" i="57"/>
  <c r="F81" i="57"/>
  <c r="J78" i="57"/>
  <c r="F73" i="57"/>
  <c r="J70" i="57"/>
  <c r="J65" i="57"/>
  <c r="F63" i="57"/>
  <c r="J59" i="57"/>
  <c r="J57" i="57"/>
  <c r="F55" i="57"/>
  <c r="J51" i="57"/>
  <c r="F46" i="57"/>
  <c r="J44" i="57"/>
  <c r="J39" i="57"/>
  <c r="F36" i="57"/>
  <c r="J34" i="57"/>
  <c r="F31" i="57"/>
  <c r="J26" i="57"/>
  <c r="F23" i="57"/>
  <c r="F18" i="57"/>
  <c r="J13" i="57"/>
  <c r="J8" i="57"/>
  <c r="F183" i="57"/>
  <c r="F165" i="57"/>
  <c r="F149" i="57"/>
  <c r="F133" i="57"/>
  <c r="F114" i="57"/>
  <c r="F109" i="57"/>
  <c r="J104" i="57"/>
  <c r="J100" i="57"/>
  <c r="F94" i="57"/>
  <c r="J91" i="57"/>
  <c r="F86" i="57"/>
  <c r="J83" i="57"/>
  <c r="F78" i="57"/>
  <c r="J75" i="57"/>
  <c r="F70" i="57"/>
  <c r="J67" i="57"/>
  <c r="F65" i="57"/>
  <c r="J61" i="57"/>
  <c r="F59" i="57"/>
  <c r="F57" i="57"/>
  <c r="J53" i="57"/>
  <c r="F51" i="57"/>
  <c r="J49" i="57"/>
  <c r="F44" i="57"/>
  <c r="J42" i="57"/>
  <c r="F39" i="57"/>
  <c r="F34" i="57"/>
  <c r="J29" i="57"/>
  <c r="F26" i="57"/>
  <c r="J21" i="57"/>
  <c r="J16" i="57"/>
  <c r="F13" i="57"/>
  <c r="F8" i="57"/>
  <c r="J6" i="57"/>
  <c r="F163" i="57"/>
  <c r="F147" i="57"/>
  <c r="F131" i="57"/>
  <c r="F119" i="57"/>
  <c r="F108" i="57"/>
  <c r="F104" i="57"/>
  <c r="F100" i="57"/>
  <c r="J96" i="57"/>
  <c r="F91" i="57"/>
  <c r="J88" i="57"/>
  <c r="F83" i="57"/>
  <c r="J80" i="57"/>
  <c r="F75" i="57"/>
  <c r="J72" i="57"/>
  <c r="F67" i="57"/>
  <c r="F49" i="57"/>
  <c r="J47" i="57"/>
  <c r="F42" i="57"/>
  <c r="J37" i="57"/>
  <c r="J32" i="57"/>
  <c r="F29" i="57"/>
  <c r="J24" i="57"/>
  <c r="F21" i="57"/>
  <c r="F16" i="57"/>
  <c r="J11" i="57"/>
  <c r="F6" i="57"/>
  <c r="J4" i="57"/>
  <c r="F212" i="57"/>
  <c r="F177" i="57"/>
  <c r="F161" i="57"/>
  <c r="F145" i="57"/>
  <c r="F129" i="57"/>
  <c r="F118" i="57"/>
  <c r="F113" i="57"/>
  <c r="F96" i="57"/>
  <c r="J93" i="57"/>
  <c r="F88" i="57"/>
  <c r="J85" i="57"/>
  <c r="F80" i="57"/>
  <c r="J77" i="57"/>
  <c r="F72" i="57"/>
  <c r="J69" i="57"/>
  <c r="F47" i="57"/>
  <c r="J40" i="57"/>
  <c r="F37" i="57"/>
  <c r="F32" i="57"/>
  <c r="J27" i="57"/>
  <c r="F24" i="57"/>
  <c r="J19" i="57"/>
  <c r="J14" i="57"/>
  <c r="F11" i="57"/>
  <c r="J9" i="57"/>
  <c r="F4" i="57"/>
  <c r="J206" i="57"/>
  <c r="F175" i="57"/>
  <c r="F159" i="57"/>
  <c r="F143" i="57"/>
  <c r="F127" i="57"/>
  <c r="F112" i="57"/>
  <c r="F107" i="57"/>
  <c r="F103" i="57"/>
  <c r="F99" i="57"/>
  <c r="F93" i="57"/>
  <c r="J90" i="57"/>
  <c r="F85" i="57"/>
  <c r="J82" i="57"/>
  <c r="F77" i="57"/>
  <c r="J74" i="57"/>
  <c r="F69" i="57"/>
  <c r="J66" i="57"/>
  <c r="F64" i="57"/>
  <c r="J62" i="57"/>
  <c r="J58" i="57"/>
  <c r="F56" i="57"/>
  <c r="J54" i="57"/>
  <c r="J45" i="57"/>
  <c r="J43" i="57"/>
  <c r="F40" i="57"/>
  <c r="J35" i="57"/>
  <c r="J30" i="57"/>
  <c r="F27" i="57"/>
  <c r="J22" i="57"/>
  <c r="F19" i="57"/>
  <c r="J17" i="57"/>
  <c r="F14" i="57"/>
  <c r="F9" i="57"/>
  <c r="J200" i="57"/>
  <c r="F173" i="57"/>
  <c r="F157" i="57"/>
  <c r="F141" i="57"/>
  <c r="F125" i="57"/>
  <c r="F117" i="57"/>
  <c r="J106" i="57"/>
  <c r="J102" i="57"/>
  <c r="J98" i="57"/>
  <c r="J95" i="57"/>
  <c r="F90" i="57"/>
  <c r="J87" i="57"/>
  <c r="F82" i="57"/>
  <c r="J79" i="57"/>
  <c r="F74" i="57"/>
  <c r="J71" i="57"/>
  <c r="F66" i="57"/>
  <c r="F62" i="57"/>
  <c r="J60" i="57"/>
  <c r="F58" i="57"/>
  <c r="F54" i="57"/>
  <c r="J52" i="57"/>
  <c r="J50" i="57"/>
  <c r="F43" i="57"/>
  <c r="J38" i="57"/>
  <c r="F35" i="57"/>
  <c r="J33" i="57"/>
  <c r="F30" i="57"/>
  <c r="J25" i="57"/>
  <c r="F22" i="57"/>
  <c r="F17" i="57"/>
  <c r="J12" i="57"/>
  <c r="J7" i="57"/>
  <c r="F251" i="57"/>
  <c r="F171" i="57"/>
  <c r="F155" i="57"/>
  <c r="F139" i="57"/>
  <c r="F123" i="57"/>
  <c r="F116" i="57"/>
  <c r="F111" i="57"/>
  <c r="F106" i="57"/>
  <c r="F102" i="57"/>
  <c r="F98" i="57"/>
  <c r="F95" i="57"/>
  <c r="J92" i="57"/>
  <c r="F87" i="57"/>
  <c r="J84" i="57"/>
  <c r="F79" i="57"/>
  <c r="J76" i="57"/>
  <c r="F71" i="57"/>
  <c r="J68" i="57"/>
  <c r="F50" i="57"/>
  <c r="F48" i="57"/>
  <c r="J41" i="57"/>
  <c r="F38" i="57"/>
  <c r="F33" i="57"/>
  <c r="J28" i="57"/>
  <c r="F25" i="57"/>
  <c r="J20" i="57"/>
  <c r="J15" i="57"/>
  <c r="F12" i="57"/>
  <c r="J10" i="57"/>
  <c r="F7" i="57"/>
  <c r="J5" i="57"/>
  <c r="BB40" i="41"/>
  <c r="BJ40" i="41"/>
  <c r="BG52" i="41"/>
  <c r="AY52" i="41"/>
  <c r="AZ35" i="32"/>
  <c r="BH35" i="32"/>
  <c r="AZ31" i="11"/>
  <c r="BH31" i="11"/>
  <c r="BA40" i="35"/>
  <c r="BI40" i="35"/>
  <c r="BG42" i="13"/>
  <c r="AY42" i="13"/>
  <c r="BA31" i="16"/>
  <c r="BI31" i="16"/>
  <c r="BG49" i="37"/>
  <c r="BL49" i="37" s="1"/>
  <c r="AO6" i="37" s="1"/>
  <c r="AY49" i="37"/>
  <c r="BD49" i="37" s="1"/>
  <c r="AJ6" i="37" s="1"/>
  <c r="BA43" i="23"/>
  <c r="BI43" i="23"/>
  <c r="BA49" i="35"/>
  <c r="BI49" i="35"/>
  <c r="AX44" i="33"/>
  <c r="BF44" i="33"/>
  <c r="BC35" i="18"/>
  <c r="BK35" i="18"/>
  <c r="BB33" i="15"/>
  <c r="BJ33" i="15"/>
  <c r="BA25" i="25"/>
  <c r="BI25" i="25"/>
  <c r="BB34" i="38"/>
  <c r="BJ34" i="38"/>
  <c r="BB44" i="38"/>
  <c r="BJ44" i="38"/>
  <c r="BB27" i="29"/>
  <c r="BJ27" i="29"/>
  <c r="AY42" i="21"/>
  <c r="BG42" i="21"/>
  <c r="BA32" i="25"/>
  <c r="BI32" i="25"/>
  <c r="AX41" i="24"/>
  <c r="BF41" i="24"/>
  <c r="BA25" i="20"/>
  <c r="BI25" i="20"/>
  <c r="AZ34" i="28"/>
  <c r="BH34" i="28"/>
  <c r="BC22" i="27"/>
  <c r="BK22" i="27"/>
  <c r="AZ34" i="21"/>
  <c r="BH34" i="21"/>
  <c r="AY32" i="34"/>
  <c r="BG32" i="34"/>
  <c r="AX40" i="28"/>
  <c r="BF40" i="28"/>
  <c r="AY22" i="35"/>
  <c r="BG22" i="35"/>
  <c r="BF22" i="24"/>
  <c r="AX22" i="24"/>
  <c r="BB49" i="33"/>
  <c r="BJ49" i="33"/>
  <c r="BF54" i="40"/>
  <c r="AX54" i="40"/>
  <c r="AY43" i="14"/>
  <c r="BG43" i="14"/>
  <c r="AX45" i="10"/>
  <c r="BD45" i="10" s="1"/>
  <c r="AI11" i="10" s="1"/>
  <c r="BF45" i="10"/>
  <c r="BL45" i="10" s="1"/>
  <c r="AN11" i="10" s="1"/>
  <c r="AZ25" i="15"/>
  <c r="BH25" i="15"/>
  <c r="G49" i="35"/>
  <c r="G52" i="35"/>
  <c r="G50" i="35"/>
  <c r="G53" i="35"/>
  <c r="G51" i="35"/>
  <c r="G54" i="35"/>
  <c r="AX25" i="12"/>
  <c r="BF25" i="12"/>
  <c r="AX50" i="19"/>
  <c r="BF50" i="19"/>
  <c r="BG35" i="11"/>
  <c r="AY35" i="11"/>
  <c r="AY54" i="27"/>
  <c r="BG54" i="27"/>
  <c r="BG42" i="22"/>
  <c r="AY42" i="22"/>
  <c r="BH36" i="41"/>
  <c r="AZ36" i="41"/>
  <c r="AX51" i="18"/>
  <c r="BF51" i="18"/>
  <c r="BB45" i="32"/>
  <c r="BJ45" i="32"/>
  <c r="AY51" i="15"/>
  <c r="BG51" i="15"/>
  <c r="BI35" i="11"/>
  <c r="BA35" i="11"/>
  <c r="AX22" i="33"/>
  <c r="BF22" i="33"/>
  <c r="AZ40" i="27"/>
  <c r="BH40" i="27"/>
  <c r="K32" i="30"/>
  <c r="K35" i="30"/>
  <c r="K33" i="30"/>
  <c r="K36" i="30"/>
  <c r="K34" i="30"/>
  <c r="K31" i="30"/>
  <c r="BB34" i="29"/>
  <c r="BJ34" i="29"/>
  <c r="BC31" i="23"/>
  <c r="BK31" i="23"/>
  <c r="AX49" i="20"/>
  <c r="BF49" i="20"/>
  <c r="AY43" i="37"/>
  <c r="BD43" i="37" s="1"/>
  <c r="AI9" i="37" s="1"/>
  <c r="BG43" i="37"/>
  <c r="BL43" i="37" s="1"/>
  <c r="AN9" i="37" s="1"/>
  <c r="BB45" i="39"/>
  <c r="BJ45" i="39"/>
  <c r="BC40" i="18"/>
  <c r="BK40" i="18"/>
  <c r="BH41" i="32"/>
  <c r="AZ41" i="32"/>
  <c r="BB53" i="39"/>
  <c r="BJ53" i="39"/>
  <c r="BC22" i="40"/>
  <c r="BK22" i="40"/>
  <c r="BF51" i="36"/>
  <c r="AX51" i="36"/>
  <c r="AZ23" i="14"/>
  <c r="BH23" i="14"/>
  <c r="AY23" i="13"/>
  <c r="BG23" i="13"/>
  <c r="AZ22" i="17"/>
  <c r="BH22" i="17"/>
  <c r="BA45" i="18"/>
  <c r="BI45" i="18"/>
  <c r="AZ32" i="17"/>
  <c r="BH32" i="17"/>
  <c r="AX54" i="28"/>
  <c r="BF54" i="28"/>
  <c r="BC53" i="35"/>
  <c r="BK53" i="35"/>
  <c r="AZ41" i="36"/>
  <c r="BH41" i="36"/>
  <c r="BC45" i="23"/>
  <c r="BK45" i="23"/>
  <c r="BA44" i="27"/>
  <c r="BI44" i="27"/>
  <c r="AY25" i="14"/>
  <c r="BG25" i="14"/>
  <c r="BB36" i="39"/>
  <c r="BJ36" i="39"/>
  <c r="AY27" i="33"/>
  <c r="BG27" i="33"/>
  <c r="AY42" i="41"/>
  <c r="BG42" i="41"/>
  <c r="AX36" i="18"/>
  <c r="BF36" i="18"/>
  <c r="K35" i="20"/>
  <c r="K33" i="20"/>
  <c r="K36" i="20"/>
  <c r="K31" i="20"/>
  <c r="K34" i="20"/>
  <c r="K32" i="20"/>
  <c r="BA54" i="16"/>
  <c r="BI54" i="16"/>
  <c r="BI43" i="26"/>
  <c r="BA43" i="26"/>
  <c r="BA23" i="14"/>
  <c r="BI23" i="14"/>
  <c r="AY36" i="13"/>
  <c r="BG36" i="13"/>
  <c r="AX27" i="36"/>
  <c r="BF27" i="36"/>
  <c r="BB54" i="17"/>
  <c r="BJ54" i="17"/>
  <c r="AZ25" i="36"/>
  <c r="BH25" i="36"/>
  <c r="BC36" i="27"/>
  <c r="BK36" i="27"/>
  <c r="AZ50" i="32"/>
  <c r="BH50" i="32"/>
  <c r="AX53" i="26"/>
  <c r="BF53" i="26"/>
  <c r="AZ41" i="34"/>
  <c r="BH41" i="34"/>
  <c r="AX26" i="41"/>
  <c r="BD26" i="41" s="1"/>
  <c r="AG10" i="41" s="1"/>
  <c r="BF26" i="41"/>
  <c r="AY24" i="13"/>
  <c r="BG24" i="13"/>
  <c r="AY23" i="40"/>
  <c r="BG23" i="40"/>
  <c r="BA35" i="30"/>
  <c r="BI35" i="30"/>
  <c r="AY43" i="40"/>
  <c r="BG43" i="40"/>
  <c r="AZ23" i="17"/>
  <c r="BH23" i="17"/>
  <c r="BA35" i="20"/>
  <c r="BI35" i="20"/>
  <c r="AZ24" i="27"/>
  <c r="BH24" i="27"/>
  <c r="AX41" i="39"/>
  <c r="BF41" i="39"/>
  <c r="AX52" i="28"/>
  <c r="BF52" i="28"/>
  <c r="BA45" i="40"/>
  <c r="BI45" i="40"/>
  <c r="AZ43" i="36"/>
  <c r="BH43" i="36"/>
  <c r="BF50" i="10"/>
  <c r="BL50" i="10" s="1"/>
  <c r="AO7" i="10" s="1"/>
  <c r="AX50" i="10"/>
  <c r="BD50" i="10" s="1"/>
  <c r="AJ7" i="10" s="1"/>
  <c r="AX34" i="33"/>
  <c r="BF34" i="33"/>
  <c r="BK23" i="35"/>
  <c r="BC23" i="35"/>
  <c r="AZ24" i="34"/>
  <c r="BH24" i="34"/>
  <c r="BF40" i="12"/>
  <c r="BL40" i="12" s="1"/>
  <c r="AN6" i="12" s="1"/>
  <c r="AX40" i="12"/>
  <c r="AX53" i="15"/>
  <c r="BF53" i="15"/>
  <c r="J23" i="23"/>
  <c r="J24" i="23"/>
  <c r="J27" i="23"/>
  <c r="J22" i="23"/>
  <c r="J26" i="23"/>
  <c r="J25" i="23"/>
  <c r="AX33" i="38"/>
  <c r="BF33" i="38"/>
  <c r="BG33" i="41"/>
  <c r="AY33" i="41"/>
  <c r="BB50" i="28"/>
  <c r="BJ50" i="28"/>
  <c r="AZ50" i="22"/>
  <c r="BH50" i="22"/>
  <c r="AY34" i="37"/>
  <c r="BD34" i="37" s="1"/>
  <c r="AH9" i="37" s="1"/>
  <c r="BG34" i="37"/>
  <c r="BL34" i="37" s="1"/>
  <c r="AM9" i="37" s="1"/>
  <c r="BA43" i="27"/>
  <c r="BI43" i="27"/>
  <c r="BB26" i="14"/>
  <c r="BJ26" i="14"/>
  <c r="BG49" i="13"/>
  <c r="AY49" i="13"/>
  <c r="W45" i="19"/>
  <c r="W43" i="19"/>
  <c r="W41" i="19"/>
  <c r="W44" i="19"/>
  <c r="W42" i="19"/>
  <c r="W40" i="19"/>
  <c r="BC43" i="27"/>
  <c r="BK43" i="27"/>
  <c r="BF31" i="40"/>
  <c r="AX31" i="40"/>
  <c r="AY26" i="14"/>
  <c r="BG26" i="14"/>
  <c r="BB23" i="22"/>
  <c r="BJ23" i="22"/>
  <c r="N32" i="26"/>
  <c r="N35" i="26"/>
  <c r="N33" i="26"/>
  <c r="N36" i="26"/>
  <c r="N31" i="26"/>
  <c r="N34" i="26"/>
  <c r="AZ36" i="22"/>
  <c r="BH36" i="22"/>
  <c r="BG43" i="12"/>
  <c r="AY43" i="12"/>
  <c r="BB35" i="23"/>
  <c r="BJ35" i="23"/>
  <c r="AX53" i="32"/>
  <c r="BF53" i="32"/>
  <c r="S52" i="22"/>
  <c r="S50" i="22"/>
  <c r="S53" i="22"/>
  <c r="S51" i="22"/>
  <c r="S54" i="22"/>
  <c r="S49" i="22"/>
  <c r="AY54" i="11"/>
  <c r="BG54" i="11"/>
  <c r="BA52" i="37"/>
  <c r="BI52" i="37"/>
  <c r="BB41" i="31"/>
  <c r="BJ41" i="31"/>
  <c r="AX40" i="22"/>
  <c r="BF40" i="22"/>
  <c r="AY26" i="25"/>
  <c r="BG26" i="25"/>
  <c r="BH44" i="41"/>
  <c r="AZ44" i="41"/>
  <c r="BF42" i="18"/>
  <c r="AX42" i="18"/>
  <c r="BB23" i="39"/>
  <c r="BJ23" i="39"/>
  <c r="AZ41" i="33"/>
  <c r="BH41" i="33"/>
  <c r="BA53" i="20"/>
  <c r="BI53" i="20"/>
  <c r="BI52" i="36"/>
  <c r="BA52" i="36"/>
  <c r="AZ51" i="13"/>
  <c r="BH51" i="13"/>
  <c r="AX23" i="28"/>
  <c r="BF23" i="28"/>
  <c r="O22" i="24"/>
  <c r="O25" i="24"/>
  <c r="O23" i="24"/>
  <c r="O26" i="24"/>
  <c r="O24" i="24"/>
  <c r="O27" i="24"/>
  <c r="AZ22" i="32"/>
  <c r="BH22" i="32"/>
  <c r="AZ51" i="38"/>
  <c r="BH51" i="38"/>
  <c r="BJ34" i="39"/>
  <c r="BB34" i="39"/>
  <c r="AY50" i="39"/>
  <c r="BG50" i="39"/>
  <c r="G32" i="17"/>
  <c r="G35" i="17"/>
  <c r="G33" i="17"/>
  <c r="G36" i="17"/>
  <c r="G31" i="17"/>
  <c r="G34" i="17"/>
  <c r="BB35" i="17"/>
  <c r="BJ35" i="17"/>
  <c r="AX44" i="23"/>
  <c r="BF44" i="23"/>
  <c r="AY35" i="24"/>
  <c r="BG35" i="24"/>
  <c r="AY26" i="33"/>
  <c r="BG26" i="33"/>
  <c r="BB26" i="12"/>
  <c r="BJ26" i="12"/>
  <c r="AY31" i="27"/>
  <c r="BG31" i="27"/>
  <c r="AZ43" i="40"/>
  <c r="BH43" i="40"/>
  <c r="AZ25" i="42"/>
  <c r="BH25" i="42"/>
  <c r="BC22" i="42"/>
  <c r="BK22" i="42"/>
  <c r="BG40" i="41"/>
  <c r="AY40" i="41"/>
  <c r="BA27" i="37"/>
  <c r="BI27" i="37"/>
  <c r="BA24" i="19"/>
  <c r="BI24" i="19"/>
  <c r="BH43" i="39"/>
  <c r="AZ43" i="39"/>
  <c r="AY35" i="12"/>
  <c r="BG35" i="12"/>
  <c r="BA23" i="35"/>
  <c r="BI23" i="35"/>
  <c r="BI32" i="14"/>
  <c r="BA32" i="14"/>
  <c r="AX34" i="15"/>
  <c r="BF34" i="15"/>
  <c r="AZ22" i="28"/>
  <c r="BH22" i="28"/>
  <c r="BH36" i="36"/>
  <c r="AZ36" i="36"/>
  <c r="BH24" i="21"/>
  <c r="AZ24" i="21"/>
  <c r="AZ50" i="17"/>
  <c r="BH50" i="17"/>
  <c r="AZ49" i="34"/>
  <c r="BH49" i="34"/>
  <c r="BB51" i="40"/>
  <c r="BJ51" i="40"/>
  <c r="AX31" i="21"/>
  <c r="BF31" i="21"/>
  <c r="BB25" i="15"/>
  <c r="BJ25" i="15"/>
  <c r="BF33" i="18"/>
  <c r="AX33" i="18"/>
  <c r="BF54" i="27"/>
  <c r="AX54" i="27"/>
  <c r="AY41" i="36"/>
  <c r="BG41" i="36"/>
  <c r="BB49" i="23"/>
  <c r="BJ49" i="23"/>
  <c r="BB45" i="14"/>
  <c r="BJ45" i="14"/>
  <c r="AY40" i="34"/>
  <c r="BG40" i="34"/>
  <c r="AZ52" i="28"/>
  <c r="BH52" i="28"/>
  <c r="AX49" i="22"/>
  <c r="BF49" i="22"/>
  <c r="BB52" i="12"/>
  <c r="BJ52" i="12"/>
  <c r="AZ42" i="29"/>
  <c r="BH42" i="29"/>
  <c r="BA53" i="16"/>
  <c r="BI53" i="16"/>
  <c r="BA34" i="39"/>
  <c r="BI34" i="39"/>
  <c r="F27" i="17"/>
  <c r="F22" i="17"/>
  <c r="F25" i="17"/>
  <c r="F23" i="17"/>
  <c r="F26" i="17"/>
  <c r="F24" i="17"/>
  <c r="BJ31" i="26"/>
  <c r="BB31" i="26"/>
  <c r="AY54" i="25"/>
  <c r="BG54" i="25"/>
  <c r="V42" i="27"/>
  <c r="V45" i="27"/>
  <c r="V40" i="27"/>
  <c r="V43" i="27"/>
  <c r="V41" i="27"/>
  <c r="V44" i="27"/>
  <c r="AX23" i="38"/>
  <c r="BF23" i="38"/>
  <c r="AX35" i="34"/>
  <c r="BD35" i="34" s="1"/>
  <c r="AH10" i="34" s="1"/>
  <c r="BF35" i="34"/>
  <c r="BL35" i="34" s="1"/>
  <c r="AM10" i="34" s="1"/>
  <c r="AX27" i="13"/>
  <c r="BF27" i="13"/>
  <c r="AY22" i="15"/>
  <c r="BG22" i="15"/>
  <c r="AY33" i="19"/>
  <c r="BG33" i="19"/>
  <c r="BF52" i="23"/>
  <c r="AX52" i="23"/>
  <c r="AZ33" i="13"/>
  <c r="BH33" i="13"/>
  <c r="AY41" i="27"/>
  <c r="BG41" i="27"/>
  <c r="BB41" i="16"/>
  <c r="BJ41" i="16"/>
  <c r="BK33" i="41"/>
  <c r="BC33" i="41"/>
  <c r="G45" i="11"/>
  <c r="G40" i="11"/>
  <c r="G43" i="11"/>
  <c r="G41" i="11"/>
  <c r="G44" i="11"/>
  <c r="G42" i="11"/>
  <c r="O31" i="35"/>
  <c r="O34" i="35"/>
  <c r="O32" i="35"/>
  <c r="O35" i="35"/>
  <c r="O36" i="35"/>
  <c r="O33" i="35"/>
  <c r="AX25" i="15"/>
  <c r="BF25" i="15"/>
  <c r="BG49" i="40"/>
  <c r="AY49" i="40"/>
  <c r="BG23" i="37"/>
  <c r="AY23" i="37"/>
  <c r="BK23" i="18"/>
  <c r="BC23" i="18"/>
  <c r="AY23" i="41"/>
  <c r="BG23" i="41"/>
  <c r="F32" i="14"/>
  <c r="F35" i="14"/>
  <c r="F33" i="14"/>
  <c r="F36" i="14"/>
  <c r="F31" i="14"/>
  <c r="F34" i="14"/>
  <c r="BB32" i="28"/>
  <c r="BJ32" i="28"/>
  <c r="BA41" i="25"/>
  <c r="BI41" i="25"/>
  <c r="BG22" i="34"/>
  <c r="AY22" i="34"/>
  <c r="AX33" i="19"/>
  <c r="BF33" i="19"/>
  <c r="AY34" i="13"/>
  <c r="BG34" i="13"/>
  <c r="R35" i="22"/>
  <c r="R33" i="22"/>
  <c r="R36" i="22"/>
  <c r="R31" i="22"/>
  <c r="R34" i="22"/>
  <c r="R32" i="22"/>
  <c r="AZ27" i="20"/>
  <c r="BH27" i="20"/>
  <c r="AZ32" i="38"/>
  <c r="BH32" i="38"/>
  <c r="BJ53" i="26"/>
  <c r="BB53" i="26"/>
  <c r="BA51" i="24"/>
  <c r="BI51" i="24"/>
  <c r="AY32" i="35"/>
  <c r="BG32" i="35"/>
  <c r="BC26" i="23"/>
  <c r="BK26" i="23"/>
  <c r="BB27" i="33"/>
  <c r="BJ27" i="33"/>
  <c r="AZ45" i="38"/>
  <c r="BH45" i="38"/>
  <c r="AY42" i="39"/>
  <c r="BG42" i="39"/>
  <c r="BB22" i="26"/>
  <c r="BJ22" i="26"/>
  <c r="AY35" i="17"/>
  <c r="BG35" i="17"/>
  <c r="AX26" i="36"/>
  <c r="BF26" i="36"/>
  <c r="AY40" i="25"/>
  <c r="BG40" i="25"/>
  <c r="BG52" i="18"/>
  <c r="AY52" i="18"/>
  <c r="BG22" i="19"/>
  <c r="AY22" i="19"/>
  <c r="BI34" i="23"/>
  <c r="BA34" i="23"/>
  <c r="AZ27" i="13"/>
  <c r="BH27" i="13"/>
  <c r="BB26" i="38"/>
  <c r="BJ26" i="38"/>
  <c r="AY33" i="42"/>
  <c r="BG33" i="42"/>
  <c r="BB32" i="16"/>
  <c r="BJ32" i="16"/>
  <c r="AX44" i="16"/>
  <c r="BF44" i="16"/>
  <c r="BA26" i="16"/>
  <c r="BI26" i="16"/>
  <c r="BC33" i="40"/>
  <c r="BK33" i="40"/>
  <c r="AZ27" i="31"/>
  <c r="BH27" i="31"/>
  <c r="BA26" i="17"/>
  <c r="BI26" i="17"/>
  <c r="AZ24" i="39"/>
  <c r="BH24" i="39"/>
  <c r="AY23" i="12"/>
  <c r="BG23" i="12"/>
  <c r="AX24" i="23"/>
  <c r="BF24" i="23"/>
  <c r="AZ40" i="13"/>
  <c r="BH40" i="13"/>
  <c r="AY24" i="28"/>
  <c r="BG24" i="28"/>
  <c r="BB53" i="17"/>
  <c r="BJ53" i="17"/>
  <c r="BG42" i="19"/>
  <c r="AY42" i="19"/>
  <c r="BA31" i="17"/>
  <c r="BI31" i="17"/>
  <c r="K43" i="16"/>
  <c r="K41" i="16"/>
  <c r="K44" i="16"/>
  <c r="K42" i="16"/>
  <c r="K45" i="16"/>
  <c r="K40" i="16"/>
  <c r="AY54" i="14"/>
  <c r="BG54" i="14"/>
  <c r="BB51" i="22"/>
  <c r="BJ51" i="22"/>
  <c r="AY31" i="22"/>
  <c r="BG31" i="22"/>
  <c r="BK22" i="41"/>
  <c r="BC22" i="41"/>
  <c r="AX22" i="16"/>
  <c r="BF22" i="16"/>
  <c r="BH23" i="22"/>
  <c r="AZ23" i="22"/>
  <c r="AX26" i="39"/>
  <c r="BF26" i="39"/>
  <c r="AZ49" i="21"/>
  <c r="BH49" i="21"/>
  <c r="BA51" i="26"/>
  <c r="BI51" i="26"/>
  <c r="BC43" i="40"/>
  <c r="BK43" i="40"/>
  <c r="AX52" i="33"/>
  <c r="BF52" i="33"/>
  <c r="AZ40" i="31"/>
  <c r="BH40" i="31"/>
  <c r="BB23" i="17"/>
  <c r="BJ23" i="17"/>
  <c r="BA22" i="18"/>
  <c r="BI22" i="18"/>
  <c r="BF43" i="32"/>
  <c r="AX43" i="32"/>
  <c r="BI35" i="27"/>
  <c r="BA35" i="27"/>
  <c r="BC51" i="24"/>
  <c r="BK51" i="24"/>
  <c r="BA53" i="29"/>
  <c r="BI53" i="29"/>
  <c r="AY42" i="28"/>
  <c r="BG42" i="28"/>
  <c r="AZ52" i="33"/>
  <c r="BH52" i="33"/>
  <c r="AX33" i="27"/>
  <c r="BF33" i="27"/>
  <c r="AX45" i="41"/>
  <c r="BF45" i="41"/>
  <c r="AX41" i="40"/>
  <c r="BF41" i="40"/>
  <c r="BB43" i="28"/>
  <c r="BJ43" i="28"/>
  <c r="BI40" i="37"/>
  <c r="BA40" i="37"/>
  <c r="BA40" i="11"/>
  <c r="BI40" i="11"/>
  <c r="AZ34" i="39"/>
  <c r="BH34" i="39"/>
  <c r="AZ34" i="19"/>
  <c r="BH34" i="19"/>
  <c r="AY36" i="36"/>
  <c r="BG36" i="36"/>
  <c r="BB42" i="23"/>
  <c r="BJ42" i="23"/>
  <c r="BA22" i="31"/>
  <c r="BI22" i="31"/>
  <c r="AY22" i="18"/>
  <c r="BG22" i="18"/>
  <c r="BK35" i="35"/>
  <c r="BC35" i="35"/>
  <c r="BA45" i="20"/>
  <c r="BI45" i="20"/>
  <c r="BA53" i="32"/>
  <c r="BI53" i="32"/>
  <c r="BC49" i="26"/>
  <c r="BK49" i="26"/>
  <c r="AY40" i="33"/>
  <c r="BG40" i="33"/>
  <c r="BG24" i="42"/>
  <c r="AY24" i="42"/>
  <c r="BB41" i="12"/>
  <c r="BJ41" i="12"/>
  <c r="BJ43" i="13"/>
  <c r="BB43" i="13"/>
  <c r="AX40" i="38"/>
  <c r="BD40" i="38" s="1"/>
  <c r="AI6" i="38" s="1"/>
  <c r="BF40" i="38"/>
  <c r="BL40" i="38" s="1"/>
  <c r="AN6" i="38" s="1"/>
  <c r="BA45" i="16"/>
  <c r="BI45" i="16"/>
  <c r="BB41" i="34"/>
  <c r="BJ41" i="34"/>
  <c r="AY50" i="33"/>
  <c r="BG50" i="33"/>
  <c r="BK53" i="40"/>
  <c r="BC53" i="40"/>
  <c r="BC50" i="20"/>
  <c r="BK50" i="20"/>
  <c r="K22" i="30"/>
  <c r="K25" i="30"/>
  <c r="K23" i="30"/>
  <c r="K26" i="30"/>
  <c r="K27" i="30"/>
  <c r="K24" i="30"/>
  <c r="AZ50" i="29"/>
  <c r="BH50" i="29"/>
  <c r="AZ53" i="20"/>
  <c r="BH53" i="20"/>
  <c r="G32" i="25"/>
  <c r="G33" i="25"/>
  <c r="G31" i="25"/>
  <c r="G34" i="25"/>
  <c r="G36" i="25"/>
  <c r="G35" i="25"/>
  <c r="AY40" i="18"/>
  <c r="BG40" i="18"/>
  <c r="BA32" i="26"/>
  <c r="BI32" i="26"/>
  <c r="G23" i="31"/>
  <c r="G26" i="31"/>
  <c r="G24" i="31"/>
  <c r="G27" i="31"/>
  <c r="G22" i="31"/>
  <c r="G25" i="31"/>
  <c r="AY50" i="28"/>
  <c r="BG50" i="28"/>
  <c r="AX44" i="36"/>
  <c r="BF44" i="36"/>
  <c r="BB40" i="29"/>
  <c r="BJ40" i="29"/>
  <c r="AY34" i="21"/>
  <c r="BG34" i="21"/>
  <c r="AZ22" i="29"/>
  <c r="BH22" i="29"/>
  <c r="BJ23" i="41"/>
  <c r="BB23" i="41"/>
  <c r="BB42" i="22"/>
  <c r="BJ42" i="22"/>
  <c r="AY22" i="22"/>
  <c r="BG22" i="22"/>
  <c r="BH51" i="41"/>
  <c r="AZ51" i="41"/>
  <c r="W53" i="27"/>
  <c r="W51" i="27"/>
  <c r="W54" i="27"/>
  <c r="W52" i="27"/>
  <c r="W49" i="27"/>
  <c r="W50" i="27"/>
  <c r="BI49" i="25"/>
  <c r="BA49" i="25"/>
  <c r="BA25" i="27"/>
  <c r="BI25" i="27"/>
  <c r="AX31" i="24"/>
  <c r="BF31" i="24"/>
  <c r="BF50" i="29"/>
  <c r="BL50" i="29" s="1"/>
  <c r="AO7" i="29" s="1"/>
  <c r="AX50" i="29"/>
  <c r="BB51" i="29"/>
  <c r="BJ51" i="29"/>
  <c r="F54" i="14"/>
  <c r="F49" i="14"/>
  <c r="F52" i="14"/>
  <c r="F50" i="14"/>
  <c r="F53" i="14"/>
  <c r="F51" i="14"/>
  <c r="BB44" i="40"/>
  <c r="BJ44" i="40"/>
  <c r="BC22" i="25"/>
  <c r="BK22" i="25"/>
  <c r="AX31" i="28"/>
  <c r="BF31" i="28"/>
  <c r="BF45" i="15"/>
  <c r="AX45" i="15"/>
  <c r="AX50" i="24"/>
  <c r="BF50" i="24"/>
  <c r="F51" i="42"/>
  <c r="F54" i="42"/>
  <c r="F50" i="42"/>
  <c r="F53" i="42"/>
  <c r="F49" i="42"/>
  <c r="F52" i="42"/>
  <c r="BB32" i="31"/>
  <c r="BJ32" i="31"/>
  <c r="BG33" i="39"/>
  <c r="AY33" i="39"/>
  <c r="BA25" i="32"/>
  <c r="BI25" i="32"/>
  <c r="BG31" i="25"/>
  <c r="AY31" i="25"/>
  <c r="BB33" i="12"/>
  <c r="BJ33" i="12"/>
  <c r="AZ40" i="28"/>
  <c r="BH40" i="28"/>
  <c r="AZ36" i="14"/>
  <c r="BH36" i="14"/>
  <c r="AY35" i="33"/>
  <c r="BG35" i="33"/>
  <c r="F32" i="35"/>
  <c r="F35" i="35"/>
  <c r="F33" i="35"/>
  <c r="F36" i="35"/>
  <c r="F31" i="35"/>
  <c r="F34" i="35"/>
  <c r="AY32" i="18"/>
  <c r="BG32" i="18"/>
  <c r="AY52" i="19"/>
  <c r="BG52" i="19"/>
  <c r="AZ49" i="19"/>
  <c r="BH49" i="19"/>
  <c r="BH52" i="27"/>
  <c r="AZ52" i="27"/>
  <c r="BC32" i="26"/>
  <c r="BK32" i="26"/>
  <c r="AY40" i="42"/>
  <c r="BG40" i="42"/>
  <c r="BB52" i="13"/>
  <c r="BJ52" i="13"/>
  <c r="BA31" i="31"/>
  <c r="BI31" i="31"/>
  <c r="AX23" i="26"/>
  <c r="BF23" i="26"/>
  <c r="AZ50" i="14"/>
  <c r="BH50" i="14"/>
  <c r="BH23" i="11"/>
  <c r="AZ23" i="11"/>
  <c r="BI44" i="32"/>
  <c r="BA44" i="32"/>
  <c r="AX36" i="36"/>
  <c r="BF36" i="36"/>
  <c r="BL36" i="36" s="1"/>
  <c r="AM11" i="36" s="1"/>
  <c r="BC45" i="26"/>
  <c r="BK45" i="26"/>
  <c r="AZ22" i="38"/>
  <c r="BH22" i="38"/>
  <c r="BJ54" i="32"/>
  <c r="BB54" i="32"/>
  <c r="BI40" i="19"/>
  <c r="BA40" i="19"/>
  <c r="BC31" i="17"/>
  <c r="BK31" i="17"/>
  <c r="AY31" i="40"/>
  <c r="BG31" i="40"/>
  <c r="AX43" i="26"/>
  <c r="BF43" i="26"/>
  <c r="BA51" i="39"/>
  <c r="BI51" i="39"/>
  <c r="AX33" i="41"/>
  <c r="BF33" i="41"/>
  <c r="BC54" i="41"/>
  <c r="BK54" i="41"/>
  <c r="BG49" i="42"/>
  <c r="AY49" i="42"/>
  <c r="AZ42" i="11"/>
  <c r="BH42" i="11"/>
  <c r="AX33" i="32"/>
  <c r="BF33" i="32"/>
  <c r="BC41" i="13"/>
  <c r="BK41" i="13"/>
  <c r="BA23" i="29"/>
  <c r="BI23" i="29"/>
  <c r="AZ52" i="11"/>
  <c r="BH52" i="11"/>
  <c r="BA54" i="23"/>
  <c r="BI54" i="23"/>
  <c r="BA50" i="12"/>
  <c r="BI50" i="12"/>
  <c r="BA31" i="24"/>
  <c r="BI31" i="24"/>
  <c r="AY49" i="34"/>
  <c r="BG49" i="34"/>
  <c r="BB49" i="38"/>
  <c r="BJ49" i="38"/>
  <c r="AZ52" i="31"/>
  <c r="BH52" i="31"/>
  <c r="BH25" i="19"/>
  <c r="AZ25" i="19"/>
  <c r="BA34" i="35"/>
  <c r="BI34" i="35"/>
  <c r="BB33" i="22"/>
  <c r="BJ33" i="22"/>
  <c r="BF22" i="18"/>
  <c r="AX22" i="18"/>
  <c r="AZ52" i="15"/>
  <c r="BH52" i="15"/>
  <c r="AZ27" i="33"/>
  <c r="BH27" i="33"/>
  <c r="BF41" i="27"/>
  <c r="AX41" i="27"/>
  <c r="BA36" i="12"/>
  <c r="BI36" i="12"/>
  <c r="AX22" i="20"/>
  <c r="BF22" i="20"/>
  <c r="AY26" i="17"/>
  <c r="BG26" i="17"/>
  <c r="BA26" i="36"/>
  <c r="BI26" i="36"/>
  <c r="BA53" i="18"/>
  <c r="BI53" i="18"/>
  <c r="AY51" i="24"/>
  <c r="BG51" i="24"/>
  <c r="AX44" i="19"/>
  <c r="BF44" i="19"/>
  <c r="AY23" i="11"/>
  <c r="BG23" i="11"/>
  <c r="AZ24" i="40"/>
  <c r="BH24" i="40"/>
  <c r="AY24" i="27"/>
  <c r="BG24" i="27"/>
  <c r="BA27" i="11"/>
  <c r="BI27" i="11"/>
  <c r="BI35" i="32"/>
  <c r="BA35" i="32"/>
  <c r="AY45" i="35"/>
  <c r="BG45" i="35"/>
  <c r="BB35" i="33"/>
  <c r="BJ35" i="33"/>
  <c r="BI23" i="40"/>
  <c r="BA23" i="40"/>
  <c r="AX35" i="16"/>
  <c r="BF35" i="16"/>
  <c r="AY45" i="17"/>
  <c r="BG45" i="17"/>
  <c r="BB41" i="30"/>
  <c r="BJ41" i="30"/>
  <c r="E61" i="54"/>
  <c r="D61" i="54"/>
  <c r="B61" i="54"/>
  <c r="A92" i="8" s="1"/>
  <c r="C92" i="8" s="1"/>
  <c r="B52" i="54"/>
  <c r="A120" i="8" s="1"/>
  <c r="C120" i="8" s="1"/>
  <c r="E52" i="54"/>
  <c r="D52" i="54"/>
  <c r="B54" i="54"/>
  <c r="A114" i="8" s="1"/>
  <c r="C114" i="8" s="1"/>
  <c r="E54" i="54"/>
  <c r="D54" i="54"/>
  <c r="E184" i="54"/>
  <c r="D184" i="54"/>
  <c r="B184" i="54"/>
  <c r="A218" i="8" s="1"/>
  <c r="C218" i="8" s="1"/>
  <c r="E108" i="54"/>
  <c r="B108" i="54"/>
  <c r="A142" i="8" s="1"/>
  <c r="C142" i="8" s="1"/>
  <c r="D108" i="54"/>
  <c r="B98" i="54"/>
  <c r="A74" i="8" s="1"/>
  <c r="C74" i="8" s="1"/>
  <c r="E98" i="54"/>
  <c r="D98" i="54"/>
  <c r="E97" i="54"/>
  <c r="D97" i="54"/>
  <c r="B97" i="54"/>
  <c r="A72" i="8" s="1"/>
  <c r="C72" i="8" s="1"/>
  <c r="B115" i="54"/>
  <c r="A125" i="8" s="1"/>
  <c r="C125" i="8" s="1"/>
  <c r="E115" i="54"/>
  <c r="D115" i="54"/>
  <c r="D141" i="54"/>
  <c r="E141" i="54"/>
  <c r="B141" i="54"/>
  <c r="A164" i="8" s="1"/>
  <c r="C164" i="8" s="1"/>
  <c r="E55" i="54"/>
  <c r="D55" i="54"/>
  <c r="B55" i="54"/>
  <c r="A111" i="8" s="1"/>
  <c r="C111" i="8" s="1"/>
  <c r="B94" i="54"/>
  <c r="A66" i="8" s="1"/>
  <c r="C66" i="8" s="1"/>
  <c r="E94" i="54"/>
  <c r="D94" i="54"/>
  <c r="E146" i="54"/>
  <c r="D146" i="54"/>
  <c r="B146" i="54"/>
  <c r="A149" i="8" s="1"/>
  <c r="C149" i="8" s="1"/>
  <c r="E153" i="54"/>
  <c r="D153" i="54"/>
  <c r="B153" i="54"/>
  <c r="A169" i="8" s="1"/>
  <c r="C169" i="8" s="1"/>
  <c r="E171" i="54"/>
  <c r="D171" i="54"/>
  <c r="B171" i="54"/>
  <c r="A180" i="8" s="1"/>
  <c r="C180" i="8" s="1"/>
  <c r="E157" i="54"/>
  <c r="D157" i="54"/>
  <c r="B157" i="54"/>
  <c r="A166" i="8" s="1"/>
  <c r="C166" i="8" s="1"/>
  <c r="D140" i="54"/>
  <c r="E140" i="54"/>
  <c r="B140" i="54"/>
  <c r="A168" i="8" s="1"/>
  <c r="C168" i="8" s="1"/>
  <c r="D133" i="54"/>
  <c r="B133" i="54"/>
  <c r="A83" i="8" s="1"/>
  <c r="C83" i="8" s="1"/>
  <c r="E133" i="54"/>
  <c r="B68" i="54"/>
  <c r="A77" i="8" s="1"/>
  <c r="C77" i="8" s="1"/>
  <c r="E68" i="54"/>
  <c r="D68" i="54"/>
  <c r="E134" i="54"/>
  <c r="D134" i="54"/>
  <c r="B134" i="54"/>
  <c r="A87" i="8" s="1"/>
  <c r="C87" i="8" s="1"/>
  <c r="E160" i="54"/>
  <c r="D160" i="54"/>
  <c r="B160" i="54"/>
  <c r="A157" i="8" s="1"/>
  <c r="C157" i="8" s="1"/>
  <c r="B103" i="54"/>
  <c r="A67" i="8" s="1"/>
  <c r="C67" i="8" s="1"/>
  <c r="E103" i="54"/>
  <c r="D103" i="54"/>
  <c r="E126" i="54"/>
  <c r="D126" i="54"/>
  <c r="B126" i="54"/>
  <c r="A90" i="8" s="1"/>
  <c r="C90" i="8" s="1"/>
  <c r="B16" i="8"/>
  <c r="B121" i="8"/>
  <c r="B152" i="8"/>
  <c r="B36" i="8"/>
  <c r="B130" i="8"/>
  <c r="B153" i="8"/>
  <c r="B11" i="8"/>
  <c r="B115" i="8"/>
  <c r="B158" i="8"/>
  <c r="B42" i="8"/>
  <c r="B60" i="8"/>
  <c r="B62" i="8"/>
  <c r="B191" i="8"/>
  <c r="B133" i="8"/>
  <c r="B156" i="8"/>
  <c r="B43" i="8"/>
  <c r="B93" i="8"/>
  <c r="B95" i="8"/>
  <c r="B38" i="8"/>
  <c r="B127" i="8"/>
  <c r="B150" i="8"/>
  <c r="B37" i="8"/>
  <c r="B135" i="8"/>
  <c r="B159" i="8"/>
  <c r="D6" i="60"/>
  <c r="D8" i="60"/>
  <c r="D7" i="60"/>
  <c r="D5" i="60"/>
  <c r="D4" i="60"/>
  <c r="BJ43" i="41"/>
  <c r="BB43" i="41"/>
  <c r="AY49" i="41"/>
  <c r="BG49" i="41"/>
  <c r="BH32" i="32"/>
  <c r="AZ32" i="32"/>
  <c r="BI22" i="23"/>
  <c r="BA22" i="23"/>
  <c r="BA45" i="35"/>
  <c r="BI45" i="35"/>
  <c r="AY44" i="13"/>
  <c r="BG44" i="13"/>
  <c r="BH53" i="36"/>
  <c r="AZ53" i="36"/>
  <c r="AX32" i="30"/>
  <c r="AX43" i="29"/>
  <c r="BF43" i="29"/>
  <c r="AX54" i="16"/>
  <c r="BF54" i="16"/>
  <c r="BA36" i="16"/>
  <c r="BI36" i="16"/>
  <c r="AY54" i="37"/>
  <c r="BD54" i="37" s="1"/>
  <c r="AJ11" i="37" s="1"/>
  <c r="BG54" i="37"/>
  <c r="BL54" i="37" s="1"/>
  <c r="AO11" i="37" s="1"/>
  <c r="BA53" i="19"/>
  <c r="BI53" i="19"/>
  <c r="BA45" i="23"/>
  <c r="BI45" i="23"/>
  <c r="BI54" i="35"/>
  <c r="BA54" i="35"/>
  <c r="AX41" i="33"/>
  <c r="BD41" i="33" s="1"/>
  <c r="AI7" i="33" s="1"/>
  <c r="BF41" i="33"/>
  <c r="BL41" i="33" s="1"/>
  <c r="AN7" i="33" s="1"/>
  <c r="BC36" i="18"/>
  <c r="BK36" i="18"/>
  <c r="BB35" i="15"/>
  <c r="BJ35" i="15"/>
  <c r="BA24" i="25"/>
  <c r="BI24" i="25"/>
  <c r="BB31" i="38"/>
  <c r="BJ31" i="38"/>
  <c r="J50" i="16"/>
  <c r="J53" i="16"/>
  <c r="J51" i="16"/>
  <c r="J54" i="16"/>
  <c r="J49" i="16"/>
  <c r="J52" i="16"/>
  <c r="BA31" i="25"/>
  <c r="BI31" i="25"/>
  <c r="AX43" i="24"/>
  <c r="BF43" i="24"/>
  <c r="BA22" i="20"/>
  <c r="BI22" i="20"/>
  <c r="AZ31" i="28"/>
  <c r="BH31" i="28"/>
  <c r="BC27" i="27"/>
  <c r="BK27" i="27"/>
  <c r="BH31" i="21"/>
  <c r="AZ31" i="21"/>
  <c r="AY34" i="34"/>
  <c r="BG34" i="34"/>
  <c r="AX45" i="28"/>
  <c r="BF45" i="28"/>
  <c r="BA42" i="30"/>
  <c r="BI42" i="30"/>
  <c r="BG27" i="35"/>
  <c r="AY27" i="35"/>
  <c r="AX27" i="24"/>
  <c r="BF27" i="24"/>
  <c r="BB54" i="33"/>
  <c r="BJ54" i="33"/>
  <c r="BF53" i="40"/>
  <c r="AX53" i="40"/>
  <c r="AY40" i="14"/>
  <c r="BG40" i="14"/>
  <c r="AX42" i="10"/>
  <c r="BD42" i="10" s="1"/>
  <c r="AI8" i="10" s="1"/>
  <c r="BF42" i="10"/>
  <c r="BL42" i="10" s="1"/>
  <c r="AN8" i="10" s="1"/>
  <c r="AZ22" i="15"/>
  <c r="BH22" i="15"/>
  <c r="AX25" i="27"/>
  <c r="BF25" i="27"/>
  <c r="AX22" i="12"/>
  <c r="BF22" i="12"/>
  <c r="AX52" i="19"/>
  <c r="BF52" i="19"/>
  <c r="AY32" i="11"/>
  <c r="BG32" i="11"/>
  <c r="AY44" i="22"/>
  <c r="BG44" i="22"/>
  <c r="AZ34" i="41"/>
  <c r="BH34" i="41"/>
  <c r="AX52" i="18"/>
  <c r="BF52" i="18"/>
  <c r="BB42" i="32"/>
  <c r="BJ42" i="32"/>
  <c r="AX27" i="33"/>
  <c r="BD27" i="33" s="1"/>
  <c r="AG11" i="33" s="1"/>
  <c r="BF27" i="33"/>
  <c r="BL27" i="33" s="1"/>
  <c r="AL11" i="33" s="1"/>
  <c r="BA35" i="36"/>
  <c r="BI35" i="36"/>
  <c r="AZ45" i="27"/>
  <c r="BH45" i="27"/>
  <c r="BK36" i="23"/>
  <c r="BC36" i="23"/>
  <c r="AX33" i="26"/>
  <c r="BF33" i="26"/>
  <c r="AY40" i="37"/>
  <c r="BD40" i="37" s="1"/>
  <c r="AI6" i="37" s="1"/>
  <c r="BG40" i="37"/>
  <c r="BL40" i="37" s="1"/>
  <c r="AN6" i="37" s="1"/>
  <c r="BB42" i="39"/>
  <c r="BJ42" i="39"/>
  <c r="J35" i="23"/>
  <c r="J36" i="23"/>
  <c r="J31" i="23"/>
  <c r="J34" i="23"/>
  <c r="J33" i="23"/>
  <c r="J32" i="23"/>
  <c r="BK45" i="18"/>
  <c r="BC45" i="18"/>
  <c r="AZ43" i="32"/>
  <c r="BH43" i="32"/>
  <c r="BC25" i="40"/>
  <c r="BK25" i="40"/>
  <c r="AZ33" i="31"/>
  <c r="BH33" i="31"/>
  <c r="AZ42" i="21"/>
  <c r="BH42" i="21"/>
  <c r="AZ25" i="14"/>
  <c r="BH25" i="14"/>
  <c r="BF50" i="30"/>
  <c r="BJ24" i="24"/>
  <c r="BJ40" i="11"/>
  <c r="BA53" i="14"/>
  <c r="BI53" i="14"/>
  <c r="AZ49" i="32"/>
  <c r="BH49" i="32"/>
  <c r="BA31" i="37"/>
  <c r="BI31" i="37"/>
  <c r="BH43" i="15"/>
  <c r="AZ43" i="15"/>
  <c r="BI36" i="30"/>
  <c r="BA36" i="30"/>
  <c r="BG41" i="40"/>
  <c r="AY41" i="40"/>
  <c r="BJ23" i="34"/>
  <c r="BB23" i="34"/>
  <c r="BA44" i="29"/>
  <c r="BI44" i="29"/>
  <c r="BA24" i="24"/>
  <c r="BI24" i="24"/>
  <c r="BB50" i="16"/>
  <c r="BJ50" i="16"/>
  <c r="AX51" i="10"/>
  <c r="BD51" i="10" s="1"/>
  <c r="AJ8" i="10" s="1"/>
  <c r="BF51" i="10"/>
  <c r="BL51" i="10" s="1"/>
  <c r="AO8" i="10" s="1"/>
  <c r="AZ23" i="34"/>
  <c r="BH23" i="34"/>
  <c r="AY31" i="37"/>
  <c r="BD31" i="37" s="1"/>
  <c r="AH6" i="37" s="1"/>
  <c r="BG31" i="37"/>
  <c r="BL31" i="37" s="1"/>
  <c r="AM6" i="37" s="1"/>
  <c r="BB50" i="31"/>
  <c r="BJ50" i="31"/>
  <c r="AX49" i="21"/>
  <c r="BD49" i="21" s="1"/>
  <c r="AJ6" i="21" s="1"/>
  <c r="BF49" i="21"/>
  <c r="BL49" i="21" s="1"/>
  <c r="AO6" i="21" s="1"/>
  <c r="BC49" i="13"/>
  <c r="BK49" i="13"/>
  <c r="AX54" i="32"/>
  <c r="BD54" i="32" s="1"/>
  <c r="AJ11" i="32" s="1"/>
  <c r="BF54" i="32"/>
  <c r="BL54" i="32" s="1"/>
  <c r="AO11" i="32" s="1"/>
  <c r="BJ42" i="31"/>
  <c r="BB42" i="31"/>
  <c r="BH33" i="33"/>
  <c r="AZ33" i="33"/>
  <c r="AY25" i="25"/>
  <c r="BG25" i="25"/>
  <c r="AZ42" i="41"/>
  <c r="BH42" i="41"/>
  <c r="AZ50" i="13"/>
  <c r="BH50" i="13"/>
  <c r="AZ40" i="20"/>
  <c r="BH40" i="20"/>
  <c r="AZ23" i="32"/>
  <c r="BH23" i="32"/>
  <c r="BB27" i="12"/>
  <c r="BJ27" i="12"/>
  <c r="BH25" i="16"/>
  <c r="AZ25" i="16"/>
  <c r="AX23" i="30"/>
  <c r="BF23" i="30"/>
  <c r="AZ45" i="16"/>
  <c r="BH45" i="16"/>
  <c r="AZ40" i="19"/>
  <c r="BH40" i="19"/>
  <c r="AY42" i="34"/>
  <c r="BG42" i="34"/>
  <c r="AX50" i="22"/>
  <c r="BF50" i="22"/>
  <c r="BG35" i="19"/>
  <c r="AY35" i="19"/>
  <c r="AX31" i="13"/>
  <c r="BF31" i="13"/>
  <c r="BF23" i="32"/>
  <c r="BL23" i="32" s="1"/>
  <c r="AL7" i="32" s="1"/>
  <c r="AX23" i="32"/>
  <c r="BD23" i="32" s="1"/>
  <c r="AG7" i="32" s="1"/>
  <c r="AY51" i="40"/>
  <c r="BG51" i="40"/>
  <c r="BG26" i="41"/>
  <c r="AY26" i="41"/>
  <c r="BB31" i="34"/>
  <c r="BJ31" i="34"/>
  <c r="BA49" i="24"/>
  <c r="BI49" i="24"/>
  <c r="BB26" i="33"/>
  <c r="BJ26" i="33"/>
  <c r="BG45" i="25"/>
  <c r="AY45" i="25"/>
  <c r="BI54" i="14"/>
  <c r="BA54" i="14"/>
  <c r="BF24" i="40"/>
  <c r="AX24" i="40"/>
  <c r="BB24" i="28"/>
  <c r="BJ24" i="28"/>
  <c r="AX41" i="13"/>
  <c r="BF41" i="13"/>
  <c r="AZ43" i="17"/>
  <c r="BH43" i="17"/>
  <c r="BA45" i="17"/>
  <c r="BI45" i="17"/>
  <c r="AY54" i="21"/>
  <c r="BG54" i="21"/>
  <c r="O42" i="26"/>
  <c r="O45" i="26"/>
  <c r="O40" i="26"/>
  <c r="O43" i="26"/>
  <c r="O41" i="26"/>
  <c r="O44" i="26"/>
  <c r="BA34" i="19"/>
  <c r="BI34" i="19"/>
  <c r="AZ41" i="42"/>
  <c r="BH41" i="42"/>
  <c r="BB51" i="15"/>
  <c r="BJ51" i="15"/>
  <c r="BI22" i="42"/>
  <c r="BA22" i="42"/>
  <c r="AZ43" i="22"/>
  <c r="BH43" i="22"/>
  <c r="BB45" i="26"/>
  <c r="BJ45" i="26"/>
  <c r="BB22" i="34"/>
  <c r="BJ22" i="34"/>
  <c r="BA41" i="36"/>
  <c r="BI41" i="36"/>
  <c r="BA40" i="18"/>
  <c r="BI40" i="18"/>
  <c r="O52" i="23"/>
  <c r="O50" i="23"/>
  <c r="O53" i="23"/>
  <c r="O51" i="23"/>
  <c r="O54" i="23"/>
  <c r="O49" i="23"/>
  <c r="AZ33" i="17"/>
  <c r="BH33" i="17"/>
  <c r="AZ50" i="16"/>
  <c r="BH50" i="16"/>
  <c r="AX45" i="21"/>
  <c r="BD45" i="21" s="1"/>
  <c r="AI11" i="21" s="1"/>
  <c r="BF45" i="21"/>
  <c r="BL45" i="21" s="1"/>
  <c r="AN11" i="21" s="1"/>
  <c r="BB54" i="41"/>
  <c r="BJ54" i="41"/>
  <c r="BF33" i="20"/>
  <c r="AX33" i="20"/>
  <c r="BG40" i="15"/>
  <c r="AY40" i="15"/>
  <c r="AZ32" i="15"/>
  <c r="BH32" i="15"/>
  <c r="BA51" i="14"/>
  <c r="BI51" i="14"/>
  <c r="AZ22" i="36"/>
  <c r="BH22" i="36"/>
  <c r="BK33" i="27"/>
  <c r="BC33" i="27"/>
  <c r="AX23" i="40"/>
  <c r="BF23" i="40"/>
  <c r="BB26" i="28"/>
  <c r="BJ26" i="28"/>
  <c r="AX54" i="34"/>
  <c r="BF54" i="34"/>
  <c r="AX50" i="26"/>
  <c r="BF50" i="26"/>
  <c r="AX43" i="13"/>
  <c r="BF43" i="13"/>
  <c r="AZ40" i="17"/>
  <c r="BH40" i="17"/>
  <c r="AZ51" i="42"/>
  <c r="BH51" i="42"/>
  <c r="BA42" i="17"/>
  <c r="BI42" i="17"/>
  <c r="AX25" i="41"/>
  <c r="BF25" i="41"/>
  <c r="N42" i="26"/>
  <c r="N45" i="26"/>
  <c r="N40" i="26"/>
  <c r="N43" i="26"/>
  <c r="N41" i="26"/>
  <c r="N44" i="26"/>
  <c r="BA32" i="37"/>
  <c r="BI32" i="37"/>
  <c r="AY26" i="40"/>
  <c r="BG26" i="40"/>
  <c r="AX52" i="13"/>
  <c r="BF52" i="13"/>
  <c r="BA31" i="19"/>
  <c r="BI31" i="19"/>
  <c r="BH40" i="42"/>
  <c r="AZ40" i="42"/>
  <c r="BB53" i="15"/>
  <c r="BJ53" i="15"/>
  <c r="BA32" i="30"/>
  <c r="BI32" i="30"/>
  <c r="AY35" i="14"/>
  <c r="BG35" i="14"/>
  <c r="BC23" i="20"/>
  <c r="BK23" i="20"/>
  <c r="AY40" i="40"/>
  <c r="BG40" i="40"/>
  <c r="AZ40" i="22"/>
  <c r="BH40" i="22"/>
  <c r="AX35" i="22"/>
  <c r="BF35" i="22"/>
  <c r="BB42" i="26"/>
  <c r="BJ42" i="26"/>
  <c r="BB27" i="34"/>
  <c r="BJ27" i="34"/>
  <c r="BA32" i="20"/>
  <c r="BI32" i="20"/>
  <c r="BA40" i="36"/>
  <c r="BI40" i="36"/>
  <c r="BB34" i="14"/>
  <c r="BJ34" i="14"/>
  <c r="BA44" i="18"/>
  <c r="BI44" i="18"/>
  <c r="BB33" i="40"/>
  <c r="BJ33" i="40"/>
  <c r="BA40" i="29"/>
  <c r="BI40" i="29"/>
  <c r="AZ52" i="16"/>
  <c r="BH52" i="16"/>
  <c r="AX42" i="21"/>
  <c r="BD42" i="21" s="1"/>
  <c r="AI8" i="21" s="1"/>
  <c r="BF42" i="21"/>
  <c r="BL42" i="21" s="1"/>
  <c r="AN8" i="21" s="1"/>
  <c r="AX49" i="28"/>
  <c r="BF49" i="28"/>
  <c r="BB49" i="41"/>
  <c r="BJ49" i="41"/>
  <c r="G42" i="35"/>
  <c r="G45" i="35"/>
  <c r="G40" i="35"/>
  <c r="G43" i="35"/>
  <c r="G41" i="35"/>
  <c r="G44" i="35"/>
  <c r="BB54" i="16"/>
  <c r="BJ54" i="16"/>
  <c r="AX35" i="20"/>
  <c r="BF35" i="20"/>
  <c r="AY45" i="15"/>
  <c r="BG45" i="15"/>
  <c r="AZ34" i="15"/>
  <c r="BH34" i="15"/>
  <c r="BC49" i="35"/>
  <c r="BK49" i="35"/>
  <c r="BB23" i="13"/>
  <c r="BJ23" i="13"/>
  <c r="BF52" i="10"/>
  <c r="BL52" i="10" s="1"/>
  <c r="AO9" i="10" s="1"/>
  <c r="AX52" i="10"/>
  <c r="BD52" i="10" s="1"/>
  <c r="AJ9" i="10" s="1"/>
  <c r="BA42" i="39"/>
  <c r="BI42" i="39"/>
  <c r="AX31" i="33"/>
  <c r="BF31" i="33"/>
  <c r="AZ35" i="42"/>
  <c r="BH35" i="42"/>
  <c r="AX45" i="12"/>
  <c r="BF45" i="12"/>
  <c r="BB35" i="13"/>
  <c r="BJ35" i="13"/>
  <c r="BF41" i="30"/>
  <c r="AX35" i="38"/>
  <c r="BF35" i="38"/>
  <c r="BC40" i="23"/>
  <c r="BK40" i="23"/>
  <c r="BJ52" i="28"/>
  <c r="BB52" i="28"/>
  <c r="AX44" i="34"/>
  <c r="BD44" i="34" s="1"/>
  <c r="AI10" i="34" s="1"/>
  <c r="BF44" i="34"/>
  <c r="BL44" i="34" s="1"/>
  <c r="AN10" i="34" s="1"/>
  <c r="BH52" i="22"/>
  <c r="AZ52" i="22"/>
  <c r="BA40" i="27"/>
  <c r="BI40" i="27"/>
  <c r="BB23" i="14"/>
  <c r="BJ23" i="14"/>
  <c r="AY54" i="13"/>
  <c r="BG54" i="13"/>
  <c r="BB51" i="31"/>
  <c r="BJ51" i="31"/>
  <c r="AX53" i="21"/>
  <c r="BF53" i="21"/>
  <c r="BK40" i="27"/>
  <c r="BC40" i="27"/>
  <c r="AX36" i="40"/>
  <c r="BD36" i="40" s="1"/>
  <c r="AH11" i="40" s="1"/>
  <c r="BF36" i="40"/>
  <c r="BL36" i="40" s="1"/>
  <c r="AM11" i="40" s="1"/>
  <c r="AY23" i="14"/>
  <c r="BG23" i="14"/>
  <c r="BB25" i="22"/>
  <c r="BJ25" i="22"/>
  <c r="O35" i="26"/>
  <c r="O33" i="26"/>
  <c r="O36" i="26"/>
  <c r="O31" i="26"/>
  <c r="O34" i="26"/>
  <c r="O32" i="26"/>
  <c r="AZ33" i="22"/>
  <c r="BH33" i="22"/>
  <c r="AY40" i="12"/>
  <c r="BG40" i="12"/>
  <c r="BB31" i="23"/>
  <c r="BJ31" i="23"/>
  <c r="BF50" i="32"/>
  <c r="AX50" i="32"/>
  <c r="BG51" i="11"/>
  <c r="AY51" i="11"/>
  <c r="BB43" i="31"/>
  <c r="BJ43" i="31"/>
  <c r="AZ34" i="33"/>
  <c r="BH34" i="33"/>
  <c r="AY40" i="24"/>
  <c r="BG40" i="24"/>
  <c r="AZ41" i="41"/>
  <c r="BH41" i="41"/>
  <c r="AX41" i="18"/>
  <c r="BF41" i="18"/>
  <c r="BB25" i="39"/>
  <c r="BJ25" i="39"/>
  <c r="AZ43" i="33"/>
  <c r="BH43" i="33"/>
  <c r="BA52" i="20"/>
  <c r="BI52" i="20"/>
  <c r="BA49" i="36"/>
  <c r="BI49" i="36"/>
  <c r="AZ43" i="20"/>
  <c r="BH43" i="20"/>
  <c r="BB25" i="16"/>
  <c r="BJ25" i="16"/>
  <c r="AX24" i="29"/>
  <c r="BF24" i="29"/>
  <c r="AZ27" i="32"/>
  <c r="BH27" i="32"/>
  <c r="AZ53" i="38"/>
  <c r="BH53" i="38"/>
  <c r="BA25" i="26"/>
  <c r="BI25" i="26"/>
  <c r="AY52" i="39"/>
  <c r="BG52" i="39"/>
  <c r="BL24" i="37"/>
  <c r="AL8" i="37" s="1"/>
  <c r="BB32" i="17"/>
  <c r="BJ32" i="17"/>
  <c r="AX31" i="12"/>
  <c r="BD31" i="12" s="1"/>
  <c r="AH6" i="12" s="1"/>
  <c r="BF31" i="12"/>
  <c r="BL31" i="12" s="1"/>
  <c r="AM6" i="12" s="1"/>
  <c r="BG32" i="24"/>
  <c r="AY32" i="24"/>
  <c r="BG23" i="33"/>
  <c r="AY23" i="33"/>
  <c r="BB23" i="12"/>
  <c r="BJ23" i="12"/>
  <c r="AY36" i="27"/>
  <c r="BG36" i="27"/>
  <c r="BH45" i="40"/>
  <c r="AZ45" i="40"/>
  <c r="AZ22" i="42"/>
  <c r="BH22" i="42"/>
  <c r="BG44" i="41"/>
  <c r="AY44" i="41"/>
  <c r="BA24" i="37"/>
  <c r="BI24" i="37"/>
  <c r="BI26" i="19"/>
  <c r="BA26" i="19"/>
  <c r="BH40" i="39"/>
  <c r="AZ40" i="39"/>
  <c r="AY32" i="12"/>
  <c r="BG32" i="12"/>
  <c r="BI25" i="35"/>
  <c r="BA25" i="35"/>
  <c r="BA34" i="14"/>
  <c r="BI34" i="14"/>
  <c r="AX31" i="15"/>
  <c r="BF31" i="15"/>
  <c r="AZ27" i="28"/>
  <c r="BH27" i="28"/>
  <c r="AZ33" i="36"/>
  <c r="BH33" i="36"/>
  <c r="N25" i="26"/>
  <c r="N23" i="26"/>
  <c r="N26" i="26"/>
  <c r="N24" i="26"/>
  <c r="N27" i="26"/>
  <c r="N22" i="26"/>
  <c r="BH26" i="21"/>
  <c r="AZ26" i="21"/>
  <c r="AZ52" i="17"/>
  <c r="BH52" i="17"/>
  <c r="AZ54" i="34"/>
  <c r="BH54" i="34"/>
  <c r="AX50" i="39"/>
  <c r="BF50" i="39"/>
  <c r="BJ49" i="40"/>
  <c r="BB49" i="40"/>
  <c r="AX36" i="21"/>
  <c r="BF36" i="21"/>
  <c r="BB22" i="15"/>
  <c r="BJ22" i="15"/>
  <c r="BF35" i="18"/>
  <c r="AX35" i="18"/>
  <c r="AX51" i="27"/>
  <c r="BF51" i="27"/>
  <c r="BG43" i="36"/>
  <c r="AY43" i="36"/>
  <c r="BJ54" i="23"/>
  <c r="BB54" i="23"/>
  <c r="BJ42" i="14"/>
  <c r="BB42" i="14"/>
  <c r="AZ49" i="28"/>
  <c r="BH49" i="28"/>
  <c r="BF54" i="22"/>
  <c r="AX54" i="22"/>
  <c r="AY26" i="24"/>
  <c r="BG26" i="24"/>
  <c r="BB49" i="12"/>
  <c r="BJ49" i="12"/>
  <c r="AZ44" i="29"/>
  <c r="BH44" i="29"/>
  <c r="BA50" i="16"/>
  <c r="BI50" i="16"/>
  <c r="BI35" i="39"/>
  <c r="BA35" i="39"/>
  <c r="G22" i="17"/>
  <c r="G25" i="17"/>
  <c r="G23" i="17"/>
  <c r="G26" i="17"/>
  <c r="G24" i="17"/>
  <c r="G27" i="17"/>
  <c r="BB36" i="26"/>
  <c r="BJ36" i="26"/>
  <c r="BG51" i="25"/>
  <c r="AY51" i="25"/>
  <c r="W45" i="27"/>
  <c r="W40" i="27"/>
  <c r="W43" i="27"/>
  <c r="W41" i="27"/>
  <c r="W44" i="27"/>
  <c r="W42" i="27"/>
  <c r="AX25" i="38"/>
  <c r="BF25" i="38"/>
  <c r="G25" i="25"/>
  <c r="G26" i="25"/>
  <c r="G24" i="25"/>
  <c r="G27" i="25"/>
  <c r="G23" i="25"/>
  <c r="G22" i="25"/>
  <c r="AX24" i="13"/>
  <c r="BF24" i="13"/>
  <c r="BL24" i="13" s="1"/>
  <c r="AL8" i="13" s="1"/>
  <c r="AY51" i="17"/>
  <c r="BG51" i="17"/>
  <c r="AX49" i="23"/>
  <c r="BF49" i="23"/>
  <c r="AZ35" i="13"/>
  <c r="BH35" i="13"/>
  <c r="AY43" i="27"/>
  <c r="BG43" i="27"/>
  <c r="BC36" i="13"/>
  <c r="BK36" i="13"/>
  <c r="BB43" i="16"/>
  <c r="BJ43" i="16"/>
  <c r="AX35" i="13"/>
  <c r="BF35" i="13"/>
  <c r="BA42" i="26"/>
  <c r="BI42" i="26"/>
  <c r="AX22" i="15"/>
  <c r="BF22" i="15"/>
  <c r="AY50" i="40"/>
  <c r="BG50" i="40"/>
  <c r="BH40" i="25"/>
  <c r="AZ40" i="25"/>
  <c r="AY25" i="37"/>
  <c r="BD25" i="37" s="1"/>
  <c r="AG9" i="37" s="1"/>
  <c r="BG25" i="37"/>
  <c r="BL25" i="37" s="1"/>
  <c r="AL9" i="37" s="1"/>
  <c r="BC24" i="18"/>
  <c r="BK24" i="18"/>
  <c r="AY27" i="41"/>
  <c r="BG27" i="41"/>
  <c r="G35" i="14"/>
  <c r="G33" i="14"/>
  <c r="G36" i="14"/>
  <c r="G31" i="14"/>
  <c r="G34" i="14"/>
  <c r="G32" i="14"/>
  <c r="BB34" i="28"/>
  <c r="BJ34" i="28"/>
  <c r="BI43" i="25"/>
  <c r="BA43" i="25"/>
  <c r="AY27" i="34"/>
  <c r="BG27" i="34"/>
  <c r="AX35" i="19"/>
  <c r="BF35" i="19"/>
  <c r="AY31" i="13"/>
  <c r="BG31" i="13"/>
  <c r="S33" i="22"/>
  <c r="S36" i="22"/>
  <c r="S31" i="22"/>
  <c r="S34" i="22"/>
  <c r="S32" i="22"/>
  <c r="S35" i="22"/>
  <c r="BH24" i="20"/>
  <c r="AZ24" i="20"/>
  <c r="BH34" i="38"/>
  <c r="AZ34" i="38"/>
  <c r="BB50" i="26"/>
  <c r="BJ50" i="26"/>
  <c r="BA53" i="24"/>
  <c r="BI53" i="24"/>
  <c r="AY35" i="35"/>
  <c r="BG35" i="35"/>
  <c r="BC27" i="23"/>
  <c r="BK27" i="23"/>
  <c r="BJ24" i="33"/>
  <c r="BB24" i="33"/>
  <c r="AZ42" i="38"/>
  <c r="BH42" i="38"/>
  <c r="AY44" i="39"/>
  <c r="BG44" i="39"/>
  <c r="BB27" i="26"/>
  <c r="BJ27" i="26"/>
  <c r="AY32" i="17"/>
  <c r="BG32" i="17"/>
  <c r="BF23" i="36"/>
  <c r="AX23" i="36"/>
  <c r="AY42" i="25"/>
  <c r="BG42" i="25"/>
  <c r="BH23" i="30"/>
  <c r="AZ23" i="30"/>
  <c r="AY54" i="18"/>
  <c r="BG54" i="18"/>
  <c r="AY27" i="19"/>
  <c r="BG27" i="19"/>
  <c r="BA31" i="23"/>
  <c r="BI31" i="23"/>
  <c r="AZ24" i="13"/>
  <c r="BH24" i="13"/>
  <c r="BB23" i="38"/>
  <c r="BJ23" i="38"/>
  <c r="AY35" i="42"/>
  <c r="BG35" i="42"/>
  <c r="BB34" i="16"/>
  <c r="BJ34" i="16"/>
  <c r="BF41" i="16"/>
  <c r="AX41" i="16"/>
  <c r="BA23" i="16"/>
  <c r="BI23" i="16"/>
  <c r="BK34" i="40"/>
  <c r="BC34" i="40"/>
  <c r="AZ24" i="31"/>
  <c r="BH24" i="31"/>
  <c r="BA23" i="17"/>
  <c r="BI23" i="17"/>
  <c r="BH26" i="39"/>
  <c r="AZ26" i="39"/>
  <c r="AY25" i="12"/>
  <c r="BG25" i="12"/>
  <c r="AX27" i="23"/>
  <c r="BF27" i="23"/>
  <c r="BH45" i="13"/>
  <c r="AZ45" i="13"/>
  <c r="AY26" i="28"/>
  <c r="BG26" i="28"/>
  <c r="BB50" i="17"/>
  <c r="BJ50" i="17"/>
  <c r="BG44" i="19"/>
  <c r="AY44" i="19"/>
  <c r="BA36" i="17"/>
  <c r="BI36" i="17"/>
  <c r="AY51" i="14"/>
  <c r="BG51" i="14"/>
  <c r="BB53" i="22"/>
  <c r="BJ53" i="22"/>
  <c r="BF27" i="16"/>
  <c r="AX27" i="16"/>
  <c r="AZ25" i="22"/>
  <c r="BH25" i="22"/>
  <c r="AX23" i="39"/>
  <c r="BF23" i="39"/>
  <c r="AZ54" i="21"/>
  <c r="BH54" i="21"/>
  <c r="BA53" i="26"/>
  <c r="BI53" i="26"/>
  <c r="BC42" i="40"/>
  <c r="BK42" i="40"/>
  <c r="BF49" i="33"/>
  <c r="AX49" i="33"/>
  <c r="AZ43" i="31"/>
  <c r="BH43" i="31"/>
  <c r="BB25" i="17"/>
  <c r="BJ25" i="17"/>
  <c r="BA24" i="18"/>
  <c r="BI24" i="18"/>
  <c r="AX45" i="32"/>
  <c r="BD45" i="32" s="1"/>
  <c r="AI11" i="32" s="1"/>
  <c r="BF45" i="32"/>
  <c r="BL45" i="32" s="1"/>
  <c r="AN11" i="32" s="1"/>
  <c r="BA32" i="27"/>
  <c r="BI32" i="27"/>
  <c r="BB22" i="31"/>
  <c r="BJ22" i="31"/>
  <c r="AX23" i="22"/>
  <c r="BF23" i="22"/>
  <c r="BG44" i="28"/>
  <c r="AY44" i="28"/>
  <c r="AZ49" i="33"/>
  <c r="BH49" i="33"/>
  <c r="AX35" i="27"/>
  <c r="BF35" i="27"/>
  <c r="AX40" i="41"/>
  <c r="BF40" i="41"/>
  <c r="AX43" i="40"/>
  <c r="BF43" i="40"/>
  <c r="BB40" i="28"/>
  <c r="BJ40" i="28"/>
  <c r="BA45" i="37"/>
  <c r="BI45" i="37"/>
  <c r="BA45" i="11"/>
  <c r="BI45" i="11"/>
  <c r="AZ35" i="39"/>
  <c r="BH35" i="39"/>
  <c r="AZ36" i="19"/>
  <c r="BH36" i="19"/>
  <c r="BG33" i="36"/>
  <c r="AY33" i="36"/>
  <c r="BB44" i="23"/>
  <c r="BJ44" i="23"/>
  <c r="AY24" i="18"/>
  <c r="BG24" i="18"/>
  <c r="AY34" i="15"/>
  <c r="BG34" i="15"/>
  <c r="BC34" i="35"/>
  <c r="BK34" i="35"/>
  <c r="BI42" i="20"/>
  <c r="BA42" i="20"/>
  <c r="BA40" i="12"/>
  <c r="BI40" i="12"/>
  <c r="BC54" i="26"/>
  <c r="BK54" i="26"/>
  <c r="BC24" i="26"/>
  <c r="BK24" i="26"/>
  <c r="BG45" i="33"/>
  <c r="AY45" i="33"/>
  <c r="AY26" i="42"/>
  <c r="BG26" i="42"/>
  <c r="BB51" i="24"/>
  <c r="BJ51" i="24"/>
  <c r="BB40" i="13"/>
  <c r="BJ40" i="13"/>
  <c r="AX45" i="38"/>
  <c r="BD45" i="38" s="1"/>
  <c r="AI11" i="38" s="1"/>
  <c r="BF45" i="38"/>
  <c r="BL45" i="38" s="1"/>
  <c r="AN11" i="38" s="1"/>
  <c r="BI42" i="16"/>
  <c r="BA42" i="16"/>
  <c r="BB43" i="34"/>
  <c r="BJ43" i="34"/>
  <c r="BG52" i="33"/>
  <c r="AY52" i="33"/>
  <c r="BC49" i="40"/>
  <c r="BK49" i="40"/>
  <c r="AY22" i="21"/>
  <c r="BG22" i="21"/>
  <c r="V23" i="27"/>
  <c r="V26" i="27"/>
  <c r="V24" i="27"/>
  <c r="V27" i="27"/>
  <c r="V22" i="27"/>
  <c r="V25" i="27"/>
  <c r="BH51" i="40"/>
  <c r="AZ51" i="40"/>
  <c r="BA31" i="40"/>
  <c r="BI31" i="40"/>
  <c r="AZ23" i="41"/>
  <c r="BH23" i="41"/>
  <c r="BG45" i="18"/>
  <c r="AY45" i="18"/>
  <c r="BA34" i="26"/>
  <c r="BI34" i="26"/>
  <c r="BB43" i="17"/>
  <c r="BJ43" i="17"/>
  <c r="AX41" i="36"/>
  <c r="BD41" i="36" s="1"/>
  <c r="AI7" i="36" s="1"/>
  <c r="BF41" i="36"/>
  <c r="BB45" i="29"/>
  <c r="BJ45" i="29"/>
  <c r="BG36" i="21"/>
  <c r="AY36" i="21"/>
  <c r="AZ27" i="29"/>
  <c r="BH27" i="29"/>
  <c r="BJ27" i="41"/>
  <c r="BB27" i="41"/>
  <c r="BB44" i="22"/>
  <c r="BJ44" i="22"/>
  <c r="AY27" i="22"/>
  <c r="BG27" i="22"/>
  <c r="AZ53" i="41"/>
  <c r="BH53" i="41"/>
  <c r="AY50" i="22"/>
  <c r="BG50" i="22"/>
  <c r="BI50" i="25"/>
  <c r="BA50" i="25"/>
  <c r="BA22" i="27"/>
  <c r="BI22" i="27"/>
  <c r="AX36" i="24"/>
  <c r="BF36" i="24"/>
  <c r="BF54" i="29"/>
  <c r="BL54" i="29" s="1"/>
  <c r="AO11" i="29" s="1"/>
  <c r="AX54" i="29"/>
  <c r="BD54" i="29" s="1"/>
  <c r="AJ11" i="29" s="1"/>
  <c r="G49" i="14"/>
  <c r="G52" i="14"/>
  <c r="G50" i="14"/>
  <c r="G53" i="14"/>
  <c r="G51" i="14"/>
  <c r="G54" i="14"/>
  <c r="BB40" i="40"/>
  <c r="BJ40" i="40"/>
  <c r="AX36" i="28"/>
  <c r="BF36" i="28"/>
  <c r="AX42" i="15"/>
  <c r="BF42" i="15"/>
  <c r="AX52" i="24"/>
  <c r="BF52" i="24"/>
  <c r="G54" i="42"/>
  <c r="G49" i="42"/>
  <c r="G53" i="42"/>
  <c r="G51" i="42"/>
  <c r="G50" i="42"/>
  <c r="G52" i="42"/>
  <c r="BB34" i="31"/>
  <c r="BJ34" i="31"/>
  <c r="AY34" i="39"/>
  <c r="BG34" i="39"/>
  <c r="BA22" i="32"/>
  <c r="BI22" i="32"/>
  <c r="AY32" i="25"/>
  <c r="BG32" i="25"/>
  <c r="BB35" i="12"/>
  <c r="BJ35" i="12"/>
  <c r="AZ45" i="28"/>
  <c r="BH45" i="28"/>
  <c r="BA53" i="11"/>
  <c r="BI53" i="11"/>
  <c r="BB51" i="14"/>
  <c r="BJ51" i="14"/>
  <c r="AY32" i="33"/>
  <c r="BG32" i="33"/>
  <c r="BK40" i="31"/>
  <c r="BC40" i="31"/>
  <c r="G35" i="35"/>
  <c r="G33" i="35"/>
  <c r="G36" i="35"/>
  <c r="G31" i="35"/>
  <c r="G34" i="35"/>
  <c r="G32" i="35"/>
  <c r="BG34" i="18"/>
  <c r="AY34" i="18"/>
  <c r="AY49" i="19"/>
  <c r="BG49" i="19"/>
  <c r="BH54" i="19"/>
  <c r="AZ54" i="19"/>
  <c r="AZ54" i="27"/>
  <c r="BH54" i="27"/>
  <c r="BK34" i="26"/>
  <c r="BC34" i="26"/>
  <c r="AY44" i="42"/>
  <c r="BG44" i="42"/>
  <c r="BB49" i="13"/>
  <c r="BJ49" i="13"/>
  <c r="AX25" i="26"/>
  <c r="BF25" i="26"/>
  <c r="BH25" i="11"/>
  <c r="AZ25" i="11"/>
  <c r="BA41" i="32"/>
  <c r="BI41" i="32"/>
  <c r="AX33" i="36"/>
  <c r="BF33" i="36"/>
  <c r="BC42" i="26"/>
  <c r="BK42" i="26"/>
  <c r="BH27" i="38"/>
  <c r="AZ27" i="38"/>
  <c r="BB51" i="32"/>
  <c r="BJ51" i="32"/>
  <c r="BA45" i="19"/>
  <c r="BI45" i="19"/>
  <c r="J51" i="23"/>
  <c r="J49" i="23"/>
  <c r="J52" i="23"/>
  <c r="J50" i="23"/>
  <c r="J53" i="23"/>
  <c r="J54" i="23"/>
  <c r="BA53" i="40"/>
  <c r="BI53" i="40"/>
  <c r="AY32" i="40"/>
  <c r="BG32" i="40"/>
  <c r="BJ41" i="20"/>
  <c r="BI53" i="39"/>
  <c r="BA53" i="39"/>
  <c r="BF32" i="41"/>
  <c r="AX32" i="41"/>
  <c r="BC51" i="41"/>
  <c r="BK51" i="41"/>
  <c r="AZ44" i="11"/>
  <c r="BH44" i="11"/>
  <c r="BF34" i="32"/>
  <c r="AX34" i="32"/>
  <c r="BB22" i="40"/>
  <c r="BJ22" i="40"/>
  <c r="BA25" i="29"/>
  <c r="BI25" i="29"/>
  <c r="AZ49" i="11"/>
  <c r="BH49" i="11"/>
  <c r="BI51" i="23"/>
  <c r="BA51" i="23"/>
  <c r="BB24" i="23"/>
  <c r="BJ24" i="23"/>
  <c r="BA36" i="24"/>
  <c r="BI36" i="24"/>
  <c r="BG51" i="34"/>
  <c r="AY51" i="34"/>
  <c r="BJ54" i="38"/>
  <c r="BB54" i="38"/>
  <c r="BB51" i="34"/>
  <c r="BJ51" i="34"/>
  <c r="AZ49" i="31"/>
  <c r="BH49" i="31"/>
  <c r="AZ22" i="19"/>
  <c r="BH22" i="19"/>
  <c r="BF24" i="18"/>
  <c r="AX24" i="18"/>
  <c r="BG22" i="31"/>
  <c r="AY22" i="31"/>
  <c r="AZ49" i="15"/>
  <c r="BH49" i="15"/>
  <c r="AZ24" i="33"/>
  <c r="BH24" i="33"/>
  <c r="AX43" i="27"/>
  <c r="BF43" i="27"/>
  <c r="AX54" i="41"/>
  <c r="BF54" i="41"/>
  <c r="AX27" i="20"/>
  <c r="BF27" i="20"/>
  <c r="AY23" i="17"/>
  <c r="BG23" i="17"/>
  <c r="AZ36" i="27"/>
  <c r="BH36" i="27"/>
  <c r="BI54" i="18"/>
  <c r="BA54" i="18"/>
  <c r="AY53" i="24"/>
  <c r="BG53" i="24"/>
  <c r="BF41" i="19"/>
  <c r="AX41" i="19"/>
  <c r="AY25" i="11"/>
  <c r="BG25" i="11"/>
  <c r="AZ23" i="40"/>
  <c r="BH23" i="40"/>
  <c r="AY26" i="27"/>
  <c r="BG26" i="27"/>
  <c r="AZ40" i="14"/>
  <c r="BH40" i="14"/>
  <c r="BA24" i="11"/>
  <c r="BI24" i="11"/>
  <c r="BC42" i="35"/>
  <c r="BK42" i="35"/>
  <c r="BI31" i="32"/>
  <c r="BA31" i="32"/>
  <c r="AX53" i="38"/>
  <c r="BD53" i="38" s="1"/>
  <c r="AJ10" i="38" s="1"/>
  <c r="BF53" i="38"/>
  <c r="BL53" i="38" s="1"/>
  <c r="AO10" i="38" s="1"/>
  <c r="BB32" i="33"/>
  <c r="BJ32" i="33"/>
  <c r="BA27" i="40"/>
  <c r="BI27" i="40"/>
  <c r="BF40" i="20"/>
  <c r="AX40" i="20"/>
  <c r="AY42" i="17"/>
  <c r="BG42" i="17"/>
  <c r="E169" i="54"/>
  <c r="D169" i="54"/>
  <c r="B169" i="54"/>
  <c r="A184" i="8" s="1"/>
  <c r="C184" i="8" s="1"/>
  <c r="E187" i="54"/>
  <c r="D187" i="54"/>
  <c r="B187" i="54"/>
  <c r="A209" i="8" s="1"/>
  <c r="C209" i="8" s="1"/>
  <c r="E152" i="54"/>
  <c r="D152" i="54"/>
  <c r="B152" i="54"/>
  <c r="A165" i="8" s="1"/>
  <c r="C165" i="8" s="1"/>
  <c r="E191" i="54"/>
  <c r="D191" i="54"/>
  <c r="B191" i="54"/>
  <c r="A197" i="8" s="1"/>
  <c r="C197" i="8" s="1"/>
  <c r="E165" i="54"/>
  <c r="D165" i="54"/>
  <c r="B165" i="54"/>
  <c r="A185" i="8" s="1"/>
  <c r="C185" i="8" s="1"/>
  <c r="E65" i="54"/>
  <c r="D65" i="54"/>
  <c r="B65" i="54"/>
  <c r="A76" i="8" s="1"/>
  <c r="C76" i="8" s="1"/>
  <c r="E83" i="54"/>
  <c r="D83" i="54"/>
  <c r="B83" i="54"/>
  <c r="A127" i="8" s="1"/>
  <c r="C127" i="8" s="1"/>
  <c r="E154" i="54"/>
  <c r="D154" i="54"/>
  <c r="B154" i="54"/>
  <c r="A173" i="8" s="1"/>
  <c r="C173" i="8" s="1"/>
  <c r="AH175" i="6"/>
  <c r="AH167" i="6"/>
  <c r="AH159" i="6"/>
  <c r="AH151" i="6"/>
  <c r="AH143" i="6"/>
  <c r="AH135" i="6"/>
  <c r="AH127" i="6"/>
  <c r="AH119" i="6"/>
  <c r="AH111" i="6"/>
  <c r="AH103" i="6"/>
  <c r="AH95" i="6"/>
  <c r="AH87" i="6"/>
  <c r="AH79" i="6"/>
  <c r="AH71" i="6"/>
  <c r="AH63" i="6"/>
  <c r="AH193" i="6"/>
  <c r="AH185" i="6"/>
  <c r="AH177" i="6"/>
  <c r="AH169" i="6"/>
  <c r="AH161" i="6"/>
  <c r="AH153" i="6"/>
  <c r="AH145" i="6"/>
  <c r="AH137" i="6"/>
  <c r="AH129" i="6"/>
  <c r="AH121" i="6"/>
  <c r="AH113" i="6"/>
  <c r="AH105" i="6"/>
  <c r="AH97" i="6"/>
  <c r="AH89" i="6"/>
  <c r="AH81" i="6"/>
  <c r="AH73" i="6"/>
  <c r="AH65" i="6"/>
  <c r="AH57" i="6"/>
  <c r="AH171" i="6"/>
  <c r="AH163" i="6"/>
  <c r="AH155" i="6"/>
  <c r="AH147" i="6"/>
  <c r="AH139" i="6"/>
  <c r="AH131" i="6"/>
  <c r="AH123" i="6"/>
  <c r="AH115" i="6"/>
  <c r="AH107" i="6"/>
  <c r="AH99" i="6"/>
  <c r="AH91" i="6"/>
  <c r="AH83" i="6"/>
  <c r="AH75" i="6"/>
  <c r="AH67" i="6"/>
  <c r="AH59" i="6"/>
  <c r="AH149" i="6"/>
  <c r="AH141" i="6"/>
  <c r="AH133" i="6"/>
  <c r="AH125" i="6"/>
  <c r="AH117" i="6"/>
  <c r="AH109" i="6"/>
  <c r="AH101" i="6"/>
  <c r="AH93" i="6"/>
  <c r="AH85" i="6"/>
  <c r="AH77" i="6"/>
  <c r="AH69" i="6"/>
  <c r="AH61" i="6"/>
  <c r="AH165" i="6"/>
  <c r="AH197" i="6"/>
  <c r="AH72" i="6"/>
  <c r="AH104" i="6"/>
  <c r="AH136" i="6"/>
  <c r="AH168" i="6"/>
  <c r="AH200" i="6"/>
  <c r="AH187" i="6"/>
  <c r="AH86" i="6"/>
  <c r="AH118" i="6"/>
  <c r="AH150" i="6"/>
  <c r="AH182" i="6"/>
  <c r="AH74" i="6"/>
  <c r="AH106" i="6"/>
  <c r="AH138" i="6"/>
  <c r="AH162" i="6"/>
  <c r="AH201" i="6"/>
  <c r="AH84" i="6"/>
  <c r="AH116" i="6"/>
  <c r="AH148" i="6"/>
  <c r="AH180" i="6"/>
  <c r="AH186" i="6"/>
  <c r="AH173" i="6"/>
  <c r="AH80" i="6"/>
  <c r="AH112" i="6"/>
  <c r="AH144" i="6"/>
  <c r="AH176" i="6"/>
  <c r="AH195" i="6"/>
  <c r="AH62" i="6"/>
  <c r="AH94" i="6"/>
  <c r="AH126" i="6"/>
  <c r="AH158" i="6"/>
  <c r="AH190" i="6"/>
  <c r="AH191" i="6"/>
  <c r="AH82" i="6"/>
  <c r="AH114" i="6"/>
  <c r="AH146" i="6"/>
  <c r="AH60" i="6"/>
  <c r="AH92" i="6"/>
  <c r="AH124" i="6"/>
  <c r="AH156" i="6"/>
  <c r="AH188" i="6"/>
  <c r="AH170" i="6"/>
  <c r="AH181" i="6"/>
  <c r="AH56" i="6"/>
  <c r="AH88" i="6"/>
  <c r="AH120" i="6"/>
  <c r="AH152" i="6"/>
  <c r="AH184" i="6"/>
  <c r="AH70" i="6"/>
  <c r="AH102" i="6"/>
  <c r="AH134" i="6"/>
  <c r="AH166" i="6"/>
  <c r="AH198" i="6"/>
  <c r="AH199" i="6"/>
  <c r="AH58" i="6"/>
  <c r="AH90" i="6"/>
  <c r="AH122" i="6"/>
  <c r="AH194" i="6"/>
  <c r="AH68" i="6"/>
  <c r="AH100" i="6"/>
  <c r="AH132" i="6"/>
  <c r="AH164" i="6"/>
  <c r="AH196" i="6"/>
  <c r="AH154" i="6"/>
  <c r="AH157" i="6"/>
  <c r="AH189" i="6"/>
  <c r="AH64" i="6"/>
  <c r="AH96" i="6"/>
  <c r="AH128" i="6"/>
  <c r="AH160" i="6"/>
  <c r="AH192" i="6"/>
  <c r="AH179" i="6"/>
  <c r="AH78" i="6"/>
  <c r="AH110" i="6"/>
  <c r="AH142" i="6"/>
  <c r="AH174" i="6"/>
  <c r="AH66" i="6"/>
  <c r="AH98" i="6"/>
  <c r="AH130" i="6"/>
  <c r="AH178" i="6"/>
  <c r="AH76" i="6"/>
  <c r="AH108" i="6"/>
  <c r="AH140" i="6"/>
  <c r="AH172" i="6"/>
  <c r="AH183" i="6"/>
  <c r="AH202" i="6"/>
  <c r="E136" i="54"/>
  <c r="D136" i="54"/>
  <c r="B136" i="54"/>
  <c r="A95" i="8" s="1"/>
  <c r="C95" i="8" s="1"/>
  <c r="B82" i="54"/>
  <c r="A124" i="8" s="1"/>
  <c r="C124" i="8" s="1"/>
  <c r="E82" i="54"/>
  <c r="D82" i="54"/>
  <c r="B121" i="54"/>
  <c r="A107" i="8" s="1"/>
  <c r="C107" i="8" s="1"/>
  <c r="E121" i="54"/>
  <c r="D121" i="54"/>
  <c r="D139" i="54"/>
  <c r="E139" i="54"/>
  <c r="B139" i="54"/>
  <c r="A172" i="8" s="1"/>
  <c r="C172" i="8" s="1"/>
  <c r="E138" i="54"/>
  <c r="D138" i="54"/>
  <c r="B138" i="54"/>
  <c r="A171" i="8" s="1"/>
  <c r="C171" i="8" s="1"/>
  <c r="B76" i="54"/>
  <c r="A106" i="8" s="1"/>
  <c r="C106" i="8" s="1"/>
  <c r="E76" i="54"/>
  <c r="D76" i="54"/>
  <c r="B101" i="54"/>
  <c r="A71" i="8" s="1"/>
  <c r="C71" i="8" s="1"/>
  <c r="E101" i="54"/>
  <c r="D101" i="54"/>
  <c r="E177" i="54"/>
  <c r="D177" i="54"/>
  <c r="B177" i="54"/>
  <c r="A190" i="8" s="1"/>
  <c r="C190" i="8" s="1"/>
  <c r="B70" i="54"/>
  <c r="A85" i="8" s="1"/>
  <c r="C85" i="8" s="1"/>
  <c r="E70" i="54"/>
  <c r="D70" i="54"/>
  <c r="E112" i="54"/>
  <c r="B112" i="54"/>
  <c r="A134" i="8" s="1"/>
  <c r="C134" i="8" s="1"/>
  <c r="D112" i="54"/>
  <c r="E71" i="54"/>
  <c r="D71" i="54"/>
  <c r="B71" i="54"/>
  <c r="A89" i="8" s="1"/>
  <c r="C89" i="8" s="1"/>
  <c r="B62" i="54"/>
  <c r="A88" i="8" s="1"/>
  <c r="C88" i="8" s="1"/>
  <c r="E62" i="54"/>
  <c r="D62" i="54"/>
  <c r="B12" i="8"/>
  <c r="B141" i="8"/>
  <c r="B169" i="8"/>
  <c r="B5" i="8"/>
  <c r="B147" i="8"/>
  <c r="B170" i="8"/>
  <c r="B17" i="8"/>
  <c r="B137" i="8"/>
  <c r="B162" i="8"/>
  <c r="B9" i="8"/>
  <c r="B100" i="8"/>
  <c r="B171" i="8"/>
  <c r="B30" i="8"/>
  <c r="B64" i="8"/>
  <c r="B166" i="8"/>
  <c r="B25" i="8"/>
  <c r="B118" i="8"/>
  <c r="B155" i="8"/>
  <c r="B21" i="8"/>
  <c r="B145" i="8"/>
  <c r="B174" i="8"/>
  <c r="B19" i="8"/>
  <c r="B66" i="8"/>
  <c r="B163" i="8"/>
  <c r="BJ45" i="41"/>
  <c r="BB45" i="41"/>
  <c r="AY53" i="41"/>
  <c r="BG53" i="41"/>
  <c r="BH34" i="32"/>
  <c r="AZ34" i="32"/>
  <c r="BA26" i="23"/>
  <c r="BI26" i="23"/>
  <c r="BA42" i="35"/>
  <c r="BI42" i="35"/>
  <c r="AY41" i="13"/>
  <c r="BG41" i="13"/>
  <c r="BH52" i="36"/>
  <c r="AZ52" i="36"/>
  <c r="BF40" i="29"/>
  <c r="BL40" i="29" s="1"/>
  <c r="AN6" i="29" s="1"/>
  <c r="AX40" i="29"/>
  <c r="BD40" i="29" s="1"/>
  <c r="AI6" i="29" s="1"/>
  <c r="AX51" i="16"/>
  <c r="BF51" i="16"/>
  <c r="BA33" i="16"/>
  <c r="BI33" i="16"/>
  <c r="AY51" i="37"/>
  <c r="BD51" i="37" s="1"/>
  <c r="AJ8" i="37" s="1"/>
  <c r="BG51" i="37"/>
  <c r="BL51" i="37" s="1"/>
  <c r="AO8" i="37" s="1"/>
  <c r="BA50" i="19"/>
  <c r="BI50" i="19"/>
  <c r="BA42" i="23"/>
  <c r="BI42" i="23"/>
  <c r="BA51" i="35"/>
  <c r="BI51" i="35"/>
  <c r="AX43" i="33"/>
  <c r="BD43" i="33" s="1"/>
  <c r="AI9" i="33" s="1"/>
  <c r="BF43" i="33"/>
  <c r="BL43" i="33" s="1"/>
  <c r="AN9" i="33" s="1"/>
  <c r="BC33" i="18"/>
  <c r="BK33" i="18"/>
  <c r="BB32" i="15"/>
  <c r="BJ32" i="15"/>
  <c r="BB36" i="38"/>
  <c r="BJ36" i="38"/>
  <c r="K50" i="16"/>
  <c r="K53" i="16"/>
  <c r="K51" i="16"/>
  <c r="K54" i="16"/>
  <c r="K49" i="16"/>
  <c r="K52" i="16"/>
  <c r="AX40" i="24"/>
  <c r="BF40" i="24"/>
  <c r="BI27" i="20"/>
  <c r="BA27" i="20"/>
  <c r="AY49" i="35"/>
  <c r="BG49" i="35"/>
  <c r="BC24" i="27"/>
  <c r="BK24" i="27"/>
  <c r="AZ36" i="21"/>
  <c r="BH36" i="21"/>
  <c r="AY31" i="34"/>
  <c r="BG31" i="34"/>
  <c r="AX42" i="28"/>
  <c r="BF42" i="28"/>
  <c r="BA44" i="30"/>
  <c r="BI44" i="30"/>
  <c r="BG24" i="35"/>
  <c r="AY24" i="35"/>
  <c r="AX24" i="24"/>
  <c r="BF24" i="24"/>
  <c r="BB51" i="33"/>
  <c r="BJ51" i="33"/>
  <c r="AX50" i="40"/>
  <c r="BF50" i="40"/>
  <c r="AY45" i="14"/>
  <c r="BG45" i="14"/>
  <c r="AX44" i="10"/>
  <c r="BD44" i="10" s="1"/>
  <c r="AI10" i="10" s="1"/>
  <c r="BF44" i="10"/>
  <c r="BL44" i="10" s="1"/>
  <c r="AN10" i="10" s="1"/>
  <c r="AZ27" i="15"/>
  <c r="BH27" i="15"/>
  <c r="AX53" i="12"/>
  <c r="BF53" i="12"/>
  <c r="AX23" i="19"/>
  <c r="BF23" i="19"/>
  <c r="AX22" i="27"/>
  <c r="BF22" i="27"/>
  <c r="AX27" i="12"/>
  <c r="BD27" i="12" s="1"/>
  <c r="AG11" i="12" s="1"/>
  <c r="BF27" i="12"/>
  <c r="BL27" i="12" s="1"/>
  <c r="AL11" i="12" s="1"/>
  <c r="AX49" i="19"/>
  <c r="BF49" i="19"/>
  <c r="AY34" i="11"/>
  <c r="BG34" i="11"/>
  <c r="AY41" i="22"/>
  <c r="BG41" i="22"/>
  <c r="AZ33" i="41"/>
  <c r="BH33" i="41"/>
  <c r="BF49" i="18"/>
  <c r="AX49" i="18"/>
  <c r="BB44" i="32"/>
  <c r="BJ44" i="32"/>
  <c r="AX24" i="33"/>
  <c r="BD24" i="33" s="1"/>
  <c r="AG8" i="33" s="1"/>
  <c r="BF24" i="33"/>
  <c r="BL24" i="33" s="1"/>
  <c r="AL8" i="33" s="1"/>
  <c r="BA32" i="36"/>
  <c r="BI32" i="36"/>
  <c r="AZ42" i="27"/>
  <c r="BH42" i="27"/>
  <c r="BK35" i="23"/>
  <c r="BC35" i="23"/>
  <c r="BF35" i="26"/>
  <c r="AX35" i="26"/>
  <c r="BG45" i="37"/>
  <c r="AY45" i="37"/>
  <c r="BB44" i="39"/>
  <c r="BJ44" i="39"/>
  <c r="F35" i="31"/>
  <c r="F33" i="31"/>
  <c r="F36" i="31"/>
  <c r="F31" i="31"/>
  <c r="F34" i="31"/>
  <c r="F32" i="31"/>
  <c r="K33" i="23"/>
  <c r="K31" i="23"/>
  <c r="K34" i="23"/>
  <c r="K35" i="23"/>
  <c r="K32" i="23"/>
  <c r="K36" i="23"/>
  <c r="BK41" i="18"/>
  <c r="BC41" i="18"/>
  <c r="BH40" i="32"/>
  <c r="AZ40" i="32"/>
  <c r="BC24" i="40"/>
  <c r="BK24" i="40"/>
  <c r="AZ36" i="31"/>
  <c r="BH36" i="31"/>
  <c r="AZ44" i="21"/>
  <c r="BH44" i="21"/>
  <c r="BH22" i="14"/>
  <c r="AZ22" i="14"/>
  <c r="AZ27" i="36"/>
  <c r="BH27" i="36"/>
  <c r="BC32" i="30"/>
  <c r="BK32" i="30"/>
  <c r="BJ23" i="28"/>
  <c r="BB23" i="28"/>
  <c r="AX51" i="34"/>
  <c r="BF51" i="34"/>
  <c r="BJ50" i="30"/>
  <c r="BB50" i="30"/>
  <c r="BA44" i="17"/>
  <c r="BI44" i="17"/>
  <c r="BA35" i="37"/>
  <c r="BD35" i="37" s="1"/>
  <c r="AH10" i="37" s="1"/>
  <c r="BI35" i="37"/>
  <c r="BL35" i="37" s="1"/>
  <c r="AM10" i="37" s="1"/>
  <c r="AX49" i="13"/>
  <c r="BD49" i="13" s="1"/>
  <c r="AJ6" i="13" s="1"/>
  <c r="BF49" i="13"/>
  <c r="BL49" i="13" s="1"/>
  <c r="AO6" i="13" s="1"/>
  <c r="BA44" i="24"/>
  <c r="BI44" i="24"/>
  <c r="AY32" i="14"/>
  <c r="BG32" i="14"/>
  <c r="BG45" i="40"/>
  <c r="AY45" i="40"/>
  <c r="BB44" i="26"/>
  <c r="BJ44" i="26"/>
  <c r="BI34" i="20"/>
  <c r="BA34" i="20"/>
  <c r="BB31" i="14"/>
  <c r="BJ31" i="14"/>
  <c r="BJ35" i="40"/>
  <c r="BB35" i="40"/>
  <c r="AX44" i="21"/>
  <c r="BF44" i="21"/>
  <c r="BA22" i="24"/>
  <c r="BI22" i="24"/>
  <c r="BJ53" i="41"/>
  <c r="BB53" i="41"/>
  <c r="BB51" i="16"/>
  <c r="BJ51" i="16"/>
  <c r="AX32" i="20"/>
  <c r="BF32" i="20"/>
  <c r="AY42" i="15"/>
  <c r="BG42" i="15"/>
  <c r="AZ31" i="15"/>
  <c r="BH31" i="15"/>
  <c r="AZ34" i="40"/>
  <c r="BH34" i="40"/>
  <c r="BC54" i="35"/>
  <c r="BK54" i="35"/>
  <c r="BF54" i="10"/>
  <c r="BL54" i="10" s="1"/>
  <c r="AO11" i="10" s="1"/>
  <c r="AX54" i="10"/>
  <c r="BD54" i="10" s="1"/>
  <c r="AJ11" i="10" s="1"/>
  <c r="AX42" i="12"/>
  <c r="BF42" i="12"/>
  <c r="BB32" i="13"/>
  <c r="BJ32" i="13"/>
  <c r="AX32" i="38"/>
  <c r="BD32" i="38" s="1"/>
  <c r="AH7" i="38" s="1"/>
  <c r="BF32" i="38"/>
  <c r="BL32" i="38" s="1"/>
  <c r="AM7" i="38" s="1"/>
  <c r="BF41" i="34"/>
  <c r="BL41" i="34" s="1"/>
  <c r="AN7" i="34" s="1"/>
  <c r="AX41" i="34"/>
  <c r="BD41" i="34" s="1"/>
  <c r="AI7" i="34" s="1"/>
  <c r="BA45" i="27"/>
  <c r="BI45" i="27"/>
  <c r="AY51" i="13"/>
  <c r="BG51" i="13"/>
  <c r="BB22" i="22"/>
  <c r="BJ22" i="22"/>
  <c r="AZ35" i="22"/>
  <c r="BH35" i="22"/>
  <c r="AY45" i="12"/>
  <c r="BG45" i="12"/>
  <c r="BB34" i="23"/>
  <c r="BJ34" i="23"/>
  <c r="AX52" i="32"/>
  <c r="BF52" i="32"/>
  <c r="AY53" i="11"/>
  <c r="BG53" i="11"/>
  <c r="BC51" i="27"/>
  <c r="BK51" i="27"/>
  <c r="BB40" i="31"/>
  <c r="BJ40" i="31"/>
  <c r="AZ31" i="33"/>
  <c r="BH31" i="33"/>
  <c r="AY45" i="24"/>
  <c r="BG45" i="24"/>
  <c r="BH40" i="41"/>
  <c r="AZ40" i="41"/>
  <c r="AX43" i="18"/>
  <c r="BF43" i="18"/>
  <c r="BB22" i="39"/>
  <c r="BJ22" i="39"/>
  <c r="BH40" i="33"/>
  <c r="AZ40" i="33"/>
  <c r="BI49" i="20"/>
  <c r="BA49" i="20"/>
  <c r="BA53" i="36"/>
  <c r="BI53" i="36"/>
  <c r="AZ41" i="20"/>
  <c r="BH41" i="20"/>
  <c r="BB22" i="16"/>
  <c r="BJ22" i="16"/>
  <c r="BF26" i="29"/>
  <c r="AX26" i="29"/>
  <c r="BH24" i="32"/>
  <c r="AZ24" i="32"/>
  <c r="AZ50" i="38"/>
  <c r="BH50" i="38"/>
  <c r="AY49" i="39"/>
  <c r="BG49" i="39"/>
  <c r="BD24" i="37"/>
  <c r="AG8" i="37" s="1"/>
  <c r="BB34" i="17"/>
  <c r="BJ34" i="17"/>
  <c r="AX36" i="12"/>
  <c r="BD36" i="12" s="1"/>
  <c r="AH11" i="12" s="1"/>
  <c r="BF36" i="12"/>
  <c r="BL36" i="12" s="1"/>
  <c r="AM11" i="12" s="1"/>
  <c r="AY34" i="24"/>
  <c r="BG34" i="24"/>
  <c r="AY25" i="33"/>
  <c r="BG25" i="33"/>
  <c r="BB25" i="12"/>
  <c r="BJ25" i="12"/>
  <c r="AY33" i="27"/>
  <c r="BG33" i="27"/>
  <c r="AZ42" i="40"/>
  <c r="BH42" i="40"/>
  <c r="BH27" i="42"/>
  <c r="AZ27" i="42"/>
  <c r="V49" i="19"/>
  <c r="V52" i="19"/>
  <c r="V50" i="19"/>
  <c r="V53" i="19"/>
  <c r="V51" i="19"/>
  <c r="V54" i="19"/>
  <c r="BI26" i="37"/>
  <c r="BL26" i="37" s="1"/>
  <c r="AL10" i="37" s="1"/>
  <c r="BA26" i="37"/>
  <c r="BD26" i="37" s="1"/>
  <c r="AG10" i="37" s="1"/>
  <c r="BA23" i="19"/>
  <c r="BI23" i="19"/>
  <c r="AZ45" i="39"/>
  <c r="BH45" i="39"/>
  <c r="AZ26" i="16"/>
  <c r="BH26" i="16"/>
  <c r="BI22" i="35"/>
  <c r="BA22" i="35"/>
  <c r="AZ24" i="28"/>
  <c r="BH24" i="28"/>
  <c r="AZ35" i="36"/>
  <c r="BH35" i="36"/>
  <c r="O23" i="26"/>
  <c r="O26" i="26"/>
  <c r="O24" i="26"/>
  <c r="O27" i="26"/>
  <c r="O22" i="26"/>
  <c r="O25" i="26"/>
  <c r="AZ23" i="21"/>
  <c r="BH23" i="21"/>
  <c r="AZ54" i="39"/>
  <c r="BH54" i="39"/>
  <c r="AZ51" i="34"/>
  <c r="BH51" i="34"/>
  <c r="R42" i="22"/>
  <c r="R45" i="22"/>
  <c r="R40" i="22"/>
  <c r="R43" i="22"/>
  <c r="R41" i="22"/>
  <c r="R44" i="22"/>
  <c r="BF52" i="39"/>
  <c r="AX52" i="39"/>
  <c r="BB54" i="40"/>
  <c r="BJ54" i="40"/>
  <c r="AZ43" i="16"/>
  <c r="BH43" i="16"/>
  <c r="BF33" i="21"/>
  <c r="AX33" i="21"/>
  <c r="BJ27" i="15"/>
  <c r="BB27" i="15"/>
  <c r="AX32" i="18"/>
  <c r="BF32" i="18"/>
  <c r="N33" i="23"/>
  <c r="N36" i="23"/>
  <c r="N34" i="23"/>
  <c r="N32" i="23"/>
  <c r="N35" i="23"/>
  <c r="N31" i="23"/>
  <c r="AY24" i="39"/>
  <c r="BG24" i="39"/>
  <c r="AZ41" i="19"/>
  <c r="BH41" i="19"/>
  <c r="BG40" i="36"/>
  <c r="AY40" i="36"/>
  <c r="BB51" i="23"/>
  <c r="BJ51" i="23"/>
  <c r="BH54" i="28"/>
  <c r="AZ54" i="28"/>
  <c r="BC22" i="31"/>
  <c r="BK22" i="31"/>
  <c r="AX51" i="22"/>
  <c r="BF51" i="22"/>
  <c r="AY23" i="24"/>
  <c r="BG23" i="24"/>
  <c r="BB54" i="12"/>
  <c r="BJ54" i="12"/>
  <c r="AZ41" i="29"/>
  <c r="BH41" i="29"/>
  <c r="BB33" i="41"/>
  <c r="BJ33" i="41"/>
  <c r="BF31" i="10"/>
  <c r="BL31" i="10" s="1"/>
  <c r="AM6" i="10" s="1"/>
  <c r="AX31" i="10"/>
  <c r="BD31" i="10" s="1"/>
  <c r="AH6" i="10" s="1"/>
  <c r="BA52" i="16"/>
  <c r="BI52" i="16"/>
  <c r="BA31" i="39"/>
  <c r="BI31" i="39"/>
  <c r="AY50" i="25"/>
  <c r="BG50" i="25"/>
  <c r="AY45" i="11"/>
  <c r="BG45" i="11"/>
  <c r="F22" i="25"/>
  <c r="F23" i="25"/>
  <c r="F24" i="25"/>
  <c r="F26" i="25"/>
  <c r="F27" i="25"/>
  <c r="F25" i="25"/>
  <c r="AX26" i="13"/>
  <c r="BF26" i="13"/>
  <c r="AY53" i="17"/>
  <c r="BG53" i="17"/>
  <c r="AX54" i="23"/>
  <c r="BF54" i="23"/>
  <c r="AZ32" i="13"/>
  <c r="BH32" i="13"/>
  <c r="AY40" i="27"/>
  <c r="BG40" i="27"/>
  <c r="BC33" i="13"/>
  <c r="BK33" i="13"/>
  <c r="BB40" i="16"/>
  <c r="BJ40" i="16"/>
  <c r="BF32" i="13"/>
  <c r="BL32" i="13" s="1"/>
  <c r="AM7" i="13" s="1"/>
  <c r="AX32" i="13"/>
  <c r="BA44" i="26"/>
  <c r="BI44" i="26"/>
  <c r="BA24" i="14"/>
  <c r="BI24" i="14"/>
  <c r="AX24" i="32"/>
  <c r="BF24" i="32"/>
  <c r="AX27" i="15"/>
  <c r="BF27" i="15"/>
  <c r="BC53" i="18"/>
  <c r="BK53" i="18"/>
  <c r="BG52" i="40"/>
  <c r="AY52" i="40"/>
  <c r="AY22" i="37"/>
  <c r="BD22" i="37" s="1"/>
  <c r="AG6" i="37" s="1"/>
  <c r="BG22" i="37"/>
  <c r="BL22" i="37" s="1"/>
  <c r="AL6" i="37" s="1"/>
  <c r="AX34" i="23"/>
  <c r="BF34" i="23"/>
  <c r="BK22" i="18"/>
  <c r="BC22" i="18"/>
  <c r="AY25" i="41"/>
  <c r="BG25" i="41"/>
  <c r="BB31" i="28"/>
  <c r="BJ31" i="28"/>
  <c r="BK41" i="41"/>
  <c r="BC41" i="41"/>
  <c r="BA26" i="12"/>
  <c r="BI26" i="12"/>
  <c r="BI42" i="25"/>
  <c r="BA42" i="25"/>
  <c r="AY24" i="34"/>
  <c r="BG24" i="34"/>
  <c r="AZ26" i="20"/>
  <c r="BH26" i="20"/>
  <c r="AZ31" i="38"/>
  <c r="BH31" i="38"/>
  <c r="BB32" i="34"/>
  <c r="BJ32" i="34"/>
  <c r="BA50" i="24"/>
  <c r="BI50" i="24"/>
  <c r="BA35" i="18"/>
  <c r="BI35" i="18"/>
  <c r="BG34" i="35"/>
  <c r="AY34" i="35"/>
  <c r="BC24" i="23"/>
  <c r="BK24" i="23"/>
  <c r="K43" i="20"/>
  <c r="K44" i="20"/>
  <c r="K45" i="20"/>
  <c r="K42" i="20"/>
  <c r="K40" i="20"/>
  <c r="K41" i="20"/>
  <c r="AZ44" i="38"/>
  <c r="BH44" i="38"/>
  <c r="BJ24" i="26"/>
  <c r="BB24" i="26"/>
  <c r="AY27" i="36"/>
  <c r="BG27" i="36"/>
  <c r="AX25" i="36"/>
  <c r="BD25" i="36" s="1"/>
  <c r="AG9" i="36" s="1"/>
  <c r="BF25" i="36"/>
  <c r="BL25" i="36" s="1"/>
  <c r="AL9" i="36" s="1"/>
  <c r="AY24" i="19"/>
  <c r="BG24" i="19"/>
  <c r="BG50" i="36"/>
  <c r="AY50" i="36"/>
  <c r="AZ26" i="13"/>
  <c r="BH26" i="13"/>
  <c r="BJ25" i="38"/>
  <c r="BB25" i="38"/>
  <c r="V35" i="27"/>
  <c r="V33" i="27"/>
  <c r="V36" i="27"/>
  <c r="V31" i="27"/>
  <c r="V34" i="27"/>
  <c r="V32" i="27"/>
  <c r="BC26" i="13"/>
  <c r="BK26" i="13"/>
  <c r="BB31" i="16"/>
  <c r="BJ31" i="16"/>
  <c r="AX43" i="16"/>
  <c r="BF43" i="16"/>
  <c r="BA25" i="16"/>
  <c r="BI25" i="16"/>
  <c r="BA25" i="17"/>
  <c r="BI25" i="17"/>
  <c r="AZ23" i="39"/>
  <c r="BH23" i="39"/>
  <c r="AZ36" i="34"/>
  <c r="BH36" i="34"/>
  <c r="BF26" i="23"/>
  <c r="AX26" i="23"/>
  <c r="AZ42" i="13"/>
  <c r="BH42" i="13"/>
  <c r="BB52" i="17"/>
  <c r="BJ52" i="17"/>
  <c r="AY41" i="19"/>
  <c r="BG41" i="19"/>
  <c r="AZ22" i="25"/>
  <c r="BH22" i="25"/>
  <c r="AY53" i="14"/>
  <c r="BG53" i="14"/>
  <c r="BJ50" i="22"/>
  <c r="BB50" i="22"/>
  <c r="AX24" i="16"/>
  <c r="BF24" i="16"/>
  <c r="AZ22" i="22"/>
  <c r="BH22" i="22"/>
  <c r="AX25" i="39"/>
  <c r="BF25" i="39"/>
  <c r="AZ51" i="21"/>
  <c r="BH51" i="21"/>
  <c r="BI50" i="26"/>
  <c r="BA50" i="26"/>
  <c r="BC40" i="40"/>
  <c r="BK40" i="40"/>
  <c r="AY35" i="28"/>
  <c r="BG35" i="28"/>
  <c r="AX54" i="33"/>
  <c r="BF54" i="33"/>
  <c r="AZ45" i="31"/>
  <c r="BH45" i="31"/>
  <c r="BJ22" i="17"/>
  <c r="BB22" i="17"/>
  <c r="BB43" i="15"/>
  <c r="BJ43" i="15"/>
  <c r="BA26" i="18"/>
  <c r="BI26" i="18"/>
  <c r="AX42" i="32"/>
  <c r="BD42" i="32" s="1"/>
  <c r="AI8" i="32" s="1"/>
  <c r="BF42" i="32"/>
  <c r="BL42" i="32" s="1"/>
  <c r="AN8" i="32" s="1"/>
  <c r="BA25" i="30"/>
  <c r="BI25" i="30"/>
  <c r="BB25" i="31"/>
  <c r="BJ25" i="31"/>
  <c r="BF25" i="22"/>
  <c r="AX25" i="22"/>
  <c r="AY41" i="28"/>
  <c r="BG41" i="28"/>
  <c r="AZ54" i="33"/>
  <c r="BH54" i="33"/>
  <c r="AZ36" i="16"/>
  <c r="BH36" i="16"/>
  <c r="AX43" i="41"/>
  <c r="BF43" i="41"/>
  <c r="BJ45" i="28"/>
  <c r="BB45" i="28"/>
  <c r="BI42" i="11"/>
  <c r="BA42" i="11"/>
  <c r="AY51" i="12"/>
  <c r="BG51" i="12"/>
  <c r="AZ33" i="19"/>
  <c r="BH33" i="19"/>
  <c r="AY35" i="36"/>
  <c r="BG35" i="36"/>
  <c r="AY26" i="18"/>
  <c r="BG26" i="18"/>
  <c r="AY31" i="15"/>
  <c r="BG31" i="15"/>
  <c r="BC31" i="35"/>
  <c r="BK31" i="35"/>
  <c r="BI44" i="20"/>
  <c r="BA44" i="20"/>
  <c r="BA45" i="12"/>
  <c r="BI45" i="12"/>
  <c r="BC51" i="26"/>
  <c r="BK51" i="26"/>
  <c r="BC26" i="26"/>
  <c r="BK26" i="26"/>
  <c r="AY42" i="33"/>
  <c r="BG42" i="33"/>
  <c r="AY23" i="42"/>
  <c r="BG23" i="42"/>
  <c r="BA49" i="30"/>
  <c r="BI49" i="30"/>
  <c r="AX42" i="38"/>
  <c r="BD42" i="38" s="1"/>
  <c r="AI8" i="38" s="1"/>
  <c r="BF42" i="38"/>
  <c r="BL42" i="38" s="1"/>
  <c r="AN8" i="38" s="1"/>
  <c r="BA44" i="16"/>
  <c r="BI44" i="16"/>
  <c r="BB40" i="34"/>
  <c r="BJ40" i="34"/>
  <c r="AY49" i="33"/>
  <c r="BG49" i="33"/>
  <c r="BK52" i="40"/>
  <c r="BC52" i="40"/>
  <c r="AY24" i="21"/>
  <c r="BG24" i="21"/>
  <c r="W23" i="27"/>
  <c r="W26" i="27"/>
  <c r="W24" i="27"/>
  <c r="W27" i="27"/>
  <c r="W22" i="27"/>
  <c r="W25" i="27"/>
  <c r="AZ53" i="40"/>
  <c r="BH53" i="40"/>
  <c r="BI32" i="40"/>
  <c r="BA32" i="40"/>
  <c r="AZ27" i="41"/>
  <c r="BH27" i="41"/>
  <c r="BG41" i="18"/>
  <c r="AY41" i="18"/>
  <c r="BA31" i="26"/>
  <c r="BI31" i="26"/>
  <c r="BB40" i="17"/>
  <c r="BJ40" i="17"/>
  <c r="BF43" i="36"/>
  <c r="BL43" i="36" s="1"/>
  <c r="AN9" i="36" s="1"/>
  <c r="AX43" i="36"/>
  <c r="BD43" i="36" s="1"/>
  <c r="AI9" i="36" s="1"/>
  <c r="BB42" i="29"/>
  <c r="BJ42" i="29"/>
  <c r="AY33" i="21"/>
  <c r="BG33" i="21"/>
  <c r="BH24" i="29"/>
  <c r="AZ24" i="29"/>
  <c r="BB24" i="41"/>
  <c r="BJ24" i="41"/>
  <c r="BB41" i="22"/>
  <c r="BJ41" i="22"/>
  <c r="AY24" i="22"/>
  <c r="BG24" i="22"/>
  <c r="AZ52" i="41"/>
  <c r="BH52" i="41"/>
  <c r="AY52" i="22"/>
  <c r="BG52" i="22"/>
  <c r="BA43" i="14"/>
  <c r="BI43" i="14"/>
  <c r="BA52" i="25"/>
  <c r="BI52" i="25"/>
  <c r="J33" i="16"/>
  <c r="J36" i="16"/>
  <c r="J31" i="16"/>
  <c r="J34" i="16"/>
  <c r="J32" i="16"/>
  <c r="J35" i="16"/>
  <c r="AZ35" i="29"/>
  <c r="BH35" i="29"/>
  <c r="BA31" i="42"/>
  <c r="BI31" i="42"/>
  <c r="AX33" i="24"/>
  <c r="BF33" i="24"/>
  <c r="BF51" i="29"/>
  <c r="BL51" i="29" s="1"/>
  <c r="AO8" i="29" s="1"/>
  <c r="AX51" i="29"/>
  <c r="BD51" i="29" s="1"/>
  <c r="AJ8" i="29" s="1"/>
  <c r="BL53" i="37"/>
  <c r="AO10" i="37" s="1"/>
  <c r="AX33" i="39"/>
  <c r="BF33" i="39"/>
  <c r="BB45" i="40"/>
  <c r="BJ45" i="40"/>
  <c r="AX33" i="28"/>
  <c r="BD33" i="28" s="1"/>
  <c r="AH8" i="28" s="1"/>
  <c r="BF33" i="28"/>
  <c r="BL33" i="28" s="1"/>
  <c r="AM8" i="28" s="1"/>
  <c r="AX44" i="15"/>
  <c r="BF44" i="15"/>
  <c r="BB40" i="33"/>
  <c r="BJ40" i="33"/>
  <c r="BA33" i="29"/>
  <c r="BI33" i="29"/>
  <c r="BB31" i="31"/>
  <c r="BJ31" i="31"/>
  <c r="AY36" i="39"/>
  <c r="BG36" i="39"/>
  <c r="BI27" i="32"/>
  <c r="BA27" i="32"/>
  <c r="AY34" i="25"/>
  <c r="BG34" i="25"/>
  <c r="BB32" i="12"/>
  <c r="BJ32" i="12"/>
  <c r="AZ42" i="28"/>
  <c r="BH42" i="28"/>
  <c r="BA50" i="11"/>
  <c r="BI50" i="11"/>
  <c r="BB53" i="14"/>
  <c r="BJ53" i="14"/>
  <c r="AY34" i="33"/>
  <c r="BG34" i="33"/>
  <c r="AZ35" i="20"/>
  <c r="BH35" i="20"/>
  <c r="BA25" i="39"/>
  <c r="BI25" i="39"/>
  <c r="AY54" i="19"/>
  <c r="BG54" i="19"/>
  <c r="AZ51" i="19"/>
  <c r="BH51" i="19"/>
  <c r="AY43" i="42"/>
  <c r="BG43" i="42"/>
  <c r="BB54" i="13"/>
  <c r="BJ54" i="13"/>
  <c r="BC54" i="23"/>
  <c r="BK54" i="23"/>
  <c r="AX22" i="26"/>
  <c r="BF22" i="26"/>
  <c r="AZ22" i="11"/>
  <c r="BH22" i="11"/>
  <c r="BA52" i="17"/>
  <c r="BI52" i="17"/>
  <c r="AX35" i="36"/>
  <c r="BD35" i="36" s="1"/>
  <c r="AH10" i="36" s="1"/>
  <c r="BF35" i="36"/>
  <c r="BC44" i="26"/>
  <c r="BK44" i="26"/>
  <c r="BI49" i="27"/>
  <c r="BA49" i="27"/>
  <c r="AZ24" i="38"/>
  <c r="BH24" i="38"/>
  <c r="BI42" i="19"/>
  <c r="BA42" i="19"/>
  <c r="K54" i="23"/>
  <c r="K52" i="23"/>
  <c r="K50" i="23"/>
  <c r="K53" i="23"/>
  <c r="K51" i="23"/>
  <c r="K49" i="23"/>
  <c r="BA49" i="40"/>
  <c r="BI49" i="40"/>
  <c r="BG35" i="40"/>
  <c r="AY35" i="40"/>
  <c r="BA50" i="39"/>
  <c r="BI50" i="39"/>
  <c r="BF36" i="41"/>
  <c r="BL36" i="41" s="1"/>
  <c r="AM11" i="41" s="1"/>
  <c r="AX36" i="41"/>
  <c r="BD36" i="41" s="1"/>
  <c r="AH11" i="41" s="1"/>
  <c r="BK50" i="41"/>
  <c r="BC50" i="41"/>
  <c r="AZ41" i="11"/>
  <c r="BH41" i="11"/>
  <c r="BF31" i="32"/>
  <c r="AX31" i="32"/>
  <c r="BJ24" i="40"/>
  <c r="BB24" i="40"/>
  <c r="BA22" i="29"/>
  <c r="BI22" i="29"/>
  <c r="BH54" i="11"/>
  <c r="AZ54" i="11"/>
  <c r="BI53" i="23"/>
  <c r="BA53" i="23"/>
  <c r="BB27" i="23"/>
  <c r="BJ27" i="23"/>
  <c r="BA33" i="24"/>
  <c r="BI33" i="24"/>
  <c r="AY53" i="34"/>
  <c r="BG53" i="34"/>
  <c r="BB51" i="38"/>
  <c r="BJ51" i="38"/>
  <c r="BB53" i="34"/>
  <c r="BJ53" i="34"/>
  <c r="BH54" i="31"/>
  <c r="AZ54" i="31"/>
  <c r="AZ24" i="19"/>
  <c r="BH24" i="19"/>
  <c r="AX23" i="18"/>
  <c r="BF23" i="18"/>
  <c r="BB42" i="24"/>
  <c r="BJ42" i="24"/>
  <c r="BH54" i="15"/>
  <c r="AZ54" i="15"/>
  <c r="BH26" i="33"/>
  <c r="AZ26" i="33"/>
  <c r="AX40" i="27"/>
  <c r="BF40" i="27"/>
  <c r="BF51" i="41"/>
  <c r="AX51" i="41"/>
  <c r="BB24" i="32"/>
  <c r="BJ24" i="32"/>
  <c r="AY25" i="17"/>
  <c r="BG25" i="17"/>
  <c r="AZ33" i="27"/>
  <c r="BH33" i="27"/>
  <c r="BA51" i="18"/>
  <c r="BI51" i="18"/>
  <c r="AY50" i="24"/>
  <c r="BG50" i="24"/>
  <c r="AX43" i="19"/>
  <c r="BF43" i="19"/>
  <c r="BG22" i="11"/>
  <c r="AY22" i="11"/>
  <c r="BH27" i="40"/>
  <c r="AZ27" i="40"/>
  <c r="AX22" i="10"/>
  <c r="BD22" i="10" s="1"/>
  <c r="AG6" i="10" s="1"/>
  <c r="BF22" i="10"/>
  <c r="BL22" i="10" s="1"/>
  <c r="AL6" i="10" s="1"/>
  <c r="BB33" i="32"/>
  <c r="BJ33" i="32"/>
  <c r="BD32" i="37"/>
  <c r="AH7" i="37" s="1"/>
  <c r="AZ45" i="14"/>
  <c r="BH45" i="14"/>
  <c r="BI26" i="11"/>
  <c r="BA26" i="11"/>
  <c r="BC44" i="35"/>
  <c r="BK44" i="35"/>
  <c r="BI36" i="32"/>
  <c r="BA36" i="32"/>
  <c r="BF50" i="38"/>
  <c r="BL50" i="38" s="1"/>
  <c r="AO7" i="38" s="1"/>
  <c r="AX50" i="38"/>
  <c r="BD50" i="38" s="1"/>
  <c r="AJ7" i="38" s="1"/>
  <c r="BB34" i="33"/>
  <c r="BJ34" i="33"/>
  <c r="BI26" i="40"/>
  <c r="BA26" i="40"/>
  <c r="BF41" i="20"/>
  <c r="AX41" i="20"/>
  <c r="J41" i="30"/>
  <c r="J44" i="30"/>
  <c r="J42" i="30"/>
  <c r="J45" i="30"/>
  <c r="J40" i="30"/>
  <c r="J43" i="30"/>
  <c r="D137" i="54"/>
  <c r="B137" i="54"/>
  <c r="A167" i="8" s="1"/>
  <c r="C167" i="8" s="1"/>
  <c r="E137" i="54"/>
  <c r="E155" i="54"/>
  <c r="D155" i="54"/>
  <c r="B155" i="54"/>
  <c r="A174" i="8" s="1"/>
  <c r="C174" i="8" s="1"/>
  <c r="B96" i="54"/>
  <c r="A70" i="8" s="1"/>
  <c r="C70" i="8" s="1"/>
  <c r="E96" i="54"/>
  <c r="D96" i="54"/>
  <c r="E159" i="54"/>
  <c r="D159" i="54"/>
  <c r="B159" i="54"/>
  <c r="A160" i="8" s="1"/>
  <c r="C160" i="8" s="1"/>
  <c r="B117" i="54"/>
  <c r="A119" i="8" s="1"/>
  <c r="C119" i="8" s="1"/>
  <c r="E117" i="54"/>
  <c r="D117" i="54"/>
  <c r="E164" i="54"/>
  <c r="D164" i="54"/>
  <c r="B164" i="54"/>
  <c r="A183" i="8" s="1"/>
  <c r="C183" i="8" s="1"/>
  <c r="E51" i="54"/>
  <c r="D51" i="54"/>
  <c r="B51" i="54"/>
  <c r="A123" i="8" s="1"/>
  <c r="C123" i="8" s="1"/>
  <c r="B90" i="54"/>
  <c r="A143" i="8" s="1"/>
  <c r="C143" i="8" s="1"/>
  <c r="E90" i="54"/>
  <c r="D90" i="54"/>
  <c r="E156" i="54"/>
  <c r="D156" i="54"/>
  <c r="B156" i="54"/>
  <c r="A170" i="8" s="1"/>
  <c r="C170" i="8" s="1"/>
  <c r="B72" i="54"/>
  <c r="A93" i="8" s="1"/>
  <c r="C93" i="8" s="1"/>
  <c r="E72" i="54"/>
  <c r="D72" i="54"/>
  <c r="E89" i="54"/>
  <c r="D89" i="54"/>
  <c r="B89" i="54"/>
  <c r="A141" i="8" s="1"/>
  <c r="C141" i="8" s="1"/>
  <c r="B107" i="54"/>
  <c r="A144" i="8" s="1"/>
  <c r="C144" i="8" s="1"/>
  <c r="E107" i="54"/>
  <c r="D107" i="54"/>
  <c r="B74" i="54"/>
  <c r="A100" i="8" s="1"/>
  <c r="C100" i="8" s="1"/>
  <c r="E74" i="54"/>
  <c r="D74" i="54"/>
  <c r="E69" i="54"/>
  <c r="D69" i="54"/>
  <c r="B69" i="54"/>
  <c r="A81" i="8" s="1"/>
  <c r="C81" i="8" s="1"/>
  <c r="E145" i="54"/>
  <c r="D145" i="54"/>
  <c r="B145" i="54"/>
  <c r="A152" i="8" s="1"/>
  <c r="C152" i="8" s="1"/>
  <c r="E163" i="54"/>
  <c r="D163" i="54"/>
  <c r="B163" i="54"/>
  <c r="A181" i="8" s="1"/>
  <c r="C181" i="8" s="1"/>
  <c r="E48" i="54"/>
  <c r="D48" i="54"/>
  <c r="B48" i="54"/>
  <c r="A132" i="8" s="1"/>
  <c r="C132" i="8" s="1"/>
  <c r="B46" i="8"/>
  <c r="B72" i="8"/>
  <c r="B154" i="8"/>
  <c r="B14" i="8"/>
  <c r="B73" i="8"/>
  <c r="B183" i="8"/>
  <c r="B34" i="8"/>
  <c r="B68" i="8"/>
  <c r="B160" i="8"/>
  <c r="B10" i="8"/>
  <c r="B124" i="8"/>
  <c r="B149" i="8"/>
  <c r="B6" i="8"/>
  <c r="B71" i="8"/>
  <c r="B185" i="8"/>
  <c r="B15" i="8"/>
  <c r="B139" i="8"/>
  <c r="B165" i="8"/>
  <c r="B7" i="8"/>
  <c r="B75" i="8"/>
  <c r="B181" i="8"/>
  <c r="B20" i="8"/>
  <c r="B69" i="8"/>
  <c r="B187" i="8"/>
  <c r="BB44" i="41"/>
  <c r="BJ44" i="41"/>
  <c r="BG54" i="41"/>
  <c r="AY54" i="41"/>
  <c r="AZ31" i="32"/>
  <c r="BH31" i="32"/>
  <c r="AZ34" i="11"/>
  <c r="BH34" i="11"/>
  <c r="BI23" i="23"/>
  <c r="BA23" i="23"/>
  <c r="BA44" i="35"/>
  <c r="BI44" i="35"/>
  <c r="AZ49" i="36"/>
  <c r="BH49" i="36"/>
  <c r="AX45" i="29"/>
  <c r="BF45" i="29"/>
  <c r="AX53" i="16"/>
  <c r="BF53" i="16"/>
  <c r="BI35" i="16"/>
  <c r="BA35" i="16"/>
  <c r="BA52" i="19"/>
  <c r="BI52" i="19"/>
  <c r="BI44" i="23"/>
  <c r="BA44" i="23"/>
  <c r="BK32" i="18"/>
  <c r="BC32" i="18"/>
  <c r="BJ34" i="15"/>
  <c r="BB34" i="15"/>
  <c r="BB33" i="38"/>
  <c r="BJ33" i="38"/>
  <c r="BB41" i="38"/>
  <c r="BJ41" i="38"/>
  <c r="BB24" i="29"/>
  <c r="BJ24" i="29"/>
  <c r="AY44" i="21"/>
  <c r="BG44" i="21"/>
  <c r="AX45" i="24"/>
  <c r="BF45" i="24"/>
  <c r="BA24" i="20"/>
  <c r="BI24" i="20"/>
  <c r="AY54" i="35"/>
  <c r="BG54" i="35"/>
  <c r="BK26" i="27"/>
  <c r="BC26" i="27"/>
  <c r="AZ33" i="21"/>
  <c r="BH33" i="21"/>
  <c r="AY36" i="34"/>
  <c r="BG36" i="34"/>
  <c r="BA41" i="30"/>
  <c r="BI41" i="30"/>
  <c r="AY26" i="35"/>
  <c r="BG26" i="35"/>
  <c r="AX26" i="24"/>
  <c r="BF26" i="24"/>
  <c r="BJ53" i="33"/>
  <c r="BB53" i="33"/>
  <c r="BL45" i="37"/>
  <c r="AN11" i="37" s="1"/>
  <c r="N26" i="23"/>
  <c r="N27" i="23"/>
  <c r="N22" i="23"/>
  <c r="N25" i="23"/>
  <c r="N24" i="23"/>
  <c r="N23" i="23"/>
  <c r="AZ24" i="15"/>
  <c r="BH24" i="15"/>
  <c r="AX50" i="12"/>
  <c r="BD50" i="12" s="1"/>
  <c r="AJ7" i="12" s="1"/>
  <c r="BF50" i="12"/>
  <c r="BL50" i="12" s="1"/>
  <c r="AO7" i="12" s="1"/>
  <c r="BF25" i="19"/>
  <c r="AX25" i="19"/>
  <c r="BF27" i="27"/>
  <c r="AX27" i="27"/>
  <c r="AY31" i="11"/>
  <c r="BG31" i="11"/>
  <c r="AY49" i="27"/>
  <c r="BG49" i="27"/>
  <c r="AZ31" i="41"/>
  <c r="BH31" i="41"/>
  <c r="AX54" i="18"/>
  <c r="BF54" i="18"/>
  <c r="AY53" i="15"/>
  <c r="BG53" i="15"/>
  <c r="BA32" i="11"/>
  <c r="BI32" i="11"/>
  <c r="BA34" i="36"/>
  <c r="BI34" i="36"/>
  <c r="AZ44" i="27"/>
  <c r="BH44" i="27"/>
  <c r="BB31" i="29"/>
  <c r="BJ31" i="29"/>
  <c r="AX54" i="20"/>
  <c r="BF54" i="20"/>
  <c r="AX32" i="26"/>
  <c r="BF32" i="26"/>
  <c r="BG42" i="37"/>
  <c r="BL42" i="37" s="1"/>
  <c r="AN8" i="37" s="1"/>
  <c r="AY42" i="37"/>
  <c r="BD42" i="37" s="1"/>
  <c r="AI8" i="37" s="1"/>
  <c r="BJ41" i="39"/>
  <c r="BB41" i="39"/>
  <c r="G33" i="31"/>
  <c r="G36" i="31"/>
  <c r="G31" i="31"/>
  <c r="G34" i="31"/>
  <c r="G35" i="31"/>
  <c r="G32" i="31"/>
  <c r="BB50" i="39"/>
  <c r="BJ50" i="39"/>
  <c r="BC26" i="40"/>
  <c r="BK26" i="40"/>
  <c r="O24" i="35"/>
  <c r="O27" i="35"/>
  <c r="O22" i="35"/>
  <c r="O25" i="35"/>
  <c r="O23" i="35"/>
  <c r="O26" i="35"/>
  <c r="AZ35" i="31"/>
  <c r="BH35" i="31"/>
  <c r="AX53" i="36"/>
  <c r="BD53" i="36" s="1"/>
  <c r="AJ10" i="36" s="1"/>
  <c r="BF53" i="36"/>
  <c r="BL53" i="36" s="1"/>
  <c r="AO10" i="36" s="1"/>
  <c r="AZ41" i="21"/>
  <c r="BH41" i="21"/>
  <c r="N50" i="35"/>
  <c r="N53" i="35"/>
  <c r="N51" i="35"/>
  <c r="N54" i="35"/>
  <c r="N49" i="35"/>
  <c r="N52" i="35"/>
  <c r="AZ27" i="14"/>
  <c r="BH27" i="14"/>
  <c r="BK22" i="17"/>
  <c r="BH31" i="25"/>
  <c r="BK22" i="11"/>
  <c r="AZ26" i="36"/>
  <c r="BH26" i="36"/>
  <c r="AX50" i="34"/>
  <c r="BF50" i="34"/>
  <c r="AZ53" i="42"/>
  <c r="BH53" i="42"/>
  <c r="BA43" i="24"/>
  <c r="BI43" i="24"/>
  <c r="BB43" i="26"/>
  <c r="BJ43" i="26"/>
  <c r="AX43" i="39"/>
  <c r="BD43" i="39" s="1"/>
  <c r="AI9" i="39" s="1"/>
  <c r="BF43" i="39"/>
  <c r="BL43" i="39" s="1"/>
  <c r="AN9" i="39" s="1"/>
  <c r="AZ33" i="15"/>
  <c r="BH33" i="15"/>
  <c r="AZ31" i="40"/>
  <c r="BH31" i="40"/>
  <c r="BB27" i="13"/>
  <c r="BJ27" i="13"/>
  <c r="BA41" i="39"/>
  <c r="BI41" i="39"/>
  <c r="BB31" i="13"/>
  <c r="BJ31" i="13"/>
  <c r="AZ51" i="22"/>
  <c r="BH51" i="22"/>
  <c r="AY51" i="39"/>
  <c r="BG51" i="39"/>
  <c r="AX25" i="40"/>
  <c r="BD25" i="40" s="1"/>
  <c r="AG9" i="40" s="1"/>
  <c r="BF25" i="40"/>
  <c r="BL25" i="40" s="1"/>
  <c r="AL9" i="40" s="1"/>
  <c r="AX40" i="13"/>
  <c r="BD40" i="13" s="1"/>
  <c r="AI6" i="13" s="1"/>
  <c r="BF40" i="13"/>
  <c r="BL40" i="13" s="1"/>
  <c r="AN6" i="13" s="1"/>
  <c r="AZ45" i="17"/>
  <c r="BH45" i="17"/>
  <c r="BH52" i="42"/>
  <c r="AZ52" i="42"/>
  <c r="BF24" i="41"/>
  <c r="AX24" i="41"/>
  <c r="AY22" i="40"/>
  <c r="BG22" i="40"/>
  <c r="BA36" i="19"/>
  <c r="BI36" i="19"/>
  <c r="AZ44" i="15"/>
  <c r="BH44" i="15"/>
  <c r="BH44" i="42"/>
  <c r="AZ44" i="42"/>
  <c r="BA34" i="30"/>
  <c r="BI34" i="30"/>
  <c r="R23" i="22"/>
  <c r="R26" i="22"/>
  <c r="R24" i="22"/>
  <c r="R27" i="22"/>
  <c r="R22" i="22"/>
  <c r="R25" i="22"/>
  <c r="BH45" i="22"/>
  <c r="AZ45" i="22"/>
  <c r="BF32" i="22"/>
  <c r="AX32" i="22"/>
  <c r="BB24" i="34"/>
  <c r="BJ24" i="34"/>
  <c r="BI45" i="36"/>
  <c r="BA45" i="36"/>
  <c r="BI41" i="18"/>
  <c r="BA41" i="18"/>
  <c r="BA45" i="29"/>
  <c r="BI45" i="29"/>
  <c r="AZ49" i="16"/>
  <c r="BH49" i="16"/>
  <c r="F42" i="35"/>
  <c r="F45" i="35"/>
  <c r="F40" i="35"/>
  <c r="F43" i="35"/>
  <c r="F44" i="35"/>
  <c r="F41" i="35"/>
  <c r="BL33" i="37"/>
  <c r="AM8" i="37" s="1"/>
  <c r="BB25" i="13"/>
  <c r="BJ25" i="13"/>
  <c r="AX31" i="29"/>
  <c r="BD31" i="29" s="1"/>
  <c r="AH6" i="29" s="1"/>
  <c r="BF31" i="29"/>
  <c r="BL31" i="29" s="1"/>
  <c r="AM6" i="29" s="1"/>
  <c r="BA45" i="39"/>
  <c r="BI45" i="39"/>
  <c r="AX36" i="33"/>
  <c r="BF36" i="33"/>
  <c r="AZ32" i="42"/>
  <c r="BH32" i="42"/>
  <c r="BC41" i="23"/>
  <c r="BK41" i="23"/>
  <c r="BB49" i="28"/>
  <c r="BJ49" i="28"/>
  <c r="AZ49" i="22"/>
  <c r="BH49" i="22"/>
  <c r="BB25" i="14"/>
  <c r="BJ25" i="14"/>
  <c r="BB54" i="31"/>
  <c r="BJ54" i="31"/>
  <c r="AX50" i="21"/>
  <c r="BD50" i="21" s="1"/>
  <c r="AJ7" i="21" s="1"/>
  <c r="BF50" i="21"/>
  <c r="BL50" i="21" s="1"/>
  <c r="AO7" i="21" s="1"/>
  <c r="BL52" i="37"/>
  <c r="AO9" i="37" s="1"/>
  <c r="BC50" i="13"/>
  <c r="BK50" i="13"/>
  <c r="AX25" i="34"/>
  <c r="BD25" i="34" s="1"/>
  <c r="AG9" i="34" s="1"/>
  <c r="BF25" i="34"/>
  <c r="BL25" i="34" s="1"/>
  <c r="AL9" i="34" s="1"/>
  <c r="BF26" i="21"/>
  <c r="BL26" i="21" s="1"/>
  <c r="AL10" i="21" s="1"/>
  <c r="AX26" i="21"/>
  <c r="BD26" i="21" s="1"/>
  <c r="AG10" i="21" s="1"/>
  <c r="BA22" i="26"/>
  <c r="BI22" i="26"/>
  <c r="AZ24" i="36"/>
  <c r="BH24" i="36"/>
  <c r="V26" i="19"/>
  <c r="V24" i="19"/>
  <c r="V27" i="19"/>
  <c r="V22" i="19"/>
  <c r="V25" i="19"/>
  <c r="V23" i="19"/>
  <c r="AZ52" i="32"/>
  <c r="BH52" i="32"/>
  <c r="AX53" i="34"/>
  <c r="BF53" i="34"/>
  <c r="AZ43" i="34"/>
  <c r="BH43" i="34"/>
  <c r="AZ49" i="42"/>
  <c r="BH49" i="42"/>
  <c r="BI41" i="17"/>
  <c r="BA41" i="17"/>
  <c r="AY26" i="13"/>
  <c r="BG26" i="13"/>
  <c r="AY51" i="21"/>
  <c r="BG51" i="21"/>
  <c r="BA34" i="37"/>
  <c r="BI34" i="37"/>
  <c r="AY24" i="40"/>
  <c r="BG24" i="40"/>
  <c r="BF54" i="13"/>
  <c r="BL54" i="13" s="1"/>
  <c r="AO11" i="13" s="1"/>
  <c r="AX54" i="13"/>
  <c r="BD54" i="13" s="1"/>
  <c r="AJ11" i="13" s="1"/>
  <c r="BI33" i="19"/>
  <c r="BA33" i="19"/>
  <c r="AZ41" i="15"/>
  <c r="BH41" i="15"/>
  <c r="AZ43" i="42"/>
  <c r="BH43" i="42"/>
  <c r="BA41" i="24"/>
  <c r="BI41" i="24"/>
  <c r="BA31" i="30"/>
  <c r="BI31" i="30"/>
  <c r="S23" i="22"/>
  <c r="S26" i="22"/>
  <c r="S24" i="22"/>
  <c r="S27" i="22"/>
  <c r="S22" i="22"/>
  <c r="S25" i="22"/>
  <c r="BG34" i="14"/>
  <c r="AY34" i="14"/>
  <c r="AY44" i="40"/>
  <c r="BG44" i="40"/>
  <c r="AZ42" i="22"/>
  <c r="BH42" i="22"/>
  <c r="AZ25" i="17"/>
  <c r="BH25" i="17"/>
  <c r="AX34" i="22"/>
  <c r="BF34" i="22"/>
  <c r="BB41" i="26"/>
  <c r="BJ41" i="26"/>
  <c r="BB26" i="34"/>
  <c r="BJ26" i="34"/>
  <c r="BA31" i="20"/>
  <c r="BI31" i="20"/>
  <c r="AZ26" i="27"/>
  <c r="BH26" i="27"/>
  <c r="BB36" i="14"/>
  <c r="BJ36" i="14"/>
  <c r="BI43" i="18"/>
  <c r="BA43" i="18"/>
  <c r="AX40" i="39"/>
  <c r="BD40" i="39" s="1"/>
  <c r="AI6" i="39" s="1"/>
  <c r="BF40" i="39"/>
  <c r="BL40" i="39" s="1"/>
  <c r="AN6" i="39" s="1"/>
  <c r="BB32" i="40"/>
  <c r="BJ32" i="40"/>
  <c r="BA42" i="29"/>
  <c r="BI42" i="29"/>
  <c r="AZ35" i="17"/>
  <c r="BH35" i="17"/>
  <c r="BH54" i="16"/>
  <c r="AZ54" i="16"/>
  <c r="AX41" i="21"/>
  <c r="BF41" i="21"/>
  <c r="BA27" i="24"/>
  <c r="BI27" i="24"/>
  <c r="BB50" i="41"/>
  <c r="BJ50" i="41"/>
  <c r="BA42" i="40"/>
  <c r="BI42" i="40"/>
  <c r="BB53" i="16"/>
  <c r="BJ53" i="16"/>
  <c r="AX34" i="20"/>
  <c r="BF34" i="20"/>
  <c r="BD33" i="37"/>
  <c r="AH8" i="37" s="1"/>
  <c r="AY44" i="15"/>
  <c r="BG44" i="15"/>
  <c r="BH36" i="15"/>
  <c r="AZ36" i="15"/>
  <c r="BH33" i="40"/>
  <c r="AZ33" i="40"/>
  <c r="BC51" i="35"/>
  <c r="BK51" i="35"/>
  <c r="BB22" i="13"/>
  <c r="BJ22" i="13"/>
  <c r="AZ44" i="36"/>
  <c r="BH44" i="36"/>
  <c r="BB31" i="11"/>
  <c r="BJ31" i="11"/>
  <c r="AX36" i="29"/>
  <c r="BF36" i="29"/>
  <c r="AX49" i="10"/>
  <c r="BD49" i="10" s="1"/>
  <c r="AJ6" i="10" s="1"/>
  <c r="BF49" i="10"/>
  <c r="BL49" i="10" s="1"/>
  <c r="AO6" i="10" s="1"/>
  <c r="BA44" i="39"/>
  <c r="BI44" i="39"/>
  <c r="BC25" i="35"/>
  <c r="BK25" i="35"/>
  <c r="AZ26" i="34"/>
  <c r="BH26" i="34"/>
  <c r="BH34" i="42"/>
  <c r="AZ34" i="42"/>
  <c r="AX44" i="12"/>
  <c r="BD44" i="12" s="1"/>
  <c r="AI10" i="12" s="1"/>
  <c r="BF44" i="12"/>
  <c r="BL44" i="12" s="1"/>
  <c r="AN10" i="12" s="1"/>
  <c r="AX50" i="15"/>
  <c r="BF50" i="15"/>
  <c r="BB34" i="13"/>
  <c r="BJ34" i="13"/>
  <c r="BC43" i="23"/>
  <c r="BK43" i="23"/>
  <c r="BG31" i="41"/>
  <c r="AY31" i="41"/>
  <c r="AX43" i="34"/>
  <c r="BD43" i="34" s="1"/>
  <c r="AI9" i="34" s="1"/>
  <c r="BF43" i="34"/>
  <c r="AZ54" i="22"/>
  <c r="BH54" i="22"/>
  <c r="AY36" i="37"/>
  <c r="BD36" i="37" s="1"/>
  <c r="AH11" i="37" s="1"/>
  <c r="BG36" i="37"/>
  <c r="BI42" i="27"/>
  <c r="BA42" i="27"/>
  <c r="AY53" i="13"/>
  <c r="BG53" i="13"/>
  <c r="BB53" i="31"/>
  <c r="BJ53" i="31"/>
  <c r="AX52" i="21"/>
  <c r="BD52" i="21" s="1"/>
  <c r="AJ9" i="21" s="1"/>
  <c r="BF52" i="21"/>
  <c r="BL52" i="21" s="1"/>
  <c r="AO9" i="21" s="1"/>
  <c r="BD52" i="37"/>
  <c r="AJ9" i="37" s="1"/>
  <c r="BC52" i="13"/>
  <c r="BK52" i="13"/>
  <c r="BB27" i="22"/>
  <c r="BJ27" i="22"/>
  <c r="AX22" i="34"/>
  <c r="BD22" i="34" s="1"/>
  <c r="AG6" i="34" s="1"/>
  <c r="BF22" i="34"/>
  <c r="BL22" i="34" s="1"/>
  <c r="AL6" i="34" s="1"/>
  <c r="AZ32" i="22"/>
  <c r="BH32" i="22"/>
  <c r="AY42" i="12"/>
  <c r="BG42" i="12"/>
  <c r="AX24" i="21"/>
  <c r="BD24" i="21" s="1"/>
  <c r="AG8" i="21" s="1"/>
  <c r="BF24" i="21"/>
  <c r="BL24" i="21" s="1"/>
  <c r="AL8" i="21" s="1"/>
  <c r="BB36" i="23"/>
  <c r="BJ36" i="23"/>
  <c r="AX49" i="32"/>
  <c r="BD49" i="32" s="1"/>
  <c r="AJ6" i="32" s="1"/>
  <c r="BF49" i="32"/>
  <c r="BL49" i="32" s="1"/>
  <c r="AO6" i="32" s="1"/>
  <c r="BB32" i="30"/>
  <c r="BJ32" i="30"/>
  <c r="AY50" i="11"/>
  <c r="BG50" i="11"/>
  <c r="BC49" i="27"/>
  <c r="BK49" i="27"/>
  <c r="BA54" i="37"/>
  <c r="BI54" i="37"/>
  <c r="BJ45" i="31"/>
  <c r="BB45" i="31"/>
  <c r="AX45" i="22"/>
  <c r="BF45" i="22"/>
  <c r="AZ36" i="33"/>
  <c r="BH36" i="33"/>
  <c r="AY42" i="24"/>
  <c r="BG42" i="24"/>
  <c r="BG23" i="25"/>
  <c r="AY23" i="25"/>
  <c r="J50" i="20"/>
  <c r="J53" i="20"/>
  <c r="J51" i="20"/>
  <c r="J49" i="20"/>
  <c r="J54" i="20"/>
  <c r="J52" i="20"/>
  <c r="BH45" i="41"/>
  <c r="AZ45" i="41"/>
  <c r="BB27" i="39"/>
  <c r="BJ27" i="39"/>
  <c r="AZ45" i="33"/>
  <c r="BH45" i="33"/>
  <c r="BA54" i="20"/>
  <c r="BI54" i="20"/>
  <c r="AZ53" i="13"/>
  <c r="BH53" i="13"/>
  <c r="AX25" i="28"/>
  <c r="BD25" i="28" s="1"/>
  <c r="AG9" i="28" s="1"/>
  <c r="BF25" i="28"/>
  <c r="BL25" i="28" s="1"/>
  <c r="AL9" i="28" s="1"/>
  <c r="AZ45" i="20"/>
  <c r="BH45" i="20"/>
  <c r="BB27" i="16"/>
  <c r="BJ27" i="16"/>
  <c r="AX23" i="29"/>
  <c r="BD23" i="29" s="1"/>
  <c r="AG7" i="29" s="1"/>
  <c r="BF23" i="29"/>
  <c r="BL23" i="29" s="1"/>
  <c r="AL7" i="29" s="1"/>
  <c r="AZ26" i="32"/>
  <c r="BH26" i="32"/>
  <c r="BB32" i="39"/>
  <c r="BJ32" i="39"/>
  <c r="BA27" i="26"/>
  <c r="BI27" i="26"/>
  <c r="AY54" i="39"/>
  <c r="BG54" i="39"/>
  <c r="AX41" i="23"/>
  <c r="BF41" i="23"/>
  <c r="BF33" i="12"/>
  <c r="AX33" i="12"/>
  <c r="AY31" i="24"/>
  <c r="BG31" i="24"/>
  <c r="AY22" i="33"/>
  <c r="BG22" i="33"/>
  <c r="BJ22" i="12"/>
  <c r="BB22" i="12"/>
  <c r="AZ24" i="42"/>
  <c r="BH24" i="42"/>
  <c r="W52" i="19"/>
  <c r="W50" i="19"/>
  <c r="W53" i="19"/>
  <c r="W51" i="19"/>
  <c r="W54" i="19"/>
  <c r="W49" i="19"/>
  <c r="BA23" i="37"/>
  <c r="BD23" i="37" s="1"/>
  <c r="AG7" i="37" s="1"/>
  <c r="AS7" i="37" s="1"/>
  <c r="BI23" i="37"/>
  <c r="BL23" i="37" s="1"/>
  <c r="AL7" i="37" s="1"/>
  <c r="BA22" i="19"/>
  <c r="BI22" i="19"/>
  <c r="AZ42" i="39"/>
  <c r="BH42" i="39"/>
  <c r="AZ23" i="16"/>
  <c r="BH23" i="16"/>
  <c r="BA27" i="35"/>
  <c r="BI27" i="35"/>
  <c r="AY49" i="31"/>
  <c r="BG49" i="31"/>
  <c r="AZ51" i="39"/>
  <c r="BH51" i="39"/>
  <c r="AZ53" i="34"/>
  <c r="BH53" i="34"/>
  <c r="S45" i="22"/>
  <c r="S40" i="22"/>
  <c r="S43" i="22"/>
  <c r="S41" i="22"/>
  <c r="S44" i="22"/>
  <c r="S42" i="22"/>
  <c r="AX49" i="39"/>
  <c r="BD49" i="39" s="1"/>
  <c r="AJ6" i="39" s="1"/>
  <c r="BF49" i="39"/>
  <c r="BL49" i="39" s="1"/>
  <c r="AO6" i="39" s="1"/>
  <c r="BJ53" i="40"/>
  <c r="BB53" i="40"/>
  <c r="AZ40" i="16"/>
  <c r="BH40" i="16"/>
  <c r="AX35" i="21"/>
  <c r="BD35" i="21" s="1"/>
  <c r="AH10" i="21" s="1"/>
  <c r="BF35" i="21"/>
  <c r="BB24" i="15"/>
  <c r="BJ24" i="15"/>
  <c r="AX34" i="18"/>
  <c r="BF34" i="18"/>
  <c r="O36" i="23"/>
  <c r="O31" i="23"/>
  <c r="O32" i="23"/>
  <c r="O35" i="23"/>
  <c r="O33" i="23"/>
  <c r="O34" i="23"/>
  <c r="AY26" i="39"/>
  <c r="BG26" i="39"/>
  <c r="AZ43" i="19"/>
  <c r="BH43" i="19"/>
  <c r="AY42" i="36"/>
  <c r="BG42" i="36"/>
  <c r="BB53" i="23"/>
  <c r="BJ53" i="23"/>
  <c r="AY45" i="34"/>
  <c r="BG45" i="34"/>
  <c r="AZ51" i="28"/>
  <c r="BH51" i="28"/>
  <c r="J32" i="20"/>
  <c r="J35" i="20"/>
  <c r="J33" i="20"/>
  <c r="J36" i="20"/>
  <c r="J31" i="20"/>
  <c r="J34" i="20"/>
  <c r="AX53" i="22"/>
  <c r="BF53" i="22"/>
  <c r="BG25" i="24"/>
  <c r="AY25" i="24"/>
  <c r="BJ51" i="12"/>
  <c r="BB51" i="12"/>
  <c r="AZ43" i="29"/>
  <c r="BH43" i="29"/>
  <c r="BB32" i="41"/>
  <c r="BJ32" i="41"/>
  <c r="BF33" i="10"/>
  <c r="BL33" i="10" s="1"/>
  <c r="AM8" i="10" s="1"/>
  <c r="AX33" i="10"/>
  <c r="BD33" i="10" s="1"/>
  <c r="AH8" i="10" s="1"/>
  <c r="BI49" i="16"/>
  <c r="BA49" i="16"/>
  <c r="BA33" i="39"/>
  <c r="BI33" i="39"/>
  <c r="AY49" i="25"/>
  <c r="BG49" i="25"/>
  <c r="AY42" i="11"/>
  <c r="BG42" i="11"/>
  <c r="AX32" i="34"/>
  <c r="BD32" i="34" s="1"/>
  <c r="AH7" i="34" s="1"/>
  <c r="BF32" i="34"/>
  <c r="BL32" i="34" s="1"/>
  <c r="AM7" i="34" s="1"/>
  <c r="AY27" i="15"/>
  <c r="BG27" i="15"/>
  <c r="AY36" i="19"/>
  <c r="BG36" i="19"/>
  <c r="BG50" i="17"/>
  <c r="AY50" i="17"/>
  <c r="AX51" i="23"/>
  <c r="BF51" i="23"/>
  <c r="BC35" i="13"/>
  <c r="BK35" i="13"/>
  <c r="BJ45" i="16"/>
  <c r="BB45" i="16"/>
  <c r="BC34" i="41"/>
  <c r="BK34" i="41"/>
  <c r="AX34" i="13"/>
  <c r="BD34" i="13" s="1"/>
  <c r="AH9" i="13" s="1"/>
  <c r="BF34" i="13"/>
  <c r="BL34" i="13" s="1"/>
  <c r="AM9" i="13" s="1"/>
  <c r="BA41" i="26"/>
  <c r="BI41" i="26"/>
  <c r="BA26" i="14"/>
  <c r="BI26" i="14"/>
  <c r="BF26" i="32"/>
  <c r="BL26" i="32" s="1"/>
  <c r="AL10" i="32" s="1"/>
  <c r="AX26" i="32"/>
  <c r="AX24" i="15"/>
  <c r="BD24" i="15" s="1"/>
  <c r="AG8" i="15" s="1"/>
  <c r="BF24" i="15"/>
  <c r="BL24" i="15" s="1"/>
  <c r="AL8" i="15" s="1"/>
  <c r="BC51" i="18"/>
  <c r="BK51" i="18"/>
  <c r="AY54" i="40"/>
  <c r="BG54" i="40"/>
  <c r="AY27" i="37"/>
  <c r="BD27" i="37" s="1"/>
  <c r="AG11" i="37" s="1"/>
  <c r="BG27" i="37"/>
  <c r="BL27" i="37" s="1"/>
  <c r="AL11" i="37" s="1"/>
  <c r="AX35" i="23"/>
  <c r="BF35" i="23"/>
  <c r="BC26" i="18"/>
  <c r="BK26" i="18"/>
  <c r="BG24" i="41"/>
  <c r="AY24" i="41"/>
  <c r="BB36" i="28"/>
  <c r="BJ36" i="28"/>
  <c r="BC43" i="41"/>
  <c r="BK43" i="41"/>
  <c r="BA23" i="12"/>
  <c r="BI23" i="12"/>
  <c r="BA40" i="25"/>
  <c r="BI40" i="25"/>
  <c r="AY26" i="34"/>
  <c r="BG26" i="34"/>
  <c r="AZ23" i="20"/>
  <c r="BH23" i="20"/>
  <c r="AZ36" i="38"/>
  <c r="BH36" i="38"/>
  <c r="BB34" i="34"/>
  <c r="BJ34" i="34"/>
  <c r="BI52" i="24"/>
  <c r="BA52" i="24"/>
  <c r="BA31" i="18"/>
  <c r="BI31" i="18"/>
  <c r="BG31" i="35"/>
  <c r="AY31" i="35"/>
  <c r="BC23" i="23"/>
  <c r="BK23" i="23"/>
  <c r="J43" i="20"/>
  <c r="J44" i="20"/>
  <c r="J42" i="20"/>
  <c r="J45" i="20"/>
  <c r="J40" i="20"/>
  <c r="J41" i="20"/>
  <c r="BH41" i="38"/>
  <c r="AZ41" i="38"/>
  <c r="BL36" i="37"/>
  <c r="AM11" i="37" s="1"/>
  <c r="BB51" i="35"/>
  <c r="BJ51" i="35"/>
  <c r="AY40" i="31"/>
  <c r="BG40" i="31"/>
  <c r="AY24" i="36"/>
  <c r="BG24" i="36"/>
  <c r="AX22" i="36"/>
  <c r="BD22" i="36" s="1"/>
  <c r="AG6" i="36" s="1"/>
  <c r="BF22" i="36"/>
  <c r="BL22" i="36" s="1"/>
  <c r="AL6" i="36" s="1"/>
  <c r="AY26" i="19"/>
  <c r="BG26" i="19"/>
  <c r="AY51" i="36"/>
  <c r="BG51" i="36"/>
  <c r="BH23" i="13"/>
  <c r="AZ23" i="13"/>
  <c r="BB22" i="38"/>
  <c r="BJ22" i="38"/>
  <c r="W33" i="27"/>
  <c r="W36" i="27"/>
  <c r="W31" i="27"/>
  <c r="W34" i="27"/>
  <c r="W32" i="27"/>
  <c r="W35" i="27"/>
  <c r="BC23" i="13"/>
  <c r="BK23" i="13"/>
  <c r="BB36" i="16"/>
  <c r="BJ36" i="16"/>
  <c r="AX40" i="16"/>
  <c r="BF40" i="16"/>
  <c r="BA22" i="16"/>
  <c r="BI22" i="16"/>
  <c r="BA22" i="17"/>
  <c r="BI22" i="17"/>
  <c r="AZ25" i="39"/>
  <c r="BH25" i="39"/>
  <c r="AZ33" i="34"/>
  <c r="BH33" i="34"/>
  <c r="AX23" i="23"/>
  <c r="BF23" i="23"/>
  <c r="AZ44" i="13"/>
  <c r="BH44" i="13"/>
  <c r="BB49" i="17"/>
  <c r="BJ49" i="17"/>
  <c r="AY40" i="19"/>
  <c r="BG40" i="19"/>
  <c r="AY50" i="14"/>
  <c r="BG50" i="14"/>
  <c r="AY36" i="22"/>
  <c r="BG36" i="22"/>
  <c r="BC25" i="41"/>
  <c r="BK25" i="41"/>
  <c r="AX26" i="16"/>
  <c r="BF26" i="16"/>
  <c r="AX22" i="39"/>
  <c r="BF22" i="39"/>
  <c r="BH53" i="21"/>
  <c r="AZ53" i="21"/>
  <c r="BA52" i="26"/>
  <c r="BI52" i="26"/>
  <c r="BK45" i="40"/>
  <c r="BC45" i="40"/>
  <c r="AY32" i="28"/>
  <c r="BG32" i="28"/>
  <c r="AX51" i="33"/>
  <c r="BD51" i="33" s="1"/>
  <c r="AJ8" i="33" s="1"/>
  <c r="BF51" i="33"/>
  <c r="BL51" i="33" s="1"/>
  <c r="AO8" i="33" s="1"/>
  <c r="AZ42" i="31"/>
  <c r="BH42" i="31"/>
  <c r="BB27" i="17"/>
  <c r="BJ27" i="17"/>
  <c r="BB40" i="15"/>
  <c r="BJ40" i="15"/>
  <c r="BI23" i="18"/>
  <c r="BA23" i="18"/>
  <c r="AX44" i="32"/>
  <c r="BD44" i="32" s="1"/>
  <c r="AI10" i="32" s="1"/>
  <c r="BF44" i="32"/>
  <c r="BL44" i="32" s="1"/>
  <c r="AN10" i="32" s="1"/>
  <c r="BA22" i="30"/>
  <c r="BI22" i="30"/>
  <c r="BC22" i="14"/>
  <c r="BK22" i="14"/>
  <c r="BA49" i="29"/>
  <c r="BI49" i="29"/>
  <c r="BB27" i="31"/>
  <c r="BJ27" i="31"/>
  <c r="AX22" i="22"/>
  <c r="BF22" i="22"/>
  <c r="AY43" i="28"/>
  <c r="BG43" i="28"/>
  <c r="AZ33" i="16"/>
  <c r="BH33" i="16"/>
  <c r="BF42" i="41"/>
  <c r="AX42" i="41"/>
  <c r="BB42" i="28"/>
  <c r="BJ42" i="28"/>
  <c r="BA44" i="11"/>
  <c r="BI44" i="11"/>
  <c r="AY53" i="12"/>
  <c r="BG53" i="12"/>
  <c r="AZ35" i="19"/>
  <c r="BH35" i="19"/>
  <c r="AY32" i="36"/>
  <c r="BG32" i="36"/>
  <c r="BG25" i="18"/>
  <c r="AY25" i="18"/>
  <c r="AY36" i="15"/>
  <c r="BG36" i="15"/>
  <c r="BC36" i="35"/>
  <c r="BK36" i="35"/>
  <c r="BA50" i="32"/>
  <c r="BI50" i="32"/>
  <c r="BA42" i="12"/>
  <c r="BI42" i="12"/>
  <c r="BC23" i="26"/>
  <c r="BK23" i="26"/>
  <c r="AY44" i="33"/>
  <c r="BG44" i="33"/>
  <c r="BB43" i="12"/>
  <c r="BJ43" i="12"/>
  <c r="BA54" i="30"/>
  <c r="BI54" i="30"/>
  <c r="AX44" i="38"/>
  <c r="BD44" i="38" s="1"/>
  <c r="AI10" i="38" s="1"/>
  <c r="BF44" i="38"/>
  <c r="BL44" i="38" s="1"/>
  <c r="AN10" i="38" s="1"/>
  <c r="BJ45" i="34"/>
  <c r="BB45" i="34"/>
  <c r="AY54" i="33"/>
  <c r="BG54" i="33"/>
  <c r="BC54" i="40"/>
  <c r="BK54" i="40"/>
  <c r="BK40" i="25"/>
  <c r="BC40" i="25"/>
  <c r="AY27" i="21"/>
  <c r="BG27" i="21"/>
  <c r="BH53" i="29"/>
  <c r="AZ53" i="29"/>
  <c r="AZ50" i="40"/>
  <c r="BH50" i="40"/>
  <c r="AZ50" i="20"/>
  <c r="BH50" i="20"/>
  <c r="BA35" i="40"/>
  <c r="BI35" i="40"/>
  <c r="AZ22" i="41"/>
  <c r="BH22" i="41"/>
  <c r="BI36" i="26"/>
  <c r="BA36" i="26"/>
  <c r="AY52" i="28"/>
  <c r="BG52" i="28"/>
  <c r="BB45" i="17"/>
  <c r="BJ45" i="17"/>
  <c r="BJ44" i="29"/>
  <c r="BB44" i="29"/>
  <c r="AY35" i="21"/>
  <c r="BG35" i="21"/>
  <c r="AZ26" i="29"/>
  <c r="BH26" i="29"/>
  <c r="BJ43" i="22"/>
  <c r="BB43" i="22"/>
  <c r="BH49" i="41"/>
  <c r="AZ49" i="41"/>
  <c r="F26" i="11"/>
  <c r="F24" i="11"/>
  <c r="F27" i="11"/>
  <c r="F22" i="11"/>
  <c r="F25" i="11"/>
  <c r="F23" i="11"/>
  <c r="BG49" i="22"/>
  <c r="AY49" i="22"/>
  <c r="BA40" i="14"/>
  <c r="BI40" i="14"/>
  <c r="BA54" i="25"/>
  <c r="BI54" i="25"/>
  <c r="K36" i="16"/>
  <c r="K31" i="16"/>
  <c r="K34" i="16"/>
  <c r="K32" i="16"/>
  <c r="K35" i="16"/>
  <c r="K33" i="16"/>
  <c r="AZ32" i="29"/>
  <c r="BH32" i="29"/>
  <c r="BB52" i="29"/>
  <c r="BJ52" i="29"/>
  <c r="BD53" i="37"/>
  <c r="AJ10" i="37" s="1"/>
  <c r="AX32" i="39"/>
  <c r="BF32" i="39"/>
  <c r="BJ42" i="40"/>
  <c r="BB42" i="40"/>
  <c r="AX35" i="28"/>
  <c r="BD35" i="28" s="1"/>
  <c r="AH10" i="28" s="1"/>
  <c r="BF35" i="28"/>
  <c r="BL35" i="28" s="1"/>
  <c r="AM10" i="28" s="1"/>
  <c r="AX41" i="15"/>
  <c r="BD41" i="15" s="1"/>
  <c r="AI7" i="15" s="1"/>
  <c r="BF41" i="15"/>
  <c r="BL41" i="15" s="1"/>
  <c r="AN7" i="15" s="1"/>
  <c r="BB45" i="33"/>
  <c r="BJ45" i="33"/>
  <c r="BA35" i="29"/>
  <c r="BI35" i="29"/>
  <c r="BB36" i="31"/>
  <c r="BJ36" i="31"/>
  <c r="BG32" i="39"/>
  <c r="AY32" i="39"/>
  <c r="BI24" i="32"/>
  <c r="BA24" i="32"/>
  <c r="AY36" i="25"/>
  <c r="BG36" i="25"/>
  <c r="BB34" i="12"/>
  <c r="BJ34" i="12"/>
  <c r="AZ44" i="28"/>
  <c r="BH44" i="28"/>
  <c r="AZ33" i="14"/>
  <c r="BH33" i="14"/>
  <c r="BA52" i="11"/>
  <c r="BI52" i="11"/>
  <c r="BB50" i="14"/>
  <c r="BJ50" i="14"/>
  <c r="AZ32" i="20"/>
  <c r="BH32" i="20"/>
  <c r="BA22" i="39"/>
  <c r="BI22" i="39"/>
  <c r="BG51" i="19"/>
  <c r="AY51" i="19"/>
  <c r="AZ53" i="19"/>
  <c r="BH53" i="19"/>
  <c r="BG42" i="42"/>
  <c r="AY42" i="42"/>
  <c r="BB51" i="13"/>
  <c r="BJ51" i="13"/>
  <c r="BC53" i="23"/>
  <c r="BK53" i="23"/>
  <c r="AX27" i="26"/>
  <c r="BF27" i="26"/>
  <c r="AZ52" i="14"/>
  <c r="BH52" i="14"/>
  <c r="AZ24" i="11"/>
  <c r="BH24" i="11"/>
  <c r="BA49" i="17"/>
  <c r="BI49" i="17"/>
  <c r="AX32" i="36"/>
  <c r="BD32" i="36" s="1"/>
  <c r="AH7" i="36" s="1"/>
  <c r="BF32" i="36"/>
  <c r="BL32" i="36" s="1"/>
  <c r="AM7" i="36" s="1"/>
  <c r="BK41" i="26"/>
  <c r="BC41" i="26"/>
  <c r="BA54" i="27"/>
  <c r="BI54" i="27"/>
  <c r="AZ26" i="38"/>
  <c r="BH26" i="38"/>
  <c r="BA44" i="19"/>
  <c r="BI44" i="19"/>
  <c r="BI54" i="40"/>
  <c r="BA54" i="40"/>
  <c r="AY33" i="40"/>
  <c r="BG33" i="40"/>
  <c r="AX40" i="26"/>
  <c r="BF40" i="26"/>
  <c r="BF35" i="41"/>
  <c r="AX35" i="41"/>
  <c r="AY51" i="42"/>
  <c r="BG51" i="42"/>
  <c r="BF36" i="32"/>
  <c r="BL36" i="32" s="1"/>
  <c r="AM11" i="32" s="1"/>
  <c r="AX36" i="32"/>
  <c r="BD36" i="32" s="1"/>
  <c r="AH11" i="32" s="1"/>
  <c r="BC43" i="13"/>
  <c r="BK43" i="13"/>
  <c r="BB27" i="40"/>
  <c r="BJ27" i="40"/>
  <c r="BI27" i="29"/>
  <c r="BA27" i="29"/>
  <c r="AZ51" i="11"/>
  <c r="BH51" i="11"/>
  <c r="BA52" i="12"/>
  <c r="BI52" i="12"/>
  <c r="BJ26" i="23"/>
  <c r="BB26" i="23"/>
  <c r="BA35" i="24"/>
  <c r="BI35" i="24"/>
  <c r="AY50" i="34"/>
  <c r="BG50" i="34"/>
  <c r="O42" i="18"/>
  <c r="O40" i="18"/>
  <c r="O41" i="18"/>
  <c r="O44" i="18"/>
  <c r="O43" i="18"/>
  <c r="O45" i="18"/>
  <c r="BB50" i="34"/>
  <c r="BJ50" i="34"/>
  <c r="BH51" i="31"/>
  <c r="AZ51" i="31"/>
  <c r="BA36" i="35"/>
  <c r="BI36" i="35"/>
  <c r="BB35" i="22"/>
  <c r="BJ35" i="22"/>
  <c r="BC31" i="42"/>
  <c r="BK31" i="42"/>
  <c r="AX25" i="18"/>
  <c r="BF25" i="18"/>
  <c r="AZ23" i="33"/>
  <c r="BH23" i="33"/>
  <c r="AX45" i="27"/>
  <c r="BF45" i="27"/>
  <c r="BA33" i="12"/>
  <c r="BI33" i="12"/>
  <c r="BF49" i="41"/>
  <c r="BL49" i="41" s="1"/>
  <c r="AO6" i="41" s="1"/>
  <c r="AX49" i="41"/>
  <c r="BD49" i="41" s="1"/>
  <c r="AJ6" i="41" s="1"/>
  <c r="BB26" i="32"/>
  <c r="BJ26" i="32"/>
  <c r="BA23" i="36"/>
  <c r="BI23" i="36"/>
  <c r="AZ35" i="27"/>
  <c r="BH35" i="27"/>
  <c r="BI50" i="18"/>
  <c r="BA50" i="18"/>
  <c r="AX40" i="19"/>
  <c r="BF40" i="19"/>
  <c r="AY27" i="11"/>
  <c r="BG27" i="11"/>
  <c r="BH26" i="40"/>
  <c r="AZ26" i="40"/>
  <c r="AX24" i="10"/>
  <c r="BD24" i="10" s="1"/>
  <c r="AG8" i="10" s="1"/>
  <c r="BF24" i="10"/>
  <c r="BL24" i="10" s="1"/>
  <c r="AL8" i="10" s="1"/>
  <c r="BB32" i="32"/>
  <c r="BJ32" i="32"/>
  <c r="BL32" i="37"/>
  <c r="AM7" i="37" s="1"/>
  <c r="AZ42" i="14"/>
  <c r="BH42" i="14"/>
  <c r="BA23" i="11"/>
  <c r="BI23" i="11"/>
  <c r="BC41" i="35"/>
  <c r="BK41" i="35"/>
  <c r="BA33" i="32"/>
  <c r="BI33" i="32"/>
  <c r="AY42" i="35"/>
  <c r="BG42" i="35"/>
  <c r="AX52" i="38"/>
  <c r="BD52" i="38" s="1"/>
  <c r="AJ9" i="38" s="1"/>
  <c r="BF52" i="38"/>
  <c r="BL52" i="38" s="1"/>
  <c r="AO9" i="38" s="1"/>
  <c r="BJ31" i="33"/>
  <c r="BB31" i="33"/>
  <c r="AX32" i="16"/>
  <c r="BF32" i="16"/>
  <c r="AX44" i="20"/>
  <c r="BF44" i="20"/>
  <c r="K44" i="30"/>
  <c r="K42" i="30"/>
  <c r="K45" i="30"/>
  <c r="K40" i="30"/>
  <c r="K43" i="30"/>
  <c r="K41" i="30"/>
  <c r="E114" i="54"/>
  <c r="B114" i="54"/>
  <c r="A128" i="8" s="1"/>
  <c r="C128" i="8" s="1"/>
  <c r="D114" i="54"/>
  <c r="B105" i="54"/>
  <c r="A148" i="8" s="1"/>
  <c r="C148" i="8" s="1"/>
  <c r="E105" i="54"/>
  <c r="D105" i="54"/>
  <c r="D123" i="54"/>
  <c r="B123" i="54"/>
  <c r="A101" i="8" s="1"/>
  <c r="C101" i="8" s="1"/>
  <c r="E123" i="54"/>
  <c r="D127" i="54"/>
  <c r="B127" i="54"/>
  <c r="A86" i="8" s="1"/>
  <c r="C86" i="8" s="1"/>
  <c r="E127" i="54"/>
  <c r="E85" i="54"/>
  <c r="D85" i="54"/>
  <c r="B85" i="54"/>
  <c r="A133" i="8" s="1"/>
  <c r="C133" i="8" s="1"/>
  <c r="E100" i="54"/>
  <c r="D100" i="54"/>
  <c r="B100" i="54"/>
  <c r="A73" i="8" s="1"/>
  <c r="C73" i="8" s="1"/>
  <c r="E166" i="54"/>
  <c r="D166" i="54"/>
  <c r="B166" i="54"/>
  <c r="A187" i="8" s="1"/>
  <c r="C187" i="8" s="1"/>
  <c r="B92" i="54"/>
  <c r="A147" i="8" s="1"/>
  <c r="C147" i="8" s="1"/>
  <c r="E92" i="54"/>
  <c r="D92" i="54"/>
  <c r="E148" i="54"/>
  <c r="D148" i="54"/>
  <c r="B148" i="54"/>
  <c r="A153" i="8" s="1"/>
  <c r="C153" i="8" s="1"/>
  <c r="E57" i="54"/>
  <c r="D57" i="54"/>
  <c r="B57" i="54"/>
  <c r="A105" i="8" s="1"/>
  <c r="C105" i="8" s="1"/>
  <c r="E75" i="54"/>
  <c r="D75" i="54"/>
  <c r="B75" i="54"/>
  <c r="A103" i="8" s="1"/>
  <c r="C103" i="8" s="1"/>
  <c r="E175" i="54"/>
  <c r="D175" i="54"/>
  <c r="B175" i="54"/>
  <c r="A176" i="8" s="1"/>
  <c r="C176" i="8" s="1"/>
  <c r="D142" i="54"/>
  <c r="B142" i="54"/>
  <c r="A161" i="8" s="1"/>
  <c r="C161" i="8" s="1"/>
  <c r="E142" i="54"/>
  <c r="E178" i="54"/>
  <c r="D178" i="54"/>
  <c r="B178" i="54"/>
  <c r="A189" i="8" s="1"/>
  <c r="C189" i="8" s="1"/>
  <c r="B113" i="54"/>
  <c r="A131" i="8" s="1"/>
  <c r="C131" i="8" s="1"/>
  <c r="E113" i="54"/>
  <c r="D113" i="54"/>
  <c r="D131" i="54"/>
  <c r="B131" i="54"/>
  <c r="A63" i="8" s="1"/>
  <c r="C63" i="8" s="1"/>
  <c r="E131" i="54"/>
  <c r="E173" i="54"/>
  <c r="D173" i="54"/>
  <c r="B173" i="54"/>
  <c r="A178" i="8" s="1"/>
  <c r="C178" i="8" s="1"/>
  <c r="E188" i="54"/>
  <c r="D188" i="54"/>
  <c r="B188" i="54"/>
  <c r="A206" i="8" s="1"/>
  <c r="C206" i="8" s="1"/>
  <c r="E104" i="54"/>
  <c r="B104" i="54"/>
  <c r="A65" i="8" s="1"/>
  <c r="C65" i="8" s="1"/>
  <c r="D104" i="54"/>
  <c r="B29" i="8"/>
  <c r="B148" i="8"/>
  <c r="B184" i="8"/>
  <c r="B26" i="8"/>
  <c r="B142" i="8"/>
  <c r="B179" i="8"/>
  <c r="B47" i="8"/>
  <c r="B67" i="8"/>
  <c r="B188" i="8"/>
  <c r="B32" i="8"/>
  <c r="B143" i="8"/>
  <c r="B173" i="8"/>
  <c r="B41" i="8"/>
  <c r="B140" i="8"/>
  <c r="B178" i="8"/>
  <c r="B22" i="8"/>
  <c r="B70" i="8"/>
  <c r="B157" i="8"/>
  <c r="B35" i="8"/>
  <c r="B144" i="8"/>
  <c r="B180" i="8"/>
  <c r="B28" i="8"/>
  <c r="B138" i="8"/>
  <c r="B177" i="8"/>
  <c r="BB42" i="41"/>
  <c r="BJ42" i="41"/>
  <c r="BG51" i="41"/>
  <c r="AY51" i="41"/>
  <c r="AZ36" i="11"/>
  <c r="BH36" i="11"/>
  <c r="BA25" i="23"/>
  <c r="BI25" i="23"/>
  <c r="BA41" i="35"/>
  <c r="BI41" i="35"/>
  <c r="AZ54" i="36"/>
  <c r="BH54" i="36"/>
  <c r="AX42" i="29"/>
  <c r="BD42" i="29" s="1"/>
  <c r="AI8" i="29" s="1"/>
  <c r="BF42" i="29"/>
  <c r="BL42" i="29" s="1"/>
  <c r="AN8" i="29" s="1"/>
  <c r="AX50" i="16"/>
  <c r="BF50" i="16"/>
  <c r="BA32" i="16"/>
  <c r="BI32" i="16"/>
  <c r="BI49" i="19"/>
  <c r="BA49" i="19"/>
  <c r="BA41" i="23"/>
  <c r="BI41" i="23"/>
  <c r="BK34" i="18"/>
  <c r="BC34" i="18"/>
  <c r="BB31" i="15"/>
  <c r="BJ31" i="15"/>
  <c r="BI22" i="25"/>
  <c r="BA22" i="25"/>
  <c r="BB35" i="38"/>
  <c r="BJ35" i="38"/>
  <c r="BB43" i="38"/>
  <c r="BJ43" i="38"/>
  <c r="BB26" i="29"/>
  <c r="BJ26" i="29"/>
  <c r="AY41" i="21"/>
  <c r="BG41" i="21"/>
  <c r="BI35" i="25"/>
  <c r="BA35" i="25"/>
  <c r="AZ36" i="28"/>
  <c r="BH36" i="28"/>
  <c r="AY51" i="35"/>
  <c r="BG51" i="35"/>
  <c r="AY33" i="34"/>
  <c r="BG33" i="34"/>
  <c r="BI43" i="30"/>
  <c r="BA43" i="30"/>
  <c r="AY23" i="35"/>
  <c r="BG23" i="35"/>
  <c r="AX23" i="24"/>
  <c r="BF23" i="24"/>
  <c r="BB50" i="33"/>
  <c r="BJ50" i="33"/>
  <c r="BD45" i="37"/>
  <c r="AI11" i="37" s="1"/>
  <c r="O24" i="23"/>
  <c r="O22" i="23"/>
  <c r="O25" i="23"/>
  <c r="O26" i="23"/>
  <c r="O23" i="23"/>
  <c r="O27" i="23"/>
  <c r="AZ26" i="15"/>
  <c r="BH26" i="15"/>
  <c r="AX52" i="12"/>
  <c r="BD52" i="12" s="1"/>
  <c r="AJ9" i="12" s="1"/>
  <c r="BF52" i="12"/>
  <c r="BL52" i="12" s="1"/>
  <c r="AO9" i="12" s="1"/>
  <c r="AX22" i="19"/>
  <c r="BF22" i="19"/>
  <c r="AX24" i="27"/>
  <c r="BF24" i="27"/>
  <c r="AY33" i="11"/>
  <c r="BG33" i="11"/>
  <c r="BG52" i="27"/>
  <c r="AY52" i="27"/>
  <c r="AZ35" i="41"/>
  <c r="BH35" i="41"/>
  <c r="AX50" i="18"/>
  <c r="BF50" i="18"/>
  <c r="AY50" i="15"/>
  <c r="BG50" i="15"/>
  <c r="BA34" i="11"/>
  <c r="BI34" i="11"/>
  <c r="BI31" i="36"/>
  <c r="BA31" i="36"/>
  <c r="AZ41" i="27"/>
  <c r="BH41" i="27"/>
  <c r="BB36" i="29"/>
  <c r="BJ36" i="29"/>
  <c r="AX51" i="20"/>
  <c r="BF51" i="20"/>
  <c r="AX34" i="26"/>
  <c r="BF34" i="26"/>
  <c r="AY44" i="37"/>
  <c r="BD44" i="37" s="1"/>
  <c r="AI10" i="37" s="1"/>
  <c r="BG44" i="37"/>
  <c r="BL44" i="37" s="1"/>
  <c r="AN10" i="37" s="1"/>
  <c r="BB33" i="35"/>
  <c r="BJ33" i="35"/>
  <c r="BB52" i="39"/>
  <c r="BJ52" i="39"/>
  <c r="BK27" i="40"/>
  <c r="BC27" i="40"/>
  <c r="N24" i="35"/>
  <c r="N27" i="35"/>
  <c r="N22" i="35"/>
  <c r="N25" i="35"/>
  <c r="N26" i="35"/>
  <c r="N23" i="35"/>
  <c r="BH32" i="31"/>
  <c r="AZ32" i="31"/>
  <c r="AX52" i="36"/>
  <c r="BD52" i="36" s="1"/>
  <c r="AJ9" i="36" s="1"/>
  <c r="BF52" i="36"/>
  <c r="BL52" i="36" s="1"/>
  <c r="AO9" i="36" s="1"/>
  <c r="AZ43" i="21"/>
  <c r="BH43" i="21"/>
  <c r="O53" i="35"/>
  <c r="O51" i="35"/>
  <c r="O54" i="35"/>
  <c r="O49" i="35"/>
  <c r="O52" i="35"/>
  <c r="O50" i="35"/>
  <c r="AZ24" i="14"/>
  <c r="BH24" i="14"/>
  <c r="AS11" i="37" l="1"/>
  <c r="CA7" i="37" s="1"/>
  <c r="AS10" i="37"/>
  <c r="AS9" i="37"/>
  <c r="BZ7" i="37"/>
  <c r="BW7" i="37"/>
  <c r="AS6" i="37"/>
  <c r="BV7" i="37" s="1"/>
  <c r="BF27" i="11"/>
  <c r="BL27" i="11" s="1"/>
  <c r="AL11" i="11" s="1"/>
  <c r="AX27" i="11"/>
  <c r="BD27" i="11" s="1"/>
  <c r="AG11" i="11" s="1"/>
  <c r="AY43" i="20"/>
  <c r="BG43" i="20"/>
  <c r="AY32" i="20"/>
  <c r="BG32" i="20"/>
  <c r="BD41" i="21"/>
  <c r="AI7" i="21" s="1"/>
  <c r="BB25" i="19"/>
  <c r="BJ25" i="19"/>
  <c r="AX44" i="35"/>
  <c r="BF44" i="35"/>
  <c r="BA23" i="22"/>
  <c r="BI23" i="22"/>
  <c r="BH51" i="35"/>
  <c r="AZ51" i="35"/>
  <c r="BH27" i="23"/>
  <c r="AZ27" i="23"/>
  <c r="AY41" i="30"/>
  <c r="BD41" i="30" s="1"/>
  <c r="AI7" i="30" s="1"/>
  <c r="BG41" i="30"/>
  <c r="BD33" i="39"/>
  <c r="AH8" i="39" s="1"/>
  <c r="BB31" i="27"/>
  <c r="BJ31" i="27"/>
  <c r="BL24" i="32"/>
  <c r="AL8" i="32" s="1"/>
  <c r="BF27" i="25"/>
  <c r="BL27" i="25" s="1"/>
  <c r="AL11" i="25" s="1"/>
  <c r="AX27" i="25"/>
  <c r="BD27" i="25" s="1"/>
  <c r="AG11" i="25" s="1"/>
  <c r="BH34" i="23"/>
  <c r="AZ34" i="23"/>
  <c r="BL33" i="21"/>
  <c r="AM8" i="21" s="1"/>
  <c r="BA41" i="22"/>
  <c r="BI41" i="22"/>
  <c r="BB51" i="19"/>
  <c r="BJ51" i="19"/>
  <c r="BL52" i="32"/>
  <c r="AO9" i="32" s="1"/>
  <c r="AX33" i="31"/>
  <c r="BD33" i="31" s="1"/>
  <c r="AH8" i="31" s="1"/>
  <c r="BF33" i="31"/>
  <c r="BL33" i="31" s="1"/>
  <c r="AM8" i="31" s="1"/>
  <c r="AK202" i="6"/>
  <c r="AJ202" i="6"/>
  <c r="AI202" i="6"/>
  <c r="A353" i="61"/>
  <c r="AK98" i="6"/>
  <c r="AJ98" i="6"/>
  <c r="AI98" i="6"/>
  <c r="AK192" i="6"/>
  <c r="AJ192" i="6"/>
  <c r="AI192" i="6"/>
  <c r="AJ196" i="6"/>
  <c r="AI196" i="6"/>
  <c r="AK196" i="6"/>
  <c r="A193" i="61"/>
  <c r="AK58" i="6"/>
  <c r="AJ58" i="6"/>
  <c r="AI58" i="6"/>
  <c r="AK152" i="6"/>
  <c r="AJ152" i="6"/>
  <c r="AI152" i="6"/>
  <c r="A417" i="61"/>
  <c r="AK114" i="6"/>
  <c r="AJ114" i="6"/>
  <c r="AI114" i="6"/>
  <c r="A209" i="61"/>
  <c r="AK62" i="6"/>
  <c r="AJ62" i="6"/>
  <c r="AI62" i="6"/>
  <c r="AK186" i="6"/>
  <c r="AJ186" i="6"/>
  <c r="AI186" i="6"/>
  <c r="AK162" i="6"/>
  <c r="AJ162" i="6"/>
  <c r="AI162" i="6"/>
  <c r="A305" i="61"/>
  <c r="AK86" i="6"/>
  <c r="AJ86" i="6"/>
  <c r="AI86" i="6"/>
  <c r="AK165" i="6"/>
  <c r="AJ165" i="6"/>
  <c r="AI165" i="6"/>
  <c r="A429" i="61"/>
  <c r="AK117" i="6"/>
  <c r="AJ117" i="6"/>
  <c r="AI117" i="6"/>
  <c r="A421" i="61"/>
  <c r="AK115" i="6"/>
  <c r="AJ115" i="6"/>
  <c r="AI115" i="6"/>
  <c r="A349" i="61"/>
  <c r="AK97" i="6"/>
  <c r="AJ97" i="6"/>
  <c r="AI97" i="6"/>
  <c r="AK161" i="6"/>
  <c r="AJ161" i="6"/>
  <c r="AI161" i="6"/>
  <c r="A213" i="61"/>
  <c r="AI63" i="6"/>
  <c r="AK63" i="6"/>
  <c r="AJ63" i="6"/>
  <c r="A469" i="61"/>
  <c r="AI127" i="6"/>
  <c r="AK127" i="6"/>
  <c r="AJ127" i="6"/>
  <c r="BL54" i="41"/>
  <c r="AO11" i="41" s="1"/>
  <c r="BL33" i="36"/>
  <c r="AM8" i="36" s="1"/>
  <c r="BJ23" i="27"/>
  <c r="BB23" i="27"/>
  <c r="BL23" i="36"/>
  <c r="AL7" i="36" s="1"/>
  <c r="BD22" i="15"/>
  <c r="AG6" i="15" s="1"/>
  <c r="BL50" i="32"/>
  <c r="AO7" i="32" s="1"/>
  <c r="BL35" i="38"/>
  <c r="AM10" i="38" s="1"/>
  <c r="BD25" i="41"/>
  <c r="AG9" i="41" s="1"/>
  <c r="BD43" i="13"/>
  <c r="AI9" i="13" s="1"/>
  <c r="BD23" i="40"/>
  <c r="AG7" i="40" s="1"/>
  <c r="BL31" i="13"/>
  <c r="AM6" i="13" s="1"/>
  <c r="AY35" i="23"/>
  <c r="BG35" i="23"/>
  <c r="BD45" i="28"/>
  <c r="AI11" i="28" s="1"/>
  <c r="AY49" i="16"/>
  <c r="BG49" i="16"/>
  <c r="BD33" i="32"/>
  <c r="AH8" i="32" s="1"/>
  <c r="BD33" i="41"/>
  <c r="AH8" i="41" s="1"/>
  <c r="AX35" i="35"/>
  <c r="BD35" i="35" s="1"/>
  <c r="AH10" i="35" s="1"/>
  <c r="BF35" i="35"/>
  <c r="BF51" i="42"/>
  <c r="BL51" i="42" s="1"/>
  <c r="AO8" i="42" s="1"/>
  <c r="AX51" i="42"/>
  <c r="BD51" i="42" s="1"/>
  <c r="AJ8" i="42" s="1"/>
  <c r="AX54" i="14"/>
  <c r="BD54" i="14" s="1"/>
  <c r="AJ11" i="14" s="1"/>
  <c r="BF54" i="14"/>
  <c r="BL54" i="14" s="1"/>
  <c r="AO11" i="14" s="1"/>
  <c r="BD44" i="36"/>
  <c r="AI10" i="36" s="1"/>
  <c r="BL25" i="15"/>
  <c r="AL9" i="15" s="1"/>
  <c r="BL23" i="38"/>
  <c r="AL7" i="38" s="1"/>
  <c r="AX22" i="17"/>
  <c r="BD22" i="17" s="1"/>
  <c r="AG6" i="17" s="1"/>
  <c r="BF22" i="17"/>
  <c r="BL22" i="17" s="1"/>
  <c r="AL6" i="17" s="1"/>
  <c r="BL23" i="28"/>
  <c r="AL7" i="28" s="1"/>
  <c r="AY27" i="23"/>
  <c r="BG27" i="23"/>
  <c r="BD22" i="33"/>
  <c r="AG6" i="33" s="1"/>
  <c r="BD51" i="18"/>
  <c r="AJ8" i="18" s="1"/>
  <c r="BL44" i="33"/>
  <c r="AN10" i="33" s="1"/>
  <c r="H181" i="61"/>
  <c r="AJ55" i="6"/>
  <c r="AY51" i="30"/>
  <c r="BD51" i="30" s="1"/>
  <c r="AJ8" i="30" s="1"/>
  <c r="BG51" i="30"/>
  <c r="BL51" i="30" s="1"/>
  <c r="AO8" i="30" s="1"/>
  <c r="BD40" i="15"/>
  <c r="AI6" i="15" s="1"/>
  <c r="BB50" i="27"/>
  <c r="BJ50" i="27"/>
  <c r="BD42" i="36"/>
  <c r="AI8" i="36" s="1"/>
  <c r="AX23" i="31"/>
  <c r="BD23" i="31" s="1"/>
  <c r="AG7" i="31" s="1"/>
  <c r="BF23" i="31"/>
  <c r="BL23" i="31" s="1"/>
  <c r="AL7" i="31" s="1"/>
  <c r="AX31" i="25"/>
  <c r="BD31" i="25" s="1"/>
  <c r="AH6" i="25" s="1"/>
  <c r="BF31" i="25"/>
  <c r="BL31" i="25" s="1"/>
  <c r="AM6" i="25" s="1"/>
  <c r="AY26" i="30"/>
  <c r="BD26" i="30" s="1"/>
  <c r="AG10" i="30" s="1"/>
  <c r="BG26" i="30"/>
  <c r="BL26" i="30" s="1"/>
  <c r="AL10" i="30" s="1"/>
  <c r="BL43" i="38"/>
  <c r="AN9" i="38" s="1"/>
  <c r="BD41" i="32"/>
  <c r="AI7" i="32" s="1"/>
  <c r="BG44" i="16"/>
  <c r="BL44" i="16" s="1"/>
  <c r="AN10" i="16" s="1"/>
  <c r="AY44" i="16"/>
  <c r="BD44" i="16" s="1"/>
  <c r="AI10" i="16" s="1"/>
  <c r="AZ33" i="35"/>
  <c r="BH33" i="35"/>
  <c r="AX43" i="11"/>
  <c r="BD43" i="11" s="1"/>
  <c r="AI9" i="11" s="1"/>
  <c r="BF43" i="11"/>
  <c r="BL43" i="11" s="1"/>
  <c r="AN9" i="11" s="1"/>
  <c r="BL32" i="15"/>
  <c r="AM7" i="15" s="1"/>
  <c r="AZ24" i="24"/>
  <c r="BH24" i="24"/>
  <c r="BA49" i="22"/>
  <c r="BI49" i="22"/>
  <c r="BD23" i="34"/>
  <c r="AG7" i="34" s="1"/>
  <c r="BL32" i="40"/>
  <c r="AM7" i="40" s="1"/>
  <c r="BB42" i="19"/>
  <c r="BJ42" i="19"/>
  <c r="BL43" i="12"/>
  <c r="AN9" i="12" s="1"/>
  <c r="BL34" i="29"/>
  <c r="AM9" i="29" s="1"/>
  <c r="AZ51" i="23"/>
  <c r="BH51" i="23"/>
  <c r="AX23" i="14"/>
  <c r="BD23" i="14" s="1"/>
  <c r="AG7" i="14" s="1"/>
  <c r="BF23" i="14"/>
  <c r="BL23" i="14" s="1"/>
  <c r="AL7" i="14" s="1"/>
  <c r="BL54" i="39"/>
  <c r="AO11" i="39" s="1"/>
  <c r="AZ34" i="24"/>
  <c r="BH34" i="24"/>
  <c r="BD51" i="13"/>
  <c r="AJ8" i="13" s="1"/>
  <c r="AY31" i="30"/>
  <c r="BD31" i="30" s="1"/>
  <c r="AH6" i="30" s="1"/>
  <c r="BG31" i="30"/>
  <c r="BL31" i="30" s="1"/>
  <c r="AM6" i="30" s="1"/>
  <c r="BL25" i="33"/>
  <c r="AL9" i="33" s="1"/>
  <c r="BF53" i="35"/>
  <c r="AX53" i="35"/>
  <c r="BD51" i="12"/>
  <c r="AJ8" i="12" s="1"/>
  <c r="BD42" i="33"/>
  <c r="AI8" i="33" s="1"/>
  <c r="AX44" i="31"/>
  <c r="BD44" i="31" s="1"/>
  <c r="AI10" i="31" s="1"/>
  <c r="BF44" i="31"/>
  <c r="BL44" i="31" s="1"/>
  <c r="AN10" i="31" s="1"/>
  <c r="AG2" i="54"/>
  <c r="AH2" i="54" s="1"/>
  <c r="U2" i="54"/>
  <c r="V2" i="54" s="1"/>
  <c r="BL51" i="38"/>
  <c r="AO8" i="38" s="1"/>
  <c r="AZ54" i="24"/>
  <c r="BH54" i="24"/>
  <c r="BL52" i="41"/>
  <c r="AO9" i="41" s="1"/>
  <c r="AX43" i="14"/>
  <c r="BD43" i="14" s="1"/>
  <c r="AI9" i="14" s="1"/>
  <c r="BF43" i="14"/>
  <c r="BL43" i="14" s="1"/>
  <c r="AN9" i="14" s="1"/>
  <c r="BL44" i="26"/>
  <c r="AN10" i="26" s="1"/>
  <c r="AX44" i="25"/>
  <c r="BD44" i="25" s="1"/>
  <c r="AI10" i="25" s="1"/>
  <c r="BF44" i="25"/>
  <c r="BL44" i="25" s="1"/>
  <c r="AN10" i="25" s="1"/>
  <c r="BL32" i="28"/>
  <c r="AM7" i="28" s="1"/>
  <c r="BL40" i="36"/>
  <c r="AN6" i="36" s="1"/>
  <c r="BD41" i="38"/>
  <c r="AI7" i="38" s="1"/>
  <c r="AX54" i="25"/>
  <c r="BD54" i="25" s="1"/>
  <c r="AJ11" i="25" s="1"/>
  <c r="BF54" i="25"/>
  <c r="BL54" i="25" s="1"/>
  <c r="AO11" i="25" s="1"/>
  <c r="AZ54" i="26"/>
  <c r="BH54" i="26"/>
  <c r="BD26" i="15"/>
  <c r="AG10" i="15" s="1"/>
  <c r="BD33" i="13"/>
  <c r="AH8" i="13" s="1"/>
  <c r="BL25" i="13"/>
  <c r="AL9" i="13" s="1"/>
  <c r="BL24" i="28"/>
  <c r="AL8" i="28" s="1"/>
  <c r="AZ42" i="35"/>
  <c r="BH42" i="35"/>
  <c r="BL53" i="28"/>
  <c r="AO10" i="28" s="1"/>
  <c r="AX31" i="11"/>
  <c r="BD31" i="11" s="1"/>
  <c r="AH6" i="11" s="1"/>
  <c r="BF31" i="11"/>
  <c r="BL31" i="11" s="1"/>
  <c r="AM6" i="11" s="1"/>
  <c r="BH51" i="18"/>
  <c r="AZ51" i="18"/>
  <c r="BL23" i="33"/>
  <c r="AL7" i="33" s="1"/>
  <c r="BL52" i="40"/>
  <c r="AO9" i="40" s="1"/>
  <c r="AX32" i="42"/>
  <c r="BD32" i="42" s="1"/>
  <c r="AH7" i="42" s="1"/>
  <c r="BF32" i="42"/>
  <c r="BL32" i="42" s="1"/>
  <c r="AM7" i="42" s="1"/>
  <c r="AY27" i="16"/>
  <c r="BG27" i="16"/>
  <c r="BD54" i="24"/>
  <c r="AJ11" i="24" s="1"/>
  <c r="BD53" i="29"/>
  <c r="AJ10" i="29" s="1"/>
  <c r="BD40" i="40"/>
  <c r="AI6" i="40" s="1"/>
  <c r="BD24" i="36"/>
  <c r="AG8" i="36" s="1"/>
  <c r="BD27" i="38"/>
  <c r="AG11" i="38" s="1"/>
  <c r="AX54" i="11"/>
  <c r="BD54" i="11" s="1"/>
  <c r="AJ11" i="11" s="1"/>
  <c r="BF54" i="11"/>
  <c r="BL54" i="11" s="1"/>
  <c r="AO11" i="11" s="1"/>
  <c r="AZ40" i="23"/>
  <c r="BH40" i="23"/>
  <c r="BL51" i="32"/>
  <c r="AO8" i="32" s="1"/>
  <c r="BL54" i="21"/>
  <c r="AO11" i="21" s="1"/>
  <c r="BL45" i="34"/>
  <c r="AN11" i="34" s="1"/>
  <c r="BL34" i="38"/>
  <c r="AM9" i="38" s="1"/>
  <c r="AX26" i="42"/>
  <c r="BD26" i="42" s="1"/>
  <c r="AG10" i="42" s="1"/>
  <c r="BF26" i="42"/>
  <c r="BL26" i="42" s="1"/>
  <c r="AL10" i="42" s="1"/>
  <c r="BH26" i="18"/>
  <c r="AZ26" i="18"/>
  <c r="BD26" i="40"/>
  <c r="AG10" i="40" s="1"/>
  <c r="BD35" i="12"/>
  <c r="AH10" i="12" s="1"/>
  <c r="BD41" i="12"/>
  <c r="AI7" i="12" s="1"/>
  <c r="BD49" i="36"/>
  <c r="AJ6" i="36" s="1"/>
  <c r="BD49" i="12"/>
  <c r="AJ6" i="12" s="1"/>
  <c r="BD51" i="40"/>
  <c r="AJ8" i="40" s="1"/>
  <c r="BB33" i="19"/>
  <c r="BJ33" i="19"/>
  <c r="BD44" i="29"/>
  <c r="AI10" i="29" s="1"/>
  <c r="AY44" i="23"/>
  <c r="BG44" i="23"/>
  <c r="BL44" i="23" s="1"/>
  <c r="AN10" i="23" s="1"/>
  <c r="BL43" i="20"/>
  <c r="AN9" i="20" s="1"/>
  <c r="AX22" i="35"/>
  <c r="BF22" i="35"/>
  <c r="BD53" i="41"/>
  <c r="AJ10" i="41" s="1"/>
  <c r="BD35" i="32"/>
  <c r="AH10" i="32" s="1"/>
  <c r="AX52" i="31"/>
  <c r="BD52" i="31" s="1"/>
  <c r="AJ9" i="31" s="1"/>
  <c r="BF52" i="31"/>
  <c r="BL52" i="31" s="1"/>
  <c r="AO9" i="31" s="1"/>
  <c r="BL25" i="29"/>
  <c r="AL9" i="29" s="1"/>
  <c r="BH27" i="35"/>
  <c r="AZ27" i="35"/>
  <c r="AZ24" i="35"/>
  <c r="BH24" i="35"/>
  <c r="AS8" i="10"/>
  <c r="AX24" i="11"/>
  <c r="BD24" i="11" s="1"/>
  <c r="AG8" i="11" s="1"/>
  <c r="BF24" i="11"/>
  <c r="BL24" i="11" s="1"/>
  <c r="AL8" i="11" s="1"/>
  <c r="AY52" i="20"/>
  <c r="BG52" i="20"/>
  <c r="BB22" i="19"/>
  <c r="BJ22" i="19"/>
  <c r="AX43" i="35"/>
  <c r="BF43" i="35"/>
  <c r="AZ53" i="35"/>
  <c r="BH53" i="35"/>
  <c r="AZ26" i="23"/>
  <c r="BH26" i="23"/>
  <c r="BD31" i="32"/>
  <c r="AH6" i="32" s="1"/>
  <c r="BL44" i="15"/>
  <c r="AN10" i="15" s="1"/>
  <c r="BB36" i="27"/>
  <c r="BJ36" i="27"/>
  <c r="BD24" i="32"/>
  <c r="AG8" i="32" s="1"/>
  <c r="AX26" i="25"/>
  <c r="BD26" i="25" s="1"/>
  <c r="AG10" i="25" s="1"/>
  <c r="BF26" i="25"/>
  <c r="BL26" i="25" s="1"/>
  <c r="AL10" i="25" s="1"/>
  <c r="AZ36" i="23"/>
  <c r="BH36" i="23"/>
  <c r="BA43" i="22"/>
  <c r="BI43" i="22"/>
  <c r="BL43" i="22" s="1"/>
  <c r="AN9" i="22" s="1"/>
  <c r="BB53" i="19"/>
  <c r="BJ53" i="19"/>
  <c r="BD52" i="32"/>
  <c r="AJ9" i="32" s="1"/>
  <c r="BL32" i="20"/>
  <c r="AM7" i="20" s="1"/>
  <c r="BL44" i="21"/>
  <c r="AN10" i="21" s="1"/>
  <c r="BL51" i="34"/>
  <c r="AO8" i="34" s="1"/>
  <c r="AX35" i="31"/>
  <c r="BD35" i="31" s="1"/>
  <c r="AH10" i="31" s="1"/>
  <c r="BF35" i="31"/>
  <c r="BL35" i="31" s="1"/>
  <c r="AM10" i="31" s="1"/>
  <c r="AI183" i="6"/>
  <c r="AK183" i="6"/>
  <c r="AJ183" i="6"/>
  <c r="A225" i="61"/>
  <c r="AK66" i="6"/>
  <c r="AJ66" i="6"/>
  <c r="AI66" i="6"/>
  <c r="AK160" i="6"/>
  <c r="AJ160" i="6"/>
  <c r="AI160" i="6"/>
  <c r="AJ164" i="6"/>
  <c r="AI164" i="6"/>
  <c r="AK164" i="6"/>
  <c r="AI199" i="6"/>
  <c r="AK199" i="6"/>
  <c r="AJ199" i="6"/>
  <c r="A441" i="61"/>
  <c r="AK120" i="6"/>
  <c r="AJ120" i="6"/>
  <c r="AI120" i="6"/>
  <c r="AJ188" i="6"/>
  <c r="AI188" i="6"/>
  <c r="AK188" i="6"/>
  <c r="A289" i="61"/>
  <c r="AK82" i="6"/>
  <c r="AJ82" i="6"/>
  <c r="AI82" i="6"/>
  <c r="AK195" i="6"/>
  <c r="AJ195" i="6"/>
  <c r="AI195" i="6"/>
  <c r="A513" i="61"/>
  <c r="AK138" i="6"/>
  <c r="AJ138" i="6"/>
  <c r="AI138" i="6"/>
  <c r="AK187" i="6"/>
  <c r="AJ187" i="6"/>
  <c r="AI187" i="6"/>
  <c r="A205" i="61"/>
  <c r="AK61" i="6"/>
  <c r="AJ61" i="6"/>
  <c r="AI61" i="6"/>
  <c r="A461" i="61"/>
  <c r="AK125" i="6"/>
  <c r="AJ125" i="6"/>
  <c r="AI125" i="6"/>
  <c r="A197" i="61"/>
  <c r="AK59" i="6"/>
  <c r="AJ59" i="6"/>
  <c r="AI59" i="6"/>
  <c r="A453" i="61"/>
  <c r="AK123" i="6"/>
  <c r="AJ123" i="6"/>
  <c r="AI123" i="6"/>
  <c r="A381" i="61"/>
  <c r="AK105" i="6"/>
  <c r="AJ105" i="6"/>
  <c r="AI105" i="6"/>
  <c r="AK169" i="6"/>
  <c r="AJ169" i="6"/>
  <c r="AI169" i="6"/>
  <c r="A245" i="61"/>
  <c r="AI71" i="6"/>
  <c r="AK71" i="6"/>
  <c r="AJ71" i="6"/>
  <c r="A501" i="61"/>
  <c r="AI135" i="6"/>
  <c r="AK135" i="6"/>
  <c r="AJ135" i="6"/>
  <c r="BD54" i="41"/>
  <c r="AJ11" i="41" s="1"/>
  <c r="BD32" i="41"/>
  <c r="AH7" i="41" s="1"/>
  <c r="BD33" i="36"/>
  <c r="AH8" i="36" s="1"/>
  <c r="BL42" i="15"/>
  <c r="AN8" i="15" s="1"/>
  <c r="BL43" i="40"/>
  <c r="AN9" i="40" s="1"/>
  <c r="BD49" i="33"/>
  <c r="AJ6" i="33" s="1"/>
  <c r="BL23" i="39"/>
  <c r="AL7" i="39" s="1"/>
  <c r="BD35" i="38"/>
  <c r="AH10" i="38" s="1"/>
  <c r="BL31" i="33"/>
  <c r="AM6" i="33" s="1"/>
  <c r="AZ44" i="26"/>
  <c r="BH44" i="26"/>
  <c r="BD31" i="13"/>
  <c r="AH6" i="13" s="1"/>
  <c r="AY54" i="16"/>
  <c r="BD54" i="16" s="1"/>
  <c r="AJ11" i="16" s="1"/>
  <c r="BG54" i="16"/>
  <c r="BL54" i="16" s="1"/>
  <c r="AO11" i="16" s="1"/>
  <c r="AX32" i="35"/>
  <c r="BF32" i="35"/>
  <c r="BD25" i="15"/>
  <c r="AG9" i="15" s="1"/>
  <c r="BD23" i="38"/>
  <c r="AG7" i="38" s="1"/>
  <c r="AX27" i="17"/>
  <c r="BD27" i="17" s="1"/>
  <c r="AG11" i="17" s="1"/>
  <c r="BF27" i="17"/>
  <c r="BL27" i="17" s="1"/>
  <c r="AL11" i="17" s="1"/>
  <c r="BD23" i="28"/>
  <c r="AG7" i="28" s="1"/>
  <c r="BL53" i="32"/>
  <c r="AO10" i="32" s="1"/>
  <c r="AZ34" i="26"/>
  <c r="BH34" i="26"/>
  <c r="BG24" i="23"/>
  <c r="AY24" i="23"/>
  <c r="BL50" i="19"/>
  <c r="AO7" i="19" s="1"/>
  <c r="BD44" i="33"/>
  <c r="AI10" i="33" s="1"/>
  <c r="H77" i="61"/>
  <c r="AJ29" i="6"/>
  <c r="H29" i="61"/>
  <c r="AJ17" i="6"/>
  <c r="BD34" i="28"/>
  <c r="AH9" i="28" s="1"/>
  <c r="BL52" i="29"/>
  <c r="AO9" i="29" s="1"/>
  <c r="BF36" i="25"/>
  <c r="BL36" i="25" s="1"/>
  <c r="AM11" i="25" s="1"/>
  <c r="AX36" i="25"/>
  <c r="BD36" i="25" s="1"/>
  <c r="AH11" i="25" s="1"/>
  <c r="BG23" i="30"/>
  <c r="AY23" i="30"/>
  <c r="BL36" i="27"/>
  <c r="AM11" i="27" s="1"/>
  <c r="AY41" i="16"/>
  <c r="BG41" i="16"/>
  <c r="AZ35" i="35"/>
  <c r="BH35" i="35"/>
  <c r="AX40" i="11"/>
  <c r="BD40" i="11" s="1"/>
  <c r="AI6" i="11" s="1"/>
  <c r="BF40" i="11"/>
  <c r="BL40" i="11" s="1"/>
  <c r="AN6" i="11" s="1"/>
  <c r="BD32" i="15"/>
  <c r="AH7" i="15" s="1"/>
  <c r="AZ26" i="24"/>
  <c r="BH26" i="24"/>
  <c r="BD43" i="22"/>
  <c r="AI9" i="22" s="1"/>
  <c r="BL27" i="21"/>
  <c r="AL11" i="21" s="1"/>
  <c r="BD43" i="12"/>
  <c r="AI9" i="12" s="1"/>
  <c r="BD34" i="29"/>
  <c r="AH9" i="29" s="1"/>
  <c r="AZ53" i="23"/>
  <c r="BH53" i="23"/>
  <c r="AX25" i="14"/>
  <c r="BD25" i="14" s="1"/>
  <c r="AG9" i="14" s="1"/>
  <c r="BF25" i="14"/>
  <c r="BL25" i="14" s="1"/>
  <c r="AL9" i="14" s="1"/>
  <c r="BD54" i="39"/>
  <c r="AJ11" i="39" s="1"/>
  <c r="BD33" i="29"/>
  <c r="AH8" i="29" s="1"/>
  <c r="AY36" i="30"/>
  <c r="BD36" i="30" s="1"/>
  <c r="AH11" i="30" s="1"/>
  <c r="BG36" i="30"/>
  <c r="BL36" i="30" s="1"/>
  <c r="AM11" i="30" s="1"/>
  <c r="BD25" i="33"/>
  <c r="AG9" i="33" s="1"/>
  <c r="AX50" i="35"/>
  <c r="BF50" i="35"/>
  <c r="AZ35" i="18"/>
  <c r="BH35" i="18"/>
  <c r="BL42" i="33"/>
  <c r="AN8" i="33" s="1"/>
  <c r="BF41" i="31"/>
  <c r="BL41" i="31" s="1"/>
  <c r="AN7" i="31" s="1"/>
  <c r="AX41" i="31"/>
  <c r="BD41" i="31" s="1"/>
  <c r="AI7" i="31" s="1"/>
  <c r="R2" i="54"/>
  <c r="S2" i="54" s="1"/>
  <c r="BD51" i="38"/>
  <c r="AJ8" i="38" s="1"/>
  <c r="AZ51" i="24"/>
  <c r="BH51" i="24"/>
  <c r="AS9" i="10"/>
  <c r="BD52" i="41"/>
  <c r="AJ9" i="41" s="1"/>
  <c r="AX40" i="14"/>
  <c r="BD40" i="14" s="1"/>
  <c r="AI6" i="14" s="1"/>
  <c r="BF40" i="14"/>
  <c r="BL40" i="14" s="1"/>
  <c r="AN6" i="14" s="1"/>
  <c r="BD44" i="26"/>
  <c r="AI10" i="26" s="1"/>
  <c r="BD32" i="28"/>
  <c r="AH7" i="28" s="1"/>
  <c r="BD40" i="36"/>
  <c r="AI6" i="36" s="1"/>
  <c r="BL40" i="32"/>
  <c r="AN6" i="32" s="1"/>
  <c r="AX53" i="25"/>
  <c r="BD53" i="25" s="1"/>
  <c r="AJ10" i="25" s="1"/>
  <c r="BF53" i="25"/>
  <c r="BL53" i="25" s="1"/>
  <c r="AO10" i="25" s="1"/>
  <c r="BL22" i="32"/>
  <c r="AL6" i="32" s="1"/>
  <c r="BL36" i="34"/>
  <c r="AM11" i="34" s="1"/>
  <c r="BD24" i="28"/>
  <c r="AG8" i="28" s="1"/>
  <c r="BH44" i="35"/>
  <c r="AZ44" i="35"/>
  <c r="BD53" i="28"/>
  <c r="AJ10" i="28" s="1"/>
  <c r="AX36" i="11"/>
  <c r="BD36" i="11" s="1"/>
  <c r="AH11" i="11" s="1"/>
  <c r="BF36" i="11"/>
  <c r="BL36" i="11" s="1"/>
  <c r="AM11" i="11" s="1"/>
  <c r="AZ49" i="18"/>
  <c r="BH49" i="18"/>
  <c r="BD23" i="33"/>
  <c r="AG7" i="33" s="1"/>
  <c r="BD52" i="40"/>
  <c r="AJ9" i="40" s="1"/>
  <c r="BL45" i="33"/>
  <c r="AN11" i="33" s="1"/>
  <c r="BL49" i="16"/>
  <c r="AO6" i="16" s="1"/>
  <c r="AY24" i="16"/>
  <c r="BD24" i="16" s="1"/>
  <c r="AG8" i="16" s="1"/>
  <c r="BG24" i="16"/>
  <c r="BL24" i="16" s="1"/>
  <c r="AL8" i="16" s="1"/>
  <c r="BL51" i="39"/>
  <c r="AO8" i="39" s="1"/>
  <c r="AX51" i="11"/>
  <c r="BD51" i="11" s="1"/>
  <c r="AJ8" i="11" s="1"/>
  <c r="BF51" i="11"/>
  <c r="BL51" i="11" s="1"/>
  <c r="AO8" i="11" s="1"/>
  <c r="AZ42" i="23"/>
  <c r="BH42" i="23"/>
  <c r="BD51" i="32"/>
  <c r="AJ8" i="32" s="1"/>
  <c r="BD54" i="21"/>
  <c r="AJ11" i="21" s="1"/>
  <c r="BD45" i="34"/>
  <c r="AI11" i="34" s="1"/>
  <c r="BD34" i="38"/>
  <c r="AH9" i="38" s="1"/>
  <c r="AX23" i="42"/>
  <c r="BD23" i="42" s="1"/>
  <c r="AG7" i="42" s="1"/>
  <c r="BF23" i="42"/>
  <c r="BL23" i="42" s="1"/>
  <c r="AL7" i="42" s="1"/>
  <c r="BH22" i="18"/>
  <c r="AZ22" i="18"/>
  <c r="BL52" i="34"/>
  <c r="AO9" i="34" s="1"/>
  <c r="BD34" i="34"/>
  <c r="AH9" i="34" s="1"/>
  <c r="BL23" i="21"/>
  <c r="AL7" i="21" s="1"/>
  <c r="AZ43" i="24"/>
  <c r="BH43" i="24"/>
  <c r="BL24" i="12"/>
  <c r="AL8" i="12" s="1"/>
  <c r="BB35" i="19"/>
  <c r="BD35" i="19" s="1"/>
  <c r="AH10" i="19" s="1"/>
  <c r="BJ35" i="19"/>
  <c r="BF24" i="35"/>
  <c r="AX24" i="35"/>
  <c r="BD24" i="35" s="1"/>
  <c r="AG8" i="35" s="1"/>
  <c r="BL53" i="41"/>
  <c r="AO10" i="41" s="1"/>
  <c r="BL35" i="32"/>
  <c r="AM10" i="32" s="1"/>
  <c r="AX49" i="31"/>
  <c r="BD49" i="31" s="1"/>
  <c r="AJ6" i="31" s="1"/>
  <c r="BF49" i="31"/>
  <c r="BL49" i="31" s="1"/>
  <c r="AO6" i="31" s="1"/>
  <c r="BL31" i="39"/>
  <c r="AM6" i="39" s="1"/>
  <c r="BD25" i="29"/>
  <c r="AG9" i="29" s="1"/>
  <c r="BL23" i="24"/>
  <c r="AL7" i="24" s="1"/>
  <c r="BL32" i="39"/>
  <c r="AM7" i="39" s="1"/>
  <c r="AX26" i="11"/>
  <c r="BD26" i="11" s="1"/>
  <c r="AG10" i="11" s="1"/>
  <c r="BF26" i="11"/>
  <c r="BL26" i="11" s="1"/>
  <c r="AL10" i="11" s="1"/>
  <c r="BL22" i="39"/>
  <c r="AL6" i="39" s="1"/>
  <c r="AY54" i="20"/>
  <c r="BD54" i="20" s="1"/>
  <c r="AJ11" i="20" s="1"/>
  <c r="BG54" i="20"/>
  <c r="BL54" i="20" s="1"/>
  <c r="AO11" i="20" s="1"/>
  <c r="BB27" i="19"/>
  <c r="BJ27" i="19"/>
  <c r="AX40" i="35"/>
  <c r="BF40" i="35"/>
  <c r="AZ50" i="35"/>
  <c r="BH50" i="35"/>
  <c r="BL41" i="20"/>
  <c r="AN7" i="20" s="1"/>
  <c r="BL31" i="32"/>
  <c r="AM6" i="32" s="1"/>
  <c r="BD44" i="15"/>
  <c r="AI10" i="15" s="1"/>
  <c r="AY35" i="16"/>
  <c r="BG35" i="16"/>
  <c r="BL43" i="41"/>
  <c r="AN9" i="41" s="1"/>
  <c r="BL54" i="33"/>
  <c r="AO11" i="33" s="1"/>
  <c r="BB33" i="27"/>
  <c r="BD33" i="27" s="1"/>
  <c r="AH8" i="27" s="1"/>
  <c r="BJ33" i="27"/>
  <c r="BL33" i="27" s="1"/>
  <c r="AM8" i="27" s="1"/>
  <c r="AX24" i="25"/>
  <c r="BD24" i="25" s="1"/>
  <c r="AG8" i="25" s="1"/>
  <c r="BF24" i="25"/>
  <c r="BL24" i="25" s="1"/>
  <c r="AL8" i="25" s="1"/>
  <c r="AZ33" i="23"/>
  <c r="BH33" i="23"/>
  <c r="BI40" i="22"/>
  <c r="BL40" i="22" s="1"/>
  <c r="AN6" i="22" s="1"/>
  <c r="BA40" i="22"/>
  <c r="BB50" i="19"/>
  <c r="BJ50" i="19"/>
  <c r="BD32" i="20"/>
  <c r="AH7" i="20" s="1"/>
  <c r="BD44" i="21"/>
  <c r="AI10" i="21" s="1"/>
  <c r="AS10" i="21" s="1"/>
  <c r="BD51" i="34"/>
  <c r="AJ8" i="34" s="1"/>
  <c r="BD49" i="18"/>
  <c r="AJ6" i="18" s="1"/>
  <c r="BL53" i="12"/>
  <c r="AO10" i="12" s="1"/>
  <c r="BL50" i="40"/>
  <c r="AO7" i="40" s="1"/>
  <c r="BL51" i="16"/>
  <c r="AO8" i="16" s="1"/>
  <c r="AJ172" i="6"/>
  <c r="AI172" i="6"/>
  <c r="AK172" i="6"/>
  <c r="A473" i="61"/>
  <c r="AK128" i="6"/>
  <c r="AJ128" i="6"/>
  <c r="AI128" i="6"/>
  <c r="A489" i="61"/>
  <c r="AJ132" i="6"/>
  <c r="AI132" i="6"/>
  <c r="AK132" i="6"/>
  <c r="AK198" i="6"/>
  <c r="AJ198" i="6"/>
  <c r="AI198" i="6"/>
  <c r="A313" i="61"/>
  <c r="AK88" i="6"/>
  <c r="AJ88" i="6"/>
  <c r="AI88" i="6"/>
  <c r="AJ156" i="6"/>
  <c r="AI156" i="6"/>
  <c r="AK156" i="6"/>
  <c r="AK176" i="6"/>
  <c r="AJ176" i="6"/>
  <c r="AI176" i="6"/>
  <c r="AJ180" i="6"/>
  <c r="AI180" i="6"/>
  <c r="AK180" i="6"/>
  <c r="A385" i="61"/>
  <c r="AK106" i="6"/>
  <c r="AJ106" i="6"/>
  <c r="AI106" i="6"/>
  <c r="AK200" i="6"/>
  <c r="AJ200" i="6"/>
  <c r="AI200" i="6"/>
  <c r="A237" i="61"/>
  <c r="AK69" i="6"/>
  <c r="AJ69" i="6"/>
  <c r="AI69" i="6"/>
  <c r="A493" i="61"/>
  <c r="AK133" i="6"/>
  <c r="AJ133" i="6"/>
  <c r="AI133" i="6"/>
  <c r="A229" i="61"/>
  <c r="AK67" i="6"/>
  <c r="AJ67" i="6"/>
  <c r="AI67" i="6"/>
  <c r="A485" i="61"/>
  <c r="AK131" i="6"/>
  <c r="AJ131" i="6"/>
  <c r="AI131" i="6"/>
  <c r="A413" i="61"/>
  <c r="AK113" i="6"/>
  <c r="AJ113" i="6"/>
  <c r="AI113" i="6"/>
  <c r="AK177" i="6"/>
  <c r="AJ177" i="6"/>
  <c r="AI177" i="6"/>
  <c r="A277" i="61"/>
  <c r="AI79" i="6"/>
  <c r="AK79" i="6"/>
  <c r="AJ79" i="6"/>
  <c r="AI143" i="6"/>
  <c r="AK143" i="6"/>
  <c r="AJ143" i="6"/>
  <c r="BL32" i="41"/>
  <c r="AM7" i="41" s="1"/>
  <c r="AY54" i="23"/>
  <c r="BD54" i="23" s="1"/>
  <c r="AJ11" i="23" s="1"/>
  <c r="BG54" i="23"/>
  <c r="BL54" i="23" s="1"/>
  <c r="AO11" i="23" s="1"/>
  <c r="BD42" i="15"/>
  <c r="AI8" i="15" s="1"/>
  <c r="BD43" i="40"/>
  <c r="AI9" i="40" s="1"/>
  <c r="BL49" i="33"/>
  <c r="AO6" i="33" s="1"/>
  <c r="BD23" i="39"/>
  <c r="AG7" i="39" s="1"/>
  <c r="BL25" i="38"/>
  <c r="AL9" i="38" s="1"/>
  <c r="BD35" i="18"/>
  <c r="AH10" i="18" s="1"/>
  <c r="BL50" i="39"/>
  <c r="AO7" i="39" s="1"/>
  <c r="AZ22" i="26"/>
  <c r="BH22" i="26"/>
  <c r="BL41" i="30"/>
  <c r="AN7" i="30" s="1"/>
  <c r="BD31" i="33"/>
  <c r="AH6" i="33" s="1"/>
  <c r="AZ41" i="26"/>
  <c r="BH41" i="26"/>
  <c r="BL41" i="26" s="1"/>
  <c r="AN7" i="26" s="1"/>
  <c r="BL41" i="13"/>
  <c r="AN7" i="13" s="1"/>
  <c r="BG51" i="16"/>
  <c r="AY51" i="16"/>
  <c r="BL22" i="20"/>
  <c r="AL6" i="20" s="1"/>
  <c r="BD36" i="36"/>
  <c r="AH11" i="36" s="1"/>
  <c r="BL26" i="36"/>
  <c r="AL10" i="36" s="1"/>
  <c r="BA32" i="22"/>
  <c r="BI32" i="22"/>
  <c r="BL32" i="22" s="1"/>
  <c r="AM7" i="22" s="1"/>
  <c r="BL33" i="19"/>
  <c r="AM8" i="19" s="1"/>
  <c r="AX34" i="14"/>
  <c r="BD34" i="14" s="1"/>
  <c r="AH9" i="14" s="1"/>
  <c r="BF34" i="14"/>
  <c r="BL34" i="14" s="1"/>
  <c r="AM9" i="14" s="1"/>
  <c r="BB44" i="27"/>
  <c r="BJ44" i="27"/>
  <c r="BL49" i="22"/>
  <c r="AO6" i="22" s="1"/>
  <c r="BL34" i="15"/>
  <c r="AM9" i="15" s="1"/>
  <c r="BD53" i="32"/>
  <c r="AJ10" i="32" s="1"/>
  <c r="AZ31" i="26"/>
  <c r="BH31" i="26"/>
  <c r="AY23" i="23"/>
  <c r="BD23" i="23" s="1"/>
  <c r="AG7" i="23" s="1"/>
  <c r="BG23" i="23"/>
  <c r="BL23" i="23" s="1"/>
  <c r="AL7" i="23" s="1"/>
  <c r="BD50" i="19"/>
  <c r="AJ7" i="19" s="1"/>
  <c r="BD54" i="40"/>
  <c r="AJ11" i="40" s="1"/>
  <c r="BL40" i="28"/>
  <c r="AN6" i="28" s="1"/>
  <c r="BD26" i="18"/>
  <c r="AG10" i="18" s="1"/>
  <c r="BD41" i="26"/>
  <c r="AI7" i="26" s="1"/>
  <c r="BL34" i="28"/>
  <c r="AM9" i="28" s="1"/>
  <c r="BD52" i="29"/>
  <c r="AJ9" i="29" s="1"/>
  <c r="BF35" i="25"/>
  <c r="BL35" i="25" s="1"/>
  <c r="AM10" i="25" s="1"/>
  <c r="AX35" i="25"/>
  <c r="BD35" i="25" s="1"/>
  <c r="AH10" i="25" s="1"/>
  <c r="AY25" i="30"/>
  <c r="BD25" i="30" s="1"/>
  <c r="AG9" i="30" s="1"/>
  <c r="BG25" i="30"/>
  <c r="BL25" i="30" s="1"/>
  <c r="AL9" i="30" s="1"/>
  <c r="BD36" i="27"/>
  <c r="AH11" i="27" s="1"/>
  <c r="AY43" i="16"/>
  <c r="BD43" i="16" s="1"/>
  <c r="AI9" i="16" s="1"/>
  <c r="BG43" i="16"/>
  <c r="BL43" i="16" s="1"/>
  <c r="AN9" i="16" s="1"/>
  <c r="AX53" i="17"/>
  <c r="BD53" i="17" s="1"/>
  <c r="AJ10" i="17" s="1"/>
  <c r="BF53" i="17"/>
  <c r="BL53" i="17" s="1"/>
  <c r="AO10" i="17" s="1"/>
  <c r="AZ32" i="35"/>
  <c r="BH32" i="35"/>
  <c r="AX45" i="11"/>
  <c r="BD45" i="11" s="1"/>
  <c r="AI11" i="11" s="1"/>
  <c r="BF45" i="11"/>
  <c r="BL45" i="11" s="1"/>
  <c r="AN11" i="11" s="1"/>
  <c r="BL22" i="13"/>
  <c r="AL6" i="13" s="1"/>
  <c r="AX31" i="17"/>
  <c r="BD31" i="17" s="1"/>
  <c r="AH6" i="17" s="1"/>
  <c r="BF31" i="17"/>
  <c r="BL31" i="17" s="1"/>
  <c r="AM6" i="17" s="1"/>
  <c r="AZ23" i="24"/>
  <c r="BH23" i="24"/>
  <c r="BD27" i="21"/>
  <c r="AG11" i="21" s="1"/>
  <c r="BH50" i="23"/>
  <c r="AZ50" i="23"/>
  <c r="BL22" i="41"/>
  <c r="AL6" i="41" s="1"/>
  <c r="BL44" i="13"/>
  <c r="AN10" i="13" s="1"/>
  <c r="BL27" i="40"/>
  <c r="AL11" i="40" s="1"/>
  <c r="AY22" i="20"/>
  <c r="BG22" i="20"/>
  <c r="BL36" i="15"/>
  <c r="AM11" i="15" s="1"/>
  <c r="BL33" i="29"/>
  <c r="AM8" i="29" s="1"/>
  <c r="BL52" i="20"/>
  <c r="AO9" i="20" s="1"/>
  <c r="AY33" i="30"/>
  <c r="BD33" i="30" s="1"/>
  <c r="AH8" i="30" s="1"/>
  <c r="BG33" i="30"/>
  <c r="BL33" i="30" s="1"/>
  <c r="AM8" i="30" s="1"/>
  <c r="BL53" i="19"/>
  <c r="AO10" i="19" s="1"/>
  <c r="AX52" i="35"/>
  <c r="BF52" i="35"/>
  <c r="BH33" i="18"/>
  <c r="BL33" i="18" s="1"/>
  <c r="AM8" i="18" s="1"/>
  <c r="AZ33" i="18"/>
  <c r="BD33" i="18" s="1"/>
  <c r="AH8" i="18" s="1"/>
  <c r="AX43" i="31"/>
  <c r="BD43" i="31" s="1"/>
  <c r="AI9" i="31" s="1"/>
  <c r="BF43" i="31"/>
  <c r="BL43" i="31" s="1"/>
  <c r="AN9" i="31" s="1"/>
  <c r="AX45" i="14"/>
  <c r="BD45" i="14" s="1"/>
  <c r="AI11" i="14" s="1"/>
  <c r="BF45" i="14"/>
  <c r="BL45" i="14" s="1"/>
  <c r="AN11" i="14" s="1"/>
  <c r="BL35" i="39"/>
  <c r="AM10" i="39" s="1"/>
  <c r="BL31" i="27"/>
  <c r="AM6" i="27" s="1"/>
  <c r="BD40" i="32"/>
  <c r="AI6" i="32" s="1"/>
  <c r="BF50" i="25"/>
  <c r="BL50" i="25" s="1"/>
  <c r="AO7" i="25" s="1"/>
  <c r="AX50" i="25"/>
  <c r="BD50" i="25" s="1"/>
  <c r="AJ7" i="25" s="1"/>
  <c r="BD22" i="32"/>
  <c r="AG6" i="32" s="1"/>
  <c r="AS6" i="32" s="1"/>
  <c r="BD36" i="34"/>
  <c r="AH11" i="34" s="1"/>
  <c r="BL35" i="15"/>
  <c r="AM10" i="15" s="1"/>
  <c r="BL27" i="29"/>
  <c r="AL11" i="29" s="1"/>
  <c r="BD35" i="40"/>
  <c r="AH10" i="40" s="1"/>
  <c r="BH41" i="35"/>
  <c r="AZ41" i="35"/>
  <c r="BL54" i="15"/>
  <c r="AO11" i="15" s="1"/>
  <c r="BD35" i="33"/>
  <c r="AH10" i="33" s="1"/>
  <c r="BD27" i="41"/>
  <c r="AG11" i="41" s="1"/>
  <c r="BL44" i="40"/>
  <c r="AN10" i="40" s="1"/>
  <c r="AX33" i="11"/>
  <c r="BD33" i="11" s="1"/>
  <c r="AH8" i="11" s="1"/>
  <c r="BF33" i="11"/>
  <c r="BL33" i="11" s="1"/>
  <c r="AM8" i="11" s="1"/>
  <c r="BH53" i="18"/>
  <c r="BL53" i="18" s="1"/>
  <c r="AO10" i="18" s="1"/>
  <c r="AZ53" i="18"/>
  <c r="BD53" i="18" s="1"/>
  <c r="AJ10" i="18" s="1"/>
  <c r="BD50" i="36"/>
  <c r="AJ7" i="36" s="1"/>
  <c r="BL51" i="19"/>
  <c r="AO8" i="19" s="1"/>
  <c r="BL54" i="12"/>
  <c r="AO11" i="12" s="1"/>
  <c r="AX41" i="42"/>
  <c r="BD41" i="42" s="1"/>
  <c r="AI7" i="42" s="1"/>
  <c r="BF41" i="42"/>
  <c r="BL41" i="42" s="1"/>
  <c r="AN7" i="42" s="1"/>
  <c r="BD45" i="33"/>
  <c r="AI11" i="33" s="1"/>
  <c r="BD49" i="16"/>
  <c r="AJ6" i="16" s="1"/>
  <c r="BL54" i="38"/>
  <c r="AO11" i="38" s="1"/>
  <c r="AY26" i="16"/>
  <c r="BG26" i="16"/>
  <c r="BD51" i="39"/>
  <c r="AJ8" i="39" s="1"/>
  <c r="AX53" i="11"/>
  <c r="BD53" i="11" s="1"/>
  <c r="AJ10" i="11" s="1"/>
  <c r="BF53" i="11"/>
  <c r="BL53" i="11" s="1"/>
  <c r="AO10" i="11" s="1"/>
  <c r="BL32" i="12"/>
  <c r="AM7" i="12" s="1"/>
  <c r="BL35" i="29"/>
  <c r="AM10" i="29" s="1"/>
  <c r="AX43" i="17"/>
  <c r="BD43" i="17" s="1"/>
  <c r="AI9" i="17" s="1"/>
  <c r="BF43" i="17"/>
  <c r="BL43" i="17" s="1"/>
  <c r="AN9" i="17" s="1"/>
  <c r="BD45" i="39"/>
  <c r="AI11" i="39" s="1"/>
  <c r="AX25" i="42"/>
  <c r="BD25" i="42" s="1"/>
  <c r="AG9" i="42" s="1"/>
  <c r="BF25" i="42"/>
  <c r="BL25" i="42" s="1"/>
  <c r="AL9" i="42" s="1"/>
  <c r="BH24" i="18"/>
  <c r="AZ24" i="18"/>
  <c r="BD24" i="18" s="1"/>
  <c r="AG8" i="18" s="1"/>
  <c r="AS8" i="18" s="1"/>
  <c r="BD52" i="34"/>
  <c r="AJ9" i="34" s="1"/>
  <c r="BL34" i="34"/>
  <c r="AM9" i="34" s="1"/>
  <c r="BD23" i="21"/>
  <c r="AG7" i="21" s="1"/>
  <c r="AZ40" i="24"/>
  <c r="BD40" i="24" s="1"/>
  <c r="AI6" i="24" s="1"/>
  <c r="BH40" i="24"/>
  <c r="BL40" i="24" s="1"/>
  <c r="AN6" i="24" s="1"/>
  <c r="BD24" i="12"/>
  <c r="AG8" i="12" s="1"/>
  <c r="AX26" i="35"/>
  <c r="BF26" i="35"/>
  <c r="BH40" i="18"/>
  <c r="AZ40" i="18"/>
  <c r="BD31" i="39"/>
  <c r="AH6" i="39" s="1"/>
  <c r="BL22" i="28"/>
  <c r="AL6" i="28" s="1"/>
  <c r="BL40" i="34"/>
  <c r="AN6" i="34" s="1"/>
  <c r="BL34" i="26"/>
  <c r="AM9" i="26" s="1"/>
  <c r="BL22" i="19"/>
  <c r="AL6" i="19" s="1"/>
  <c r="BD23" i="24"/>
  <c r="AG7" i="24" s="1"/>
  <c r="BD32" i="39"/>
  <c r="AH7" i="39" s="1"/>
  <c r="BD22" i="39"/>
  <c r="AG6" i="39" s="1"/>
  <c r="AS6" i="39" s="1"/>
  <c r="BG41" i="20"/>
  <c r="AY41" i="20"/>
  <c r="BD41" i="20" s="1"/>
  <c r="AI7" i="20" s="1"/>
  <c r="AY34" i="20"/>
  <c r="BG34" i="20"/>
  <c r="BD33" i="12"/>
  <c r="AH8" i="12" s="1"/>
  <c r="AY49" i="20"/>
  <c r="BD49" i="20" s="1"/>
  <c r="AJ6" i="20" s="1"/>
  <c r="BG49" i="20"/>
  <c r="BL49" i="20" s="1"/>
  <c r="AO6" i="20" s="1"/>
  <c r="BL53" i="34"/>
  <c r="AO10" i="34" s="1"/>
  <c r="BB24" i="19"/>
  <c r="BD24" i="19" s="1"/>
  <c r="AG8" i="19" s="1"/>
  <c r="AS8" i="19" s="1"/>
  <c r="BJ24" i="19"/>
  <c r="BL24" i="19" s="1"/>
  <c r="AL8" i="19" s="1"/>
  <c r="AX45" i="35"/>
  <c r="BF45" i="35"/>
  <c r="BA25" i="22"/>
  <c r="BD25" i="22" s="1"/>
  <c r="AG9" i="22" s="1"/>
  <c r="BI25" i="22"/>
  <c r="BL25" i="22" s="1"/>
  <c r="AL9" i="22" s="1"/>
  <c r="BD24" i="41"/>
  <c r="AG8" i="41" s="1"/>
  <c r="BL45" i="29"/>
  <c r="AN11" i="29" s="1"/>
  <c r="AY43" i="30"/>
  <c r="BD43" i="30" s="1"/>
  <c r="AI9" i="30" s="1"/>
  <c r="BG43" i="30"/>
  <c r="BL43" i="30" s="1"/>
  <c r="AN9" i="30" s="1"/>
  <c r="BL22" i="26"/>
  <c r="AL6" i="26" s="1"/>
  <c r="AY32" i="16"/>
  <c r="BG32" i="16"/>
  <c r="BD43" i="41"/>
  <c r="AI9" i="41" s="1"/>
  <c r="BD54" i="33"/>
  <c r="AJ11" i="33" s="1"/>
  <c r="BB35" i="27"/>
  <c r="BJ35" i="27"/>
  <c r="AX23" i="25"/>
  <c r="BD23" i="25" s="1"/>
  <c r="AG7" i="25" s="1"/>
  <c r="BF23" i="25"/>
  <c r="BL23" i="25" s="1"/>
  <c r="AL7" i="25" s="1"/>
  <c r="BA45" i="22"/>
  <c r="BI45" i="22"/>
  <c r="BJ52" i="19"/>
  <c r="BL52" i="19" s="1"/>
  <c r="AO9" i="19" s="1"/>
  <c r="BB52" i="19"/>
  <c r="BD52" i="19" s="1"/>
  <c r="AJ9" i="19" s="1"/>
  <c r="BL49" i="18"/>
  <c r="AO6" i="18" s="1"/>
  <c r="BD53" i="12"/>
  <c r="AJ10" i="12" s="1"/>
  <c r="BD50" i="40"/>
  <c r="AJ7" i="40" s="1"/>
  <c r="BD51" i="16"/>
  <c r="AJ8" i="16" s="1"/>
  <c r="AJ140" i="6"/>
  <c r="AI140" i="6"/>
  <c r="AK140" i="6"/>
  <c r="AK174" i="6"/>
  <c r="AJ174" i="6"/>
  <c r="AI174" i="6"/>
  <c r="A345" i="61"/>
  <c r="AK96" i="6"/>
  <c r="AJ96" i="6"/>
  <c r="AI96" i="6"/>
  <c r="A361" i="61"/>
  <c r="AJ100" i="6"/>
  <c r="AI100" i="6"/>
  <c r="AK100" i="6"/>
  <c r="AK166" i="6"/>
  <c r="AJ166" i="6"/>
  <c r="AI166" i="6"/>
  <c r="A185" i="61"/>
  <c r="AK56" i="6"/>
  <c r="AJ56" i="6"/>
  <c r="AI56" i="6"/>
  <c r="A457" i="61"/>
  <c r="AJ124" i="6"/>
  <c r="AI124" i="6"/>
  <c r="AK124" i="6"/>
  <c r="AI191" i="6"/>
  <c r="AK191" i="6"/>
  <c r="AJ191" i="6"/>
  <c r="AK144" i="6"/>
  <c r="AJ144" i="6"/>
  <c r="AI144" i="6"/>
  <c r="AJ148" i="6"/>
  <c r="AI148" i="6"/>
  <c r="AK148" i="6"/>
  <c r="A257" i="61"/>
  <c r="AK74" i="6"/>
  <c r="AJ74" i="6"/>
  <c r="AI74" i="6"/>
  <c r="AK168" i="6"/>
  <c r="AJ168" i="6"/>
  <c r="AI168" i="6"/>
  <c r="A269" i="61"/>
  <c r="AK77" i="6"/>
  <c r="AJ77" i="6"/>
  <c r="AI77" i="6"/>
  <c r="AK141" i="6"/>
  <c r="AJ141" i="6"/>
  <c r="AI141" i="6"/>
  <c r="A261" i="61"/>
  <c r="AK75" i="6"/>
  <c r="AJ75" i="6"/>
  <c r="AI75" i="6"/>
  <c r="AK139" i="6"/>
  <c r="AJ139" i="6"/>
  <c r="AI139" i="6"/>
  <c r="A189" i="61"/>
  <c r="AK57" i="6"/>
  <c r="AJ57" i="6"/>
  <c r="AI57" i="6"/>
  <c r="A445" i="61"/>
  <c r="AK121" i="6"/>
  <c r="AJ121" i="6"/>
  <c r="AI121" i="6"/>
  <c r="AK185" i="6"/>
  <c r="AJ185" i="6"/>
  <c r="AI185" i="6"/>
  <c r="A309" i="61"/>
  <c r="AI87" i="6"/>
  <c r="AK87" i="6"/>
  <c r="AJ87" i="6"/>
  <c r="AI151" i="6"/>
  <c r="AK151" i="6"/>
  <c r="AJ151" i="6"/>
  <c r="BL24" i="18"/>
  <c r="AL8" i="18" s="1"/>
  <c r="BD34" i="32"/>
  <c r="AH9" i="32" s="1"/>
  <c r="BG53" i="23"/>
  <c r="AY53" i="23"/>
  <c r="BD53" i="23" s="1"/>
  <c r="AJ10" i="23" s="1"/>
  <c r="BL36" i="28"/>
  <c r="AM11" i="28" s="1"/>
  <c r="BB25" i="27"/>
  <c r="BJ25" i="27"/>
  <c r="BL40" i="41"/>
  <c r="AN6" i="41" s="1"/>
  <c r="BL23" i="22"/>
  <c r="AL7" i="22" s="1"/>
  <c r="BD41" i="16"/>
  <c r="AI7" i="16" s="1"/>
  <c r="BL35" i="13"/>
  <c r="AM10" i="13" s="1"/>
  <c r="BD24" i="13"/>
  <c r="AG8" i="13" s="1"/>
  <c r="BD25" i="38"/>
  <c r="AG9" i="38" s="1"/>
  <c r="BL35" i="18"/>
  <c r="AM10" i="18" s="1"/>
  <c r="BD50" i="39"/>
  <c r="AJ7" i="39" s="1"/>
  <c r="AZ27" i="26"/>
  <c r="BH27" i="26"/>
  <c r="BL49" i="28"/>
  <c r="AO6" i="28" s="1"/>
  <c r="BL52" i="13"/>
  <c r="AO9" i="13" s="1"/>
  <c r="AZ43" i="26"/>
  <c r="BH43" i="26"/>
  <c r="BL54" i="34"/>
  <c r="AO11" i="34" s="1"/>
  <c r="BD41" i="13"/>
  <c r="AI7" i="13" s="1"/>
  <c r="BG32" i="23"/>
  <c r="AY32" i="23"/>
  <c r="BL22" i="12"/>
  <c r="AL6" i="12" s="1"/>
  <c r="BL43" i="24"/>
  <c r="AN9" i="24" s="1"/>
  <c r="AY53" i="16"/>
  <c r="BD53" i="16" s="1"/>
  <c r="AJ10" i="16" s="1"/>
  <c r="BG53" i="16"/>
  <c r="BL53" i="16" s="1"/>
  <c r="AO10" i="16" s="1"/>
  <c r="BL43" i="29"/>
  <c r="AN9" i="29" s="1"/>
  <c r="BD22" i="20"/>
  <c r="AG6" i="20" s="1"/>
  <c r="BL43" i="26"/>
  <c r="AN9" i="26" s="1"/>
  <c r="AX52" i="42"/>
  <c r="BD52" i="42" s="1"/>
  <c r="AJ9" i="42" s="1"/>
  <c r="BF52" i="42"/>
  <c r="BL52" i="42" s="1"/>
  <c r="AO9" i="42" s="1"/>
  <c r="BD45" i="15"/>
  <c r="AI11" i="15" s="1"/>
  <c r="AX51" i="14"/>
  <c r="BD51" i="14" s="1"/>
  <c r="AJ8" i="14" s="1"/>
  <c r="BF51" i="14"/>
  <c r="BL51" i="14" s="1"/>
  <c r="AO8" i="14" s="1"/>
  <c r="BD50" i="29"/>
  <c r="AJ7" i="29" s="1"/>
  <c r="BD26" i="36"/>
  <c r="AG10" i="36" s="1"/>
  <c r="BA34" i="22"/>
  <c r="BD34" i="22" s="1"/>
  <c r="AH9" i="22" s="1"/>
  <c r="BI34" i="22"/>
  <c r="BD33" i="19"/>
  <c r="AH8" i="19" s="1"/>
  <c r="BF31" i="14"/>
  <c r="BL31" i="14" s="1"/>
  <c r="AM6" i="14" s="1"/>
  <c r="AX31" i="14"/>
  <c r="BD31" i="14" s="1"/>
  <c r="AH6" i="14" s="1"/>
  <c r="BB41" i="27"/>
  <c r="BJ41" i="27"/>
  <c r="BD49" i="22"/>
  <c r="AJ6" i="22" s="1"/>
  <c r="BD34" i="15"/>
  <c r="AH9" i="15" s="1"/>
  <c r="BD40" i="22"/>
  <c r="AI6" i="22" s="1"/>
  <c r="AZ36" i="26"/>
  <c r="BH36" i="26"/>
  <c r="BD31" i="40"/>
  <c r="AH6" i="40" s="1"/>
  <c r="BL33" i="38"/>
  <c r="AM8" i="38" s="1"/>
  <c r="BL53" i="15"/>
  <c r="AO10" i="15" s="1"/>
  <c r="BL34" i="33"/>
  <c r="AM9" i="33" s="1"/>
  <c r="BL52" i="28"/>
  <c r="AO9" i="28" s="1"/>
  <c r="BL27" i="36"/>
  <c r="AL11" i="36" s="1"/>
  <c r="BD51" i="36"/>
  <c r="AJ8" i="36" s="1"/>
  <c r="BL25" i="12"/>
  <c r="AL9" i="12" s="1"/>
  <c r="BL54" i="40"/>
  <c r="AO11" i="40" s="1"/>
  <c r="BD40" i="28"/>
  <c r="AI6" i="28" s="1"/>
  <c r="H37" i="61"/>
  <c r="H89" i="61"/>
  <c r="AJ19" i="6"/>
  <c r="AJ32" i="6"/>
  <c r="H121" i="61"/>
  <c r="AJ40" i="6"/>
  <c r="BL26" i="18"/>
  <c r="AL10" i="18" s="1"/>
  <c r="AY53" i="30"/>
  <c r="BD53" i="30" s="1"/>
  <c r="AJ10" i="30" s="1"/>
  <c r="BG53" i="30"/>
  <c r="BL53" i="30" s="1"/>
  <c r="AO10" i="30" s="1"/>
  <c r="BL34" i="39"/>
  <c r="AM9" i="39" s="1"/>
  <c r="BL34" i="24"/>
  <c r="AM9" i="24" s="1"/>
  <c r="BB52" i="27"/>
  <c r="BJ52" i="27"/>
  <c r="AX22" i="31"/>
  <c r="BD22" i="31" s="1"/>
  <c r="AG6" i="31" s="1"/>
  <c r="BF22" i="31"/>
  <c r="BL22" i="31" s="1"/>
  <c r="AL6" i="31" s="1"/>
  <c r="AY22" i="30"/>
  <c r="BD22" i="30" s="1"/>
  <c r="AG6" i="30" s="1"/>
  <c r="BG22" i="30"/>
  <c r="BL22" i="30" s="1"/>
  <c r="AL6" i="30" s="1"/>
  <c r="BD42" i="40"/>
  <c r="AI8" i="40" s="1"/>
  <c r="AY40" i="16"/>
  <c r="BG40" i="16"/>
  <c r="AX50" i="17"/>
  <c r="BD50" i="17" s="1"/>
  <c r="AJ7" i="17" s="1"/>
  <c r="BF50" i="17"/>
  <c r="BL50" i="17" s="1"/>
  <c r="AO7" i="17" s="1"/>
  <c r="BL23" i="15"/>
  <c r="AL7" i="15" s="1"/>
  <c r="BH34" i="35"/>
  <c r="AZ34" i="35"/>
  <c r="AX42" i="11"/>
  <c r="BD42" i="11" s="1"/>
  <c r="AI8" i="11" s="1"/>
  <c r="BF42" i="11"/>
  <c r="BL42" i="11" s="1"/>
  <c r="AN8" i="11" s="1"/>
  <c r="BD22" i="13"/>
  <c r="AG6" i="13" s="1"/>
  <c r="AS6" i="13" s="1"/>
  <c r="AX36" i="17"/>
  <c r="BD36" i="17" s="1"/>
  <c r="AH11" i="17" s="1"/>
  <c r="BF36" i="17"/>
  <c r="BL36" i="17" s="1"/>
  <c r="AM11" i="17" s="1"/>
  <c r="AZ25" i="24"/>
  <c r="BD25" i="24" s="1"/>
  <c r="AG9" i="24" s="1"/>
  <c r="AS9" i="24" s="1"/>
  <c r="BH25" i="24"/>
  <c r="BL25" i="24" s="1"/>
  <c r="AL9" i="24" s="1"/>
  <c r="BA54" i="22"/>
  <c r="BI54" i="22"/>
  <c r="BJ45" i="19"/>
  <c r="BL45" i="19" s="1"/>
  <c r="AN11" i="19" s="1"/>
  <c r="BB45" i="19"/>
  <c r="BD45" i="19" s="1"/>
  <c r="AI11" i="19" s="1"/>
  <c r="AZ49" i="23"/>
  <c r="BH49" i="23"/>
  <c r="BD22" i="41"/>
  <c r="AG6" i="41" s="1"/>
  <c r="BD44" i="13"/>
  <c r="AI10" i="13" s="1"/>
  <c r="BD27" i="40"/>
  <c r="AG11" i="40" s="1"/>
  <c r="AY27" i="20"/>
  <c r="BG27" i="20"/>
  <c r="BD36" i="15"/>
  <c r="AH11" i="15" s="1"/>
  <c r="BD27" i="34"/>
  <c r="AG11" i="34" s="1"/>
  <c r="AZ31" i="24"/>
  <c r="BH31" i="24"/>
  <c r="BD52" i="20"/>
  <c r="AJ9" i="20" s="1"/>
  <c r="BG35" i="30"/>
  <c r="BL35" i="30" s="1"/>
  <c r="AM10" i="30" s="1"/>
  <c r="AY35" i="30"/>
  <c r="BD35" i="30" s="1"/>
  <c r="AH10" i="30" s="1"/>
  <c r="BD53" i="19"/>
  <c r="AJ10" i="19" s="1"/>
  <c r="AX49" i="35"/>
  <c r="BF49" i="35"/>
  <c r="AZ34" i="18"/>
  <c r="BH34" i="18"/>
  <c r="BL34" i="18" s="1"/>
  <c r="AM9" i="18" s="1"/>
  <c r="AX40" i="31"/>
  <c r="BD40" i="31" s="1"/>
  <c r="AI6" i="31" s="1"/>
  <c r="BF40" i="31"/>
  <c r="BL40" i="31" s="1"/>
  <c r="AN6" i="31" s="1"/>
  <c r="AX42" i="14"/>
  <c r="BD42" i="14" s="1"/>
  <c r="AI8" i="14" s="1"/>
  <c r="BF42" i="14"/>
  <c r="BL42" i="14" s="1"/>
  <c r="AN8" i="14" s="1"/>
  <c r="BF41" i="25"/>
  <c r="BL41" i="25" s="1"/>
  <c r="AN7" i="25" s="1"/>
  <c r="AX41" i="25"/>
  <c r="BD41" i="25" s="1"/>
  <c r="AI7" i="25" s="1"/>
  <c r="BD35" i="39"/>
  <c r="AH10" i="39" s="1"/>
  <c r="BL45" i="40"/>
  <c r="AN11" i="40" s="1"/>
  <c r="BD31" i="27"/>
  <c r="AH6" i="27" s="1"/>
  <c r="AX52" i="25"/>
  <c r="BD52" i="25" s="1"/>
  <c r="AJ9" i="25" s="1"/>
  <c r="BF52" i="25"/>
  <c r="BL52" i="25" s="1"/>
  <c r="AO9" i="25" s="1"/>
  <c r="AZ51" i="26"/>
  <c r="BH51" i="26"/>
  <c r="BL24" i="38"/>
  <c r="AL8" i="38" s="1"/>
  <c r="BD35" i="15"/>
  <c r="AH10" i="15" s="1"/>
  <c r="BD27" i="29"/>
  <c r="AG11" i="29" s="1"/>
  <c r="BL35" i="40"/>
  <c r="AM10" i="40" s="1"/>
  <c r="AZ43" i="35"/>
  <c r="BH43" i="35"/>
  <c r="BD54" i="15"/>
  <c r="AJ11" i="15" s="1"/>
  <c r="BL35" i="33"/>
  <c r="AM10" i="33" s="1"/>
  <c r="BL27" i="41"/>
  <c r="AL11" i="41" s="1"/>
  <c r="BD44" i="40"/>
  <c r="AI10" i="40" s="1"/>
  <c r="AX35" i="11"/>
  <c r="BD35" i="11" s="1"/>
  <c r="AH10" i="11" s="1"/>
  <c r="BF35" i="11"/>
  <c r="BL35" i="11" s="1"/>
  <c r="AM10" i="11" s="1"/>
  <c r="AZ50" i="18"/>
  <c r="BD50" i="18" s="1"/>
  <c r="AJ7" i="18" s="1"/>
  <c r="BH50" i="18"/>
  <c r="BL50" i="18" s="1"/>
  <c r="AO7" i="18" s="1"/>
  <c r="BL50" i="36"/>
  <c r="AO7" i="36" s="1"/>
  <c r="BD51" i="19"/>
  <c r="AJ8" i="19" s="1"/>
  <c r="BD54" i="12"/>
  <c r="AJ11" i="12" s="1"/>
  <c r="AX45" i="42"/>
  <c r="BD45" i="42" s="1"/>
  <c r="AI11" i="42" s="1"/>
  <c r="BF45" i="42"/>
  <c r="BL45" i="42" s="1"/>
  <c r="AN11" i="42" s="1"/>
  <c r="BL41" i="29"/>
  <c r="AN7" i="29" s="1"/>
  <c r="BD54" i="38"/>
  <c r="AJ11" i="38" s="1"/>
  <c r="AS7" i="10"/>
  <c r="AX34" i="42"/>
  <c r="BD34" i="42" s="1"/>
  <c r="AH9" i="42" s="1"/>
  <c r="BF34" i="42"/>
  <c r="BL34" i="42" s="1"/>
  <c r="AM9" i="42" s="1"/>
  <c r="BL36" i="39"/>
  <c r="AM11" i="39" s="1"/>
  <c r="BL45" i="36"/>
  <c r="AN11" i="36" s="1"/>
  <c r="BL36" i="13"/>
  <c r="AM11" i="13" s="1"/>
  <c r="BL23" i="13"/>
  <c r="AL7" i="13" s="1"/>
  <c r="AX50" i="11"/>
  <c r="BD50" i="11" s="1"/>
  <c r="AJ7" i="11" s="1"/>
  <c r="BF50" i="11"/>
  <c r="BL50" i="11" s="1"/>
  <c r="AO7" i="11" s="1"/>
  <c r="BD32" i="12"/>
  <c r="AH7" i="12" s="1"/>
  <c r="BD35" i="29"/>
  <c r="AH10" i="29" s="1"/>
  <c r="BF40" i="17"/>
  <c r="BL40" i="17" s="1"/>
  <c r="AN6" i="17" s="1"/>
  <c r="AX40" i="17"/>
  <c r="BD40" i="17" s="1"/>
  <c r="AI6" i="17" s="1"/>
  <c r="BL45" i="39"/>
  <c r="AN11" i="39" s="1"/>
  <c r="AX22" i="42"/>
  <c r="BD22" i="42" s="1"/>
  <c r="AG6" i="42" s="1"/>
  <c r="BF22" i="42"/>
  <c r="BL22" i="42" s="1"/>
  <c r="AL6" i="42" s="1"/>
  <c r="AZ27" i="18"/>
  <c r="BD27" i="18" s="1"/>
  <c r="AG11" i="18" s="1"/>
  <c r="BH27" i="18"/>
  <c r="BL27" i="18" s="1"/>
  <c r="AL11" i="18" s="1"/>
  <c r="BL22" i="38"/>
  <c r="AL6" i="38" s="1"/>
  <c r="BL31" i="26"/>
  <c r="AM6" i="26" s="1"/>
  <c r="AZ45" i="24"/>
  <c r="BH45" i="24"/>
  <c r="BL44" i="28"/>
  <c r="AN10" i="28" s="1"/>
  <c r="BG40" i="23"/>
  <c r="AY40" i="23"/>
  <c r="AX23" i="35"/>
  <c r="BF23" i="35"/>
  <c r="BL23" i="35" s="1"/>
  <c r="AL7" i="35" s="1"/>
  <c r="BL42" i="19"/>
  <c r="AN8" i="19" s="1"/>
  <c r="BH44" i="18"/>
  <c r="BL44" i="18" s="1"/>
  <c r="AN10" i="18" s="1"/>
  <c r="AZ44" i="18"/>
  <c r="BD44" i="18" s="1"/>
  <c r="AI10" i="18" s="1"/>
  <c r="BD22" i="28"/>
  <c r="AG6" i="28" s="1"/>
  <c r="BD40" i="34"/>
  <c r="AI6" i="34" s="1"/>
  <c r="AZ23" i="35"/>
  <c r="BH23" i="35"/>
  <c r="BD34" i="26"/>
  <c r="AH9" i="26" s="1"/>
  <c r="BD22" i="19"/>
  <c r="AG6" i="19" s="1"/>
  <c r="BL22" i="22"/>
  <c r="AL6" i="22" s="1"/>
  <c r="BL26" i="16"/>
  <c r="AL10" i="16" s="1"/>
  <c r="BL40" i="16"/>
  <c r="AN6" i="16" s="1"/>
  <c r="AY40" i="20"/>
  <c r="BG40" i="20"/>
  <c r="AY31" i="20"/>
  <c r="BD31" i="20" s="1"/>
  <c r="AH6" i="20" s="1"/>
  <c r="BG31" i="20"/>
  <c r="BL31" i="20" s="1"/>
  <c r="AM6" i="20" s="1"/>
  <c r="BD34" i="18"/>
  <c r="AH9" i="18" s="1"/>
  <c r="BL33" i="12"/>
  <c r="AM8" i="12" s="1"/>
  <c r="BG51" i="20"/>
  <c r="AY51" i="20"/>
  <c r="BD51" i="20" s="1"/>
  <c r="AJ8" i="20" s="1"/>
  <c r="BL36" i="29"/>
  <c r="AM11" i="29" s="1"/>
  <c r="BD53" i="34"/>
  <c r="AJ10" i="34" s="1"/>
  <c r="BB26" i="19"/>
  <c r="BJ26" i="19"/>
  <c r="AX42" i="35"/>
  <c r="BD42" i="35" s="1"/>
  <c r="AI8" i="35" s="1"/>
  <c r="BF42" i="35"/>
  <c r="BL42" i="35" s="1"/>
  <c r="AN8" i="35" s="1"/>
  <c r="BA22" i="22"/>
  <c r="BI22" i="22"/>
  <c r="BL24" i="41"/>
  <c r="AL8" i="41" s="1"/>
  <c r="BL50" i="34"/>
  <c r="AO7" i="34" s="1"/>
  <c r="AZ23" i="23"/>
  <c r="BH23" i="23"/>
  <c r="BD45" i="29"/>
  <c r="AI11" i="29" s="1"/>
  <c r="AY40" i="30"/>
  <c r="BD40" i="30" s="1"/>
  <c r="AI6" i="30" s="1"/>
  <c r="BG40" i="30"/>
  <c r="BL40" i="30" s="1"/>
  <c r="AN6" i="30" s="1"/>
  <c r="BD22" i="26"/>
  <c r="AG6" i="26" s="1"/>
  <c r="AY34" i="16"/>
  <c r="BD34" i="16" s="1"/>
  <c r="AH9" i="16" s="1"/>
  <c r="BG34" i="16"/>
  <c r="BL34" i="16" s="1"/>
  <c r="AM9" i="16" s="1"/>
  <c r="BL25" i="39"/>
  <c r="AL9" i="39" s="1"/>
  <c r="BF22" i="25"/>
  <c r="BL22" i="25" s="1"/>
  <c r="AL6" i="25" s="1"/>
  <c r="AX22" i="25"/>
  <c r="BD22" i="25" s="1"/>
  <c r="AG6" i="25" s="1"/>
  <c r="BA42" i="22"/>
  <c r="BI42" i="22"/>
  <c r="BB49" i="19"/>
  <c r="BD49" i="19" s="1"/>
  <c r="AJ6" i="19" s="1"/>
  <c r="BJ49" i="19"/>
  <c r="BL49" i="19" s="1"/>
  <c r="AO6" i="19" s="1"/>
  <c r="BD26" i="29"/>
  <c r="AG10" i="29" s="1"/>
  <c r="AX32" i="31"/>
  <c r="BD32" i="31" s="1"/>
  <c r="AH7" i="31" s="1"/>
  <c r="BF32" i="31"/>
  <c r="BL32" i="31" s="1"/>
  <c r="AM7" i="31" s="1"/>
  <c r="BL42" i="28"/>
  <c r="AN8" i="28" s="1"/>
  <c r="A393" i="61"/>
  <c r="AJ108" i="6"/>
  <c r="AI108" i="6"/>
  <c r="AK108" i="6"/>
  <c r="AK142" i="6"/>
  <c r="AJ142" i="6"/>
  <c r="AI142" i="6"/>
  <c r="A217" i="61"/>
  <c r="AK64" i="6"/>
  <c r="AJ64" i="6"/>
  <c r="AI64" i="6"/>
  <c r="A233" i="61"/>
  <c r="AJ68" i="6"/>
  <c r="AI68" i="6"/>
  <c r="AK68" i="6"/>
  <c r="A497" i="61"/>
  <c r="AK134" i="6"/>
  <c r="AJ134" i="6"/>
  <c r="AI134" i="6"/>
  <c r="A329" i="61"/>
  <c r="AJ92" i="6"/>
  <c r="AI92" i="6"/>
  <c r="AK92" i="6"/>
  <c r="AK190" i="6"/>
  <c r="AJ190" i="6"/>
  <c r="AI190" i="6"/>
  <c r="A409" i="61"/>
  <c r="AK112" i="6"/>
  <c r="AJ112" i="6"/>
  <c r="AI112" i="6"/>
  <c r="A425" i="61"/>
  <c r="AJ116" i="6"/>
  <c r="AI116" i="6"/>
  <c r="AK116" i="6"/>
  <c r="A505" i="61"/>
  <c r="AK136" i="6"/>
  <c r="AJ136" i="6"/>
  <c r="AI136" i="6"/>
  <c r="A301" i="61"/>
  <c r="AK85" i="6"/>
  <c r="AJ85" i="6"/>
  <c r="AI85" i="6"/>
  <c r="AK149" i="6"/>
  <c r="AJ149" i="6"/>
  <c r="AI149" i="6"/>
  <c r="A293" i="61"/>
  <c r="AK83" i="6"/>
  <c r="AJ83" i="6"/>
  <c r="AI83" i="6"/>
  <c r="AK147" i="6"/>
  <c r="AJ147" i="6"/>
  <c r="AI147" i="6"/>
  <c r="A221" i="61"/>
  <c r="AK65" i="6"/>
  <c r="AJ65" i="6"/>
  <c r="AI65" i="6"/>
  <c r="A477" i="61"/>
  <c r="AK129" i="6"/>
  <c r="AJ129" i="6"/>
  <c r="AI129" i="6"/>
  <c r="AK193" i="6"/>
  <c r="AJ193" i="6"/>
  <c r="AI193" i="6"/>
  <c r="A341" i="61"/>
  <c r="AI95" i="6"/>
  <c r="AK95" i="6"/>
  <c r="AJ95" i="6"/>
  <c r="AI159" i="6"/>
  <c r="AK159" i="6"/>
  <c r="AJ159" i="6"/>
  <c r="BL34" i="32"/>
  <c r="AM9" i="32" s="1"/>
  <c r="AY50" i="23"/>
  <c r="BG50" i="23"/>
  <c r="BD36" i="28"/>
  <c r="AH11" i="28" s="1"/>
  <c r="BB22" i="27"/>
  <c r="BJ22" i="27"/>
  <c r="BD40" i="41"/>
  <c r="AI6" i="41" s="1"/>
  <c r="BD23" i="22"/>
  <c r="AG7" i="22" s="1"/>
  <c r="BL41" i="16"/>
  <c r="AN7" i="16" s="1"/>
  <c r="BD35" i="13"/>
  <c r="AH10" i="13" s="1"/>
  <c r="AZ24" i="26"/>
  <c r="BH24" i="26"/>
  <c r="BL31" i="15"/>
  <c r="AM6" i="15" s="1"/>
  <c r="BD49" i="28"/>
  <c r="AJ6" i="28" s="1"/>
  <c r="BD52" i="13"/>
  <c r="AJ9" i="13" s="1"/>
  <c r="BH40" i="26"/>
  <c r="BL40" i="26" s="1"/>
  <c r="AN6" i="26" s="1"/>
  <c r="AZ40" i="26"/>
  <c r="BD40" i="26" s="1"/>
  <c r="AI6" i="26" s="1"/>
  <c r="BD54" i="34"/>
  <c r="AJ11" i="34" s="1"/>
  <c r="AY33" i="23"/>
  <c r="BD33" i="23" s="1"/>
  <c r="AH8" i="23" s="1"/>
  <c r="BG33" i="23"/>
  <c r="BL33" i="23" s="1"/>
  <c r="AM8" i="23" s="1"/>
  <c r="BD22" i="12"/>
  <c r="AG6" i="12" s="1"/>
  <c r="BD43" i="24"/>
  <c r="AI9" i="24" s="1"/>
  <c r="AY50" i="16"/>
  <c r="BG50" i="16"/>
  <c r="BD43" i="29"/>
  <c r="AI9" i="29" s="1"/>
  <c r="D3" i="60"/>
  <c r="BD22" i="18"/>
  <c r="AG6" i="18" s="1"/>
  <c r="BD43" i="26"/>
  <c r="AI9" i="26" s="1"/>
  <c r="AX34" i="35"/>
  <c r="BD34" i="35" s="1"/>
  <c r="AH9" i="35" s="1"/>
  <c r="BF34" i="35"/>
  <c r="BL34" i="35" s="1"/>
  <c r="AM9" i="35" s="1"/>
  <c r="BF49" i="42"/>
  <c r="BL49" i="42" s="1"/>
  <c r="AO6" i="42" s="1"/>
  <c r="AX49" i="42"/>
  <c r="BD49" i="42" s="1"/>
  <c r="AJ6" i="42" s="1"/>
  <c r="BL45" i="15"/>
  <c r="AN11" i="15" s="1"/>
  <c r="BF53" i="14"/>
  <c r="BL53" i="14" s="1"/>
  <c r="AO10" i="14" s="1"/>
  <c r="AX53" i="14"/>
  <c r="BD53" i="14" s="1"/>
  <c r="AJ10" i="14" s="1"/>
  <c r="BL41" i="40"/>
  <c r="AN7" i="40" s="1"/>
  <c r="BD43" i="32"/>
  <c r="AI9" i="32" s="1"/>
  <c r="BL52" i="33"/>
  <c r="AO9" i="33" s="1"/>
  <c r="BL26" i="39"/>
  <c r="AL10" i="39" s="1"/>
  <c r="BA31" i="22"/>
  <c r="BI31" i="22"/>
  <c r="BL31" i="22" s="1"/>
  <c r="AM6" i="22" s="1"/>
  <c r="AX36" i="14"/>
  <c r="BD36" i="14" s="1"/>
  <c r="AH11" i="14" s="1"/>
  <c r="BF36" i="14"/>
  <c r="BL36" i="14" s="1"/>
  <c r="AM11" i="14" s="1"/>
  <c r="BL27" i="13"/>
  <c r="AL11" i="13" s="1"/>
  <c r="BB43" i="27"/>
  <c r="BD43" i="27" s="1"/>
  <c r="AI9" i="27" s="1"/>
  <c r="BJ43" i="27"/>
  <c r="BL43" i="27" s="1"/>
  <c r="AN9" i="27" s="1"/>
  <c r="AX24" i="17"/>
  <c r="BD24" i="17" s="1"/>
  <c r="AG8" i="17" s="1"/>
  <c r="BF24" i="17"/>
  <c r="BL24" i="17" s="1"/>
  <c r="AL8" i="17" s="1"/>
  <c r="BL31" i="21"/>
  <c r="AM6" i="21" s="1"/>
  <c r="BH33" i="26"/>
  <c r="AZ33" i="26"/>
  <c r="BL31" i="40"/>
  <c r="AM6" i="40" s="1"/>
  <c r="BD33" i="38"/>
  <c r="AH8" i="38" s="1"/>
  <c r="BD53" i="15"/>
  <c r="AJ10" i="15" s="1"/>
  <c r="BD34" i="33"/>
  <c r="AH9" i="33" s="1"/>
  <c r="BD52" i="28"/>
  <c r="AJ9" i="28" s="1"/>
  <c r="BD27" i="36"/>
  <c r="AG11" i="36" s="1"/>
  <c r="BL51" i="36"/>
  <c r="AO8" i="36" s="1"/>
  <c r="BD25" i="12"/>
  <c r="AG9" i="12" s="1"/>
  <c r="H149" i="61"/>
  <c r="AJ47" i="6"/>
  <c r="H173" i="61"/>
  <c r="H165" i="61"/>
  <c r="H85" i="61"/>
  <c r="H69" i="61"/>
  <c r="H53" i="61"/>
  <c r="H125" i="61"/>
  <c r="H57" i="61"/>
  <c r="H41" i="61"/>
  <c r="AJ31" i="6"/>
  <c r="AJ24" i="6"/>
  <c r="AJ23" i="6"/>
  <c r="AJ20" i="6"/>
  <c r="AJ27" i="6"/>
  <c r="AJ53" i="6"/>
  <c r="AJ51" i="6"/>
  <c r="AJ41" i="6"/>
  <c r="H137" i="61"/>
  <c r="AJ44" i="6"/>
  <c r="BL44" i="27"/>
  <c r="AN10" i="27" s="1"/>
  <c r="AY50" i="30"/>
  <c r="BD50" i="30" s="1"/>
  <c r="AJ7" i="30" s="1"/>
  <c r="BG50" i="30"/>
  <c r="BD34" i="39"/>
  <c r="AH9" i="39" s="1"/>
  <c r="BD34" i="24"/>
  <c r="AH9" i="24" s="1"/>
  <c r="BJ49" i="27"/>
  <c r="BL49" i="27" s="1"/>
  <c r="AO6" i="27" s="1"/>
  <c r="BB49" i="27"/>
  <c r="BD49" i="27" s="1"/>
  <c r="AJ6" i="27" s="1"/>
  <c r="AX25" i="31"/>
  <c r="BD25" i="31" s="1"/>
  <c r="AG9" i="31" s="1"/>
  <c r="BF25" i="31"/>
  <c r="BL25" i="31" s="1"/>
  <c r="AL9" i="31" s="1"/>
  <c r="AY27" i="30"/>
  <c r="BD27" i="30" s="1"/>
  <c r="AG11" i="30" s="1"/>
  <c r="BG27" i="30"/>
  <c r="BL27" i="30" s="1"/>
  <c r="AL11" i="30" s="1"/>
  <c r="BL42" i="40"/>
  <c r="AN8" i="40" s="1"/>
  <c r="AX52" i="17"/>
  <c r="BD52" i="17" s="1"/>
  <c r="AJ9" i="17" s="1"/>
  <c r="BF52" i="17"/>
  <c r="BL52" i="17" s="1"/>
  <c r="AO9" i="17" s="1"/>
  <c r="BL27" i="32"/>
  <c r="AL11" i="32" s="1"/>
  <c r="AZ31" i="35"/>
  <c r="BH31" i="35"/>
  <c r="BD50" i="23"/>
  <c r="AJ7" i="23" s="1"/>
  <c r="BL33" i="34"/>
  <c r="AM8" i="34" s="1"/>
  <c r="BF33" i="17"/>
  <c r="BL33" i="17" s="1"/>
  <c r="AM8" i="17" s="1"/>
  <c r="AX33" i="17"/>
  <c r="BD33" i="17" s="1"/>
  <c r="AH8" i="17" s="1"/>
  <c r="AZ22" i="24"/>
  <c r="BH22" i="24"/>
  <c r="BA51" i="22"/>
  <c r="BD51" i="22" s="1"/>
  <c r="AJ8" i="22" s="1"/>
  <c r="BI51" i="22"/>
  <c r="BB44" i="19"/>
  <c r="BD44" i="19" s="1"/>
  <c r="AI10" i="19" s="1"/>
  <c r="BJ44" i="19"/>
  <c r="BL44" i="19" s="1"/>
  <c r="AN10" i="19" s="1"/>
  <c r="BL44" i="39"/>
  <c r="AN10" i="39" s="1"/>
  <c r="BL51" i="26"/>
  <c r="AO8" i="26" s="1"/>
  <c r="BD22" i="40"/>
  <c r="AG6" i="40" s="1"/>
  <c r="BL42" i="13"/>
  <c r="AN8" i="13" s="1"/>
  <c r="AY24" i="20"/>
  <c r="BG24" i="20"/>
  <c r="AX22" i="14"/>
  <c r="BD22" i="14" s="1"/>
  <c r="AG6" i="14" s="1"/>
  <c r="BF22" i="14"/>
  <c r="BL22" i="14" s="1"/>
  <c r="AL6" i="14" s="1"/>
  <c r="BL27" i="34"/>
  <c r="AL11" i="34" s="1"/>
  <c r="AZ36" i="24"/>
  <c r="BD36" i="24" s="1"/>
  <c r="AH11" i="24" s="1"/>
  <c r="BH36" i="24"/>
  <c r="BD31" i="22"/>
  <c r="AH6" i="22" s="1"/>
  <c r="AY32" i="30"/>
  <c r="BG32" i="30"/>
  <c r="BL32" i="30" s="1"/>
  <c r="AM7" i="30" s="1"/>
  <c r="BL23" i="12"/>
  <c r="AL7" i="12" s="1"/>
  <c r="AX54" i="35"/>
  <c r="BF54" i="35"/>
  <c r="BH31" i="18"/>
  <c r="AZ31" i="18"/>
  <c r="BD31" i="18" s="1"/>
  <c r="AH6" i="18" s="1"/>
  <c r="AX45" i="31"/>
  <c r="BD45" i="31" s="1"/>
  <c r="AI11" i="31" s="1"/>
  <c r="BF45" i="31"/>
  <c r="BL45" i="31" s="1"/>
  <c r="AN11" i="31" s="1"/>
  <c r="AZ53" i="24"/>
  <c r="BH53" i="24"/>
  <c r="AX40" i="25"/>
  <c r="BD40" i="25" s="1"/>
  <c r="AI6" i="25" s="1"/>
  <c r="BF40" i="25"/>
  <c r="BL40" i="25" s="1"/>
  <c r="AN6" i="25" s="1"/>
  <c r="BD51" i="24"/>
  <c r="AJ8" i="24" s="1"/>
  <c r="BD45" i="40"/>
  <c r="AI11" i="40" s="1"/>
  <c r="BF49" i="25"/>
  <c r="BL49" i="25" s="1"/>
  <c r="AO6" i="25" s="1"/>
  <c r="AX49" i="25"/>
  <c r="BD49" i="25" s="1"/>
  <c r="AJ6" i="25" s="1"/>
  <c r="AZ53" i="26"/>
  <c r="BD53" i="26" s="1"/>
  <c r="AJ10" i="26" s="1"/>
  <c r="BH53" i="26"/>
  <c r="BL53" i="26" s="1"/>
  <c r="AO10" i="26" s="1"/>
  <c r="BD24" i="38"/>
  <c r="AG8" i="38" s="1"/>
  <c r="AS8" i="38" s="1"/>
  <c r="BL53" i="39"/>
  <c r="AO10" i="39" s="1"/>
  <c r="BL26" i="34"/>
  <c r="AL10" i="34" s="1"/>
  <c r="BL43" i="21"/>
  <c r="AN9" i="21" s="1"/>
  <c r="BL42" i="39"/>
  <c r="AN8" i="39" s="1"/>
  <c r="BL50" i="13"/>
  <c r="AO7" i="13" s="1"/>
  <c r="BL54" i="26"/>
  <c r="AO11" i="26" s="1"/>
  <c r="BL50" i="27"/>
  <c r="AO7" i="27" s="1"/>
  <c r="AZ52" i="18"/>
  <c r="BD52" i="18" s="1"/>
  <c r="AJ9" i="18" s="1"/>
  <c r="BH52" i="18"/>
  <c r="BL52" i="18" s="1"/>
  <c r="AO9" i="18" s="1"/>
  <c r="BD26" i="12"/>
  <c r="AG10" i="12" s="1"/>
  <c r="BD41" i="28"/>
  <c r="AI7" i="28" s="1"/>
  <c r="AX40" i="42"/>
  <c r="BD40" i="42" s="1"/>
  <c r="AI6" i="42" s="1"/>
  <c r="BF40" i="42"/>
  <c r="BL40" i="42" s="1"/>
  <c r="AN6" i="42" s="1"/>
  <c r="BD41" i="29"/>
  <c r="AI7" i="29" s="1"/>
  <c r="AX31" i="42"/>
  <c r="BD31" i="42" s="1"/>
  <c r="AH6" i="42" s="1"/>
  <c r="BF31" i="42"/>
  <c r="BL31" i="42" s="1"/>
  <c r="AM6" i="42" s="1"/>
  <c r="BL31" i="36"/>
  <c r="AM6" i="36" s="1"/>
  <c r="BD36" i="39"/>
  <c r="AH11" i="39" s="1"/>
  <c r="BD45" i="36"/>
  <c r="AI11" i="36" s="1"/>
  <c r="BD36" i="13"/>
  <c r="AH11" i="13" s="1"/>
  <c r="BD23" i="13"/>
  <c r="AG7" i="13" s="1"/>
  <c r="BL52" i="27"/>
  <c r="AO9" i="27" s="1"/>
  <c r="AX52" i="11"/>
  <c r="BD52" i="11" s="1"/>
  <c r="AJ9" i="11" s="1"/>
  <c r="BF52" i="11"/>
  <c r="BL52" i="11" s="1"/>
  <c r="AO9" i="11" s="1"/>
  <c r="BD40" i="23"/>
  <c r="AI6" i="23" s="1"/>
  <c r="BD27" i="28"/>
  <c r="AG11" i="28" s="1"/>
  <c r="AZ45" i="23"/>
  <c r="BH45" i="23"/>
  <c r="BL25" i="21"/>
  <c r="AL9" i="21" s="1"/>
  <c r="BL24" i="34"/>
  <c r="AL8" i="34" s="1"/>
  <c r="BL33" i="40"/>
  <c r="AM8" i="40" s="1"/>
  <c r="BL49" i="15"/>
  <c r="AO6" i="15" s="1"/>
  <c r="BL33" i="33"/>
  <c r="AM8" i="33" s="1"/>
  <c r="AX45" i="17"/>
  <c r="BD45" i="17" s="1"/>
  <c r="AI11" i="17" s="1"/>
  <c r="BF45" i="17"/>
  <c r="BL45" i="17" s="1"/>
  <c r="AN11" i="17" s="1"/>
  <c r="AZ23" i="18"/>
  <c r="BD23" i="18" s="1"/>
  <c r="AG7" i="18" s="1"/>
  <c r="BH23" i="18"/>
  <c r="BL23" i="18" s="1"/>
  <c r="AL7" i="18" s="1"/>
  <c r="BL53" i="33"/>
  <c r="AO10" i="33" s="1"/>
  <c r="BD22" i="38"/>
  <c r="AG6" i="38" s="1"/>
  <c r="BD31" i="26"/>
  <c r="AH6" i="26" s="1"/>
  <c r="BH42" i="24"/>
  <c r="AZ42" i="24"/>
  <c r="BD42" i="24" s="1"/>
  <c r="AI8" i="24" s="1"/>
  <c r="BD44" i="28"/>
  <c r="AI10" i="28" s="1"/>
  <c r="BB32" i="19"/>
  <c r="BD32" i="19" s="1"/>
  <c r="AH7" i="19" s="1"/>
  <c r="BJ32" i="19"/>
  <c r="BL32" i="19" s="1"/>
  <c r="AM7" i="19" s="1"/>
  <c r="AY41" i="23"/>
  <c r="BG41" i="23"/>
  <c r="AX25" i="35"/>
  <c r="BF25" i="35"/>
  <c r="BD42" i="19"/>
  <c r="AI8" i="19" s="1"/>
  <c r="AZ42" i="18"/>
  <c r="BD42" i="18" s="1"/>
  <c r="AI8" i="18" s="1"/>
  <c r="BH42" i="18"/>
  <c r="BL42" i="18" s="1"/>
  <c r="AN8" i="18" s="1"/>
  <c r="BD31" i="41"/>
  <c r="AH6" i="41" s="1"/>
  <c r="AX51" i="31"/>
  <c r="BD51" i="31" s="1"/>
  <c r="AJ8" i="31" s="1"/>
  <c r="BF51" i="31"/>
  <c r="BL51" i="31" s="1"/>
  <c r="AO8" i="31" s="1"/>
  <c r="BL42" i="22"/>
  <c r="AN8" i="22" s="1"/>
  <c r="BD52" i="15"/>
  <c r="AJ9" i="15" s="1"/>
  <c r="AZ26" i="35"/>
  <c r="BH26" i="35"/>
  <c r="BL51" i="20"/>
  <c r="AO8" i="20" s="1"/>
  <c r="BL50" i="16"/>
  <c r="AO7" i="16" s="1"/>
  <c r="BL32" i="16"/>
  <c r="AM7" i="16" s="1"/>
  <c r="AX23" i="11"/>
  <c r="BD23" i="11" s="1"/>
  <c r="AG7" i="11" s="1"/>
  <c r="BF23" i="11"/>
  <c r="BL23" i="11" s="1"/>
  <c r="AL7" i="11" s="1"/>
  <c r="BD22" i="22"/>
  <c r="AG6" i="22" s="1"/>
  <c r="BD26" i="16"/>
  <c r="AG10" i="16" s="1"/>
  <c r="BD40" i="16"/>
  <c r="AI6" i="16" s="1"/>
  <c r="AY45" i="20"/>
  <c r="BG45" i="20"/>
  <c r="BL45" i="20" s="1"/>
  <c r="AN11" i="20" s="1"/>
  <c r="BG36" i="20"/>
  <c r="BL36" i="20" s="1"/>
  <c r="AM11" i="20" s="1"/>
  <c r="AY36" i="20"/>
  <c r="BD36" i="20" s="1"/>
  <c r="AH11" i="20" s="1"/>
  <c r="BG53" i="20"/>
  <c r="AY53" i="20"/>
  <c r="BL45" i="22"/>
  <c r="AN11" i="22" s="1"/>
  <c r="BD36" i="29"/>
  <c r="AH11" i="29" s="1"/>
  <c r="BL34" i="20"/>
  <c r="AM9" i="20" s="1"/>
  <c r="BA27" i="22"/>
  <c r="BI27" i="22"/>
  <c r="BD50" i="34"/>
  <c r="AJ7" i="34" s="1"/>
  <c r="AZ52" i="35"/>
  <c r="BH52" i="35"/>
  <c r="BH24" i="23"/>
  <c r="BL24" i="23" s="1"/>
  <c r="AL8" i="23" s="1"/>
  <c r="AZ24" i="23"/>
  <c r="BD24" i="23" s="1"/>
  <c r="AG8" i="23" s="1"/>
  <c r="BL26" i="24"/>
  <c r="AL10" i="24" s="1"/>
  <c r="BL45" i="24"/>
  <c r="AN11" i="24" s="1"/>
  <c r="BG45" i="30"/>
  <c r="BL45" i="30" s="1"/>
  <c r="AN11" i="30" s="1"/>
  <c r="AY45" i="30"/>
  <c r="BD45" i="30" s="1"/>
  <c r="AI11" i="30" s="1"/>
  <c r="AS6" i="10"/>
  <c r="BL35" i="36"/>
  <c r="AM10" i="36" s="1"/>
  <c r="AY31" i="16"/>
  <c r="BG31" i="16"/>
  <c r="BD25" i="39"/>
  <c r="AG9" i="39" s="1"/>
  <c r="BL26" i="13"/>
  <c r="AL10" i="13" s="1"/>
  <c r="BH31" i="23"/>
  <c r="AZ31" i="23"/>
  <c r="BD52" i="39"/>
  <c r="AJ9" i="39" s="1"/>
  <c r="AS8" i="37"/>
  <c r="BL26" i="29"/>
  <c r="AL10" i="29" s="1"/>
  <c r="BL42" i="12"/>
  <c r="AN8" i="12" s="1"/>
  <c r="BF34" i="31"/>
  <c r="BL34" i="31" s="1"/>
  <c r="AM9" i="31" s="1"/>
  <c r="AX34" i="31"/>
  <c r="BD34" i="31" s="1"/>
  <c r="AH9" i="31" s="1"/>
  <c r="BD42" i="28"/>
  <c r="AI8" i="28" s="1"/>
  <c r="A265" i="61"/>
  <c r="AJ76" i="6"/>
  <c r="AI76" i="6"/>
  <c r="AK76" i="6"/>
  <c r="A401" i="61"/>
  <c r="AK110" i="6"/>
  <c r="AJ110" i="6"/>
  <c r="AI110" i="6"/>
  <c r="AK189" i="6"/>
  <c r="AJ189" i="6"/>
  <c r="AI189" i="6"/>
  <c r="AK194" i="6"/>
  <c r="AJ194" i="6"/>
  <c r="AI194" i="6"/>
  <c r="A369" i="61"/>
  <c r="AK102" i="6"/>
  <c r="AJ102" i="6"/>
  <c r="AI102" i="6"/>
  <c r="AK181" i="6"/>
  <c r="AJ181" i="6"/>
  <c r="AI181" i="6"/>
  <c r="A201" i="61"/>
  <c r="AJ60" i="6"/>
  <c r="AI60" i="6"/>
  <c r="AK60" i="6"/>
  <c r="AK158" i="6"/>
  <c r="AJ158" i="6"/>
  <c r="AI158" i="6"/>
  <c r="A281" i="61"/>
  <c r="AK80" i="6"/>
  <c r="AJ80" i="6"/>
  <c r="AI80" i="6"/>
  <c r="A297" i="61"/>
  <c r="AJ84" i="6"/>
  <c r="AI84" i="6"/>
  <c r="AK84" i="6"/>
  <c r="AK182" i="6"/>
  <c r="AJ182" i="6"/>
  <c r="AI182" i="6"/>
  <c r="A377" i="61"/>
  <c r="AK104" i="6"/>
  <c r="AJ104" i="6"/>
  <c r="AI104" i="6"/>
  <c r="A333" i="61"/>
  <c r="AK93" i="6"/>
  <c r="AJ93" i="6"/>
  <c r="AI93" i="6"/>
  <c r="A325" i="61"/>
  <c r="AK91" i="6"/>
  <c r="AJ91" i="6"/>
  <c r="AI91" i="6"/>
  <c r="AK155" i="6"/>
  <c r="AJ155" i="6"/>
  <c r="AI155" i="6"/>
  <c r="A253" i="61"/>
  <c r="AK73" i="6"/>
  <c r="AJ73" i="6"/>
  <c r="AI73" i="6"/>
  <c r="A509" i="61"/>
  <c r="AK137" i="6"/>
  <c r="AJ137" i="6"/>
  <c r="AI137" i="6"/>
  <c r="A373" i="61"/>
  <c r="AI103" i="6"/>
  <c r="AK103" i="6"/>
  <c r="AJ103" i="6"/>
  <c r="AI167" i="6"/>
  <c r="AK167" i="6"/>
  <c r="AJ167" i="6"/>
  <c r="AY52" i="23"/>
  <c r="BG52" i="23"/>
  <c r="BL41" i="36"/>
  <c r="AN7" i="36" s="1"/>
  <c r="BB27" i="27"/>
  <c r="BD27" i="27" s="1"/>
  <c r="AG11" i="27" s="1"/>
  <c r="BJ27" i="27"/>
  <c r="BL27" i="27" s="1"/>
  <c r="AL11" i="27" s="1"/>
  <c r="BL35" i="27"/>
  <c r="AM10" i="27" s="1"/>
  <c r="BD27" i="16"/>
  <c r="AG11" i="16" s="1"/>
  <c r="BL27" i="23"/>
  <c r="AL11" i="23" s="1"/>
  <c r="BH26" i="26"/>
  <c r="BL26" i="26" s="1"/>
  <c r="AL10" i="26" s="1"/>
  <c r="AZ26" i="26"/>
  <c r="BD26" i="26" s="1"/>
  <c r="AG10" i="26" s="1"/>
  <c r="BD31" i="15"/>
  <c r="AH6" i="15" s="1"/>
  <c r="BL24" i="29"/>
  <c r="AL8" i="29" s="1"/>
  <c r="BL53" i="21"/>
  <c r="AO10" i="21" s="1"/>
  <c r="BL45" i="12"/>
  <c r="AN11" i="12" s="1"/>
  <c r="AZ45" i="26"/>
  <c r="BH45" i="26"/>
  <c r="BL23" i="30"/>
  <c r="AL7" i="30" s="1"/>
  <c r="BL50" i="30"/>
  <c r="AO7" i="30" s="1"/>
  <c r="AY34" i="23"/>
  <c r="BG34" i="23"/>
  <c r="BL33" i="26"/>
  <c r="AM8" i="26" s="1"/>
  <c r="BL25" i="27"/>
  <c r="AL9" i="27" s="1"/>
  <c r="BD53" i="40"/>
  <c r="AJ10" i="40" s="1"/>
  <c r="BD32" i="30"/>
  <c r="AH7" i="30" s="1"/>
  <c r="BL22" i="18"/>
  <c r="AL6" i="18" s="1"/>
  <c r="BF31" i="35"/>
  <c r="BL31" i="35" s="1"/>
  <c r="AM6" i="35" s="1"/>
  <c r="AX31" i="35"/>
  <c r="BD31" i="35" s="1"/>
  <c r="AH6" i="35" s="1"/>
  <c r="AX53" i="42"/>
  <c r="BD53" i="42" s="1"/>
  <c r="AJ10" i="42" s="1"/>
  <c r="BF53" i="42"/>
  <c r="BL53" i="42" s="1"/>
  <c r="AO10" i="42" s="1"/>
  <c r="BL31" i="28"/>
  <c r="AM6" i="28" s="1"/>
  <c r="AX50" i="14"/>
  <c r="BD50" i="14" s="1"/>
  <c r="AJ7" i="14" s="1"/>
  <c r="BF50" i="14"/>
  <c r="BL50" i="14" s="1"/>
  <c r="AO7" i="14" s="1"/>
  <c r="BL31" i="24"/>
  <c r="AM6" i="24" s="1"/>
  <c r="BD41" i="40"/>
  <c r="AI7" i="40" s="1"/>
  <c r="BL43" i="32"/>
  <c r="AN9" i="32" s="1"/>
  <c r="BD52" i="33"/>
  <c r="AJ9" i="33" s="1"/>
  <c r="BD26" i="39"/>
  <c r="AG10" i="39" s="1"/>
  <c r="BA36" i="22"/>
  <c r="BD36" i="22" s="1"/>
  <c r="AH11" i="22" s="1"/>
  <c r="BI36" i="22"/>
  <c r="BL36" i="22" s="1"/>
  <c r="AM11" i="22" s="1"/>
  <c r="AX33" i="14"/>
  <c r="BD33" i="14" s="1"/>
  <c r="AH8" i="14" s="1"/>
  <c r="BF33" i="14"/>
  <c r="BL33" i="14" s="1"/>
  <c r="AM8" i="14" s="1"/>
  <c r="BD27" i="13"/>
  <c r="AG11" i="13" s="1"/>
  <c r="BB40" i="27"/>
  <c r="BD40" i="27" s="1"/>
  <c r="AI6" i="27" s="1"/>
  <c r="BJ40" i="27"/>
  <c r="BL40" i="27" s="1"/>
  <c r="AN6" i="27" s="1"/>
  <c r="BF26" i="17"/>
  <c r="BL26" i="17" s="1"/>
  <c r="AL10" i="17" s="1"/>
  <c r="AX26" i="17"/>
  <c r="BD26" i="17" s="1"/>
  <c r="AG10" i="17" s="1"/>
  <c r="BD31" i="21"/>
  <c r="AH6" i="21" s="1"/>
  <c r="AZ35" i="26"/>
  <c r="BH35" i="26"/>
  <c r="BG25" i="23"/>
  <c r="BL25" i="23" s="1"/>
  <c r="AL9" i="23" s="1"/>
  <c r="AY25" i="23"/>
  <c r="BD40" i="12"/>
  <c r="AI6" i="12" s="1"/>
  <c r="BL41" i="39"/>
  <c r="AN7" i="39" s="1"/>
  <c r="BL26" i="41"/>
  <c r="AL10" i="41" s="1"/>
  <c r="H129" i="61"/>
  <c r="AJ42" i="6"/>
  <c r="BD44" i="27"/>
  <c r="AI10" i="27" s="1"/>
  <c r="BL32" i="32"/>
  <c r="AM7" i="32" s="1"/>
  <c r="BD34" i="41"/>
  <c r="AH9" i="41" s="1"/>
  <c r="BG52" i="30"/>
  <c r="BL52" i="30" s="1"/>
  <c r="AO9" i="30" s="1"/>
  <c r="AY52" i="30"/>
  <c r="BD52" i="30" s="1"/>
  <c r="AJ9" i="30" s="1"/>
  <c r="BL53" i="24"/>
  <c r="AO10" i="24" s="1"/>
  <c r="BJ53" i="27"/>
  <c r="BL53" i="27" s="1"/>
  <c r="AO10" i="27" s="1"/>
  <c r="BB53" i="27"/>
  <c r="BD53" i="27" s="1"/>
  <c r="AJ10" i="27" s="1"/>
  <c r="BF27" i="31"/>
  <c r="BL27" i="31" s="1"/>
  <c r="AL11" i="31" s="1"/>
  <c r="AX27" i="31"/>
  <c r="BD27" i="31" s="1"/>
  <c r="AG11" i="31" s="1"/>
  <c r="AX33" i="25"/>
  <c r="BD33" i="25" s="1"/>
  <c r="AH8" i="25" s="1"/>
  <c r="BF33" i="25"/>
  <c r="BL33" i="25" s="1"/>
  <c r="AM8" i="25" s="1"/>
  <c r="BL44" i="41"/>
  <c r="AN10" i="41" s="1"/>
  <c r="AX49" i="17"/>
  <c r="BD49" i="17" s="1"/>
  <c r="AJ6" i="17" s="1"/>
  <c r="BF49" i="17"/>
  <c r="BL49" i="17" s="1"/>
  <c r="AO6" i="17" s="1"/>
  <c r="BD27" i="32"/>
  <c r="AG11" i="32" s="1"/>
  <c r="AS11" i="32" s="1"/>
  <c r="AZ36" i="35"/>
  <c r="BH36" i="35"/>
  <c r="BL50" i="23"/>
  <c r="AO7" i="23" s="1"/>
  <c r="BD33" i="34"/>
  <c r="AH8" i="34" s="1"/>
  <c r="BL31" i="18"/>
  <c r="AM6" i="18" s="1"/>
  <c r="AX35" i="17"/>
  <c r="BD35" i="17" s="1"/>
  <c r="AH10" i="17" s="1"/>
  <c r="BF35" i="17"/>
  <c r="BL35" i="17" s="1"/>
  <c r="AM10" i="17" s="1"/>
  <c r="AZ27" i="24"/>
  <c r="BD27" i="24" s="1"/>
  <c r="AG11" i="24" s="1"/>
  <c r="BH27" i="24"/>
  <c r="BL27" i="24" s="1"/>
  <c r="AL11" i="24" s="1"/>
  <c r="BA53" i="22"/>
  <c r="BD53" i="22" s="1"/>
  <c r="AJ10" i="22" s="1"/>
  <c r="BI53" i="22"/>
  <c r="BL53" i="22" s="1"/>
  <c r="AO10" i="22" s="1"/>
  <c r="BB41" i="19"/>
  <c r="BD41" i="19" s="1"/>
  <c r="AI7" i="19" s="1"/>
  <c r="BJ41" i="19"/>
  <c r="BL41" i="19" s="1"/>
  <c r="AN7" i="19" s="1"/>
  <c r="BD44" i="39"/>
  <c r="AI10" i="39" s="1"/>
  <c r="BD51" i="26"/>
  <c r="AJ8" i="26" s="1"/>
  <c r="BL22" i="40"/>
  <c r="AL6" i="40" s="1"/>
  <c r="BD42" i="13"/>
  <c r="AI8" i="13" s="1"/>
  <c r="AY26" i="20"/>
  <c r="BD26" i="20" s="1"/>
  <c r="AG10" i="20" s="1"/>
  <c r="BG26" i="20"/>
  <c r="BL26" i="20" s="1"/>
  <c r="AL10" i="20" s="1"/>
  <c r="AX27" i="14"/>
  <c r="BD27" i="14" s="1"/>
  <c r="AG11" i="14" s="1"/>
  <c r="BF27" i="14"/>
  <c r="BL27" i="14" s="1"/>
  <c r="AL11" i="14" s="1"/>
  <c r="AZ33" i="24"/>
  <c r="BD33" i="24" s="1"/>
  <c r="AH8" i="24" s="1"/>
  <c r="BH33" i="24"/>
  <c r="BL33" i="24" s="1"/>
  <c r="AM8" i="24" s="1"/>
  <c r="AY34" i="30"/>
  <c r="BD34" i="30" s="1"/>
  <c r="AH9" i="30" s="1"/>
  <c r="BG34" i="30"/>
  <c r="BL34" i="30" s="1"/>
  <c r="AM9" i="30" s="1"/>
  <c r="BD23" i="12"/>
  <c r="AG7" i="12" s="1"/>
  <c r="BL26" i="19"/>
  <c r="AL10" i="19" s="1"/>
  <c r="BD49" i="40"/>
  <c r="AJ6" i="40" s="1"/>
  <c r="BL43" i="28"/>
  <c r="AN9" i="28" s="1"/>
  <c r="AZ36" i="18"/>
  <c r="BD36" i="18" s="1"/>
  <c r="AH11" i="18" s="1"/>
  <c r="BH36" i="18"/>
  <c r="BL36" i="18" s="1"/>
  <c r="AM11" i="18" s="1"/>
  <c r="AX42" i="31"/>
  <c r="BD42" i="31" s="1"/>
  <c r="AI8" i="31" s="1"/>
  <c r="BF42" i="31"/>
  <c r="BL42" i="31" s="1"/>
  <c r="AN8" i="31" s="1"/>
  <c r="M2" i="54"/>
  <c r="E2" i="44"/>
  <c r="F139" i="6"/>
  <c r="F131" i="6"/>
  <c r="F123" i="6"/>
  <c r="F115" i="6"/>
  <c r="F107" i="6"/>
  <c r="F99" i="6"/>
  <c r="F91" i="6"/>
  <c r="F83" i="6"/>
  <c r="F75" i="6"/>
  <c r="F67" i="6"/>
  <c r="F59" i="6"/>
  <c r="F33" i="6"/>
  <c r="F29" i="6"/>
  <c r="F26" i="6"/>
  <c r="F52" i="6"/>
  <c r="F49" i="6"/>
  <c r="F42" i="6"/>
  <c r="F200" i="6"/>
  <c r="F192" i="6"/>
  <c r="F176" i="6"/>
  <c r="F168" i="6"/>
  <c r="F160" i="6"/>
  <c r="F152" i="6"/>
  <c r="F144" i="6"/>
  <c r="F136" i="6"/>
  <c r="F128" i="6"/>
  <c r="F120" i="6"/>
  <c r="F112" i="6"/>
  <c r="F104" i="6"/>
  <c r="F96" i="6"/>
  <c r="F88" i="6"/>
  <c r="F80" i="6"/>
  <c r="F72" i="6"/>
  <c r="F64" i="6"/>
  <c r="F56" i="6"/>
  <c r="F46" i="6"/>
  <c r="F32" i="6"/>
  <c r="F25" i="6"/>
  <c r="F11" i="6"/>
  <c r="F22" i="6"/>
  <c r="F13" i="6"/>
  <c r="F172" i="6"/>
  <c r="F164" i="6"/>
  <c r="F156" i="6"/>
  <c r="F47" i="6"/>
  <c r="F20" i="6"/>
  <c r="S7" i="6"/>
  <c r="F150" i="6"/>
  <c r="F142" i="6"/>
  <c r="F134" i="6"/>
  <c r="F126" i="6"/>
  <c r="F118" i="6"/>
  <c r="F110" i="6"/>
  <c r="F102" i="6"/>
  <c r="F94" i="6"/>
  <c r="F86" i="6"/>
  <c r="F78" i="6"/>
  <c r="F70" i="6"/>
  <c r="F62" i="6"/>
  <c r="F53" i="6"/>
  <c r="F43" i="6"/>
  <c r="F65" i="6"/>
  <c r="F109" i="6"/>
  <c r="F24" i="6"/>
  <c r="F117" i="6"/>
  <c r="F50" i="6"/>
  <c r="F143" i="6"/>
  <c r="F69" i="6"/>
  <c r="F170" i="6"/>
  <c r="F38" i="6"/>
  <c r="F141" i="6"/>
  <c r="F76" i="6"/>
  <c r="F167" i="6"/>
  <c r="F129" i="6"/>
  <c r="F74" i="6"/>
  <c r="F193" i="6"/>
  <c r="F184" i="6"/>
  <c r="F111" i="6"/>
  <c r="F127" i="6"/>
  <c r="F45" i="6"/>
  <c r="F135" i="6"/>
  <c r="F51" i="6"/>
  <c r="F161" i="6"/>
  <c r="F87" i="6"/>
  <c r="F180" i="6"/>
  <c r="F48" i="6"/>
  <c r="F159" i="6"/>
  <c r="F85" i="6"/>
  <c r="F186" i="6"/>
  <c r="F148" i="6"/>
  <c r="F92" i="6"/>
  <c r="F202" i="6"/>
  <c r="F28" i="6"/>
  <c r="F36" i="6"/>
  <c r="F163" i="6"/>
  <c r="F185" i="6"/>
  <c r="F145" i="6"/>
  <c r="F12" i="6"/>
  <c r="F153" i="6"/>
  <c r="F61" i="6"/>
  <c r="F162" i="6"/>
  <c r="F105" i="6"/>
  <c r="F189" i="6"/>
  <c r="F68" i="6"/>
  <c r="F177" i="6"/>
  <c r="F103" i="6"/>
  <c r="F196" i="6"/>
  <c r="F194" i="6"/>
  <c r="F101" i="6"/>
  <c r="F16" i="6"/>
  <c r="F187" i="6"/>
  <c r="F23" i="6"/>
  <c r="F146" i="6"/>
  <c r="F31" i="6"/>
  <c r="F154" i="6"/>
  <c r="F79" i="6"/>
  <c r="F181" i="6"/>
  <c r="F106" i="6"/>
  <c r="F198" i="6"/>
  <c r="F34" i="6"/>
  <c r="F77" i="6"/>
  <c r="F178" i="6"/>
  <c r="F121" i="6"/>
  <c r="F66" i="6"/>
  <c r="F119" i="6"/>
  <c r="F39" i="6"/>
  <c r="F147" i="6"/>
  <c r="F63" i="6"/>
  <c r="F173" i="6"/>
  <c r="F84" i="6"/>
  <c r="F71" i="6"/>
  <c r="F182" i="6"/>
  <c r="F35" i="6"/>
  <c r="F97" i="6"/>
  <c r="F190" i="6"/>
  <c r="F124" i="6"/>
  <c r="F130" i="6"/>
  <c r="F95" i="6"/>
  <c r="F188" i="6"/>
  <c r="F122" i="6"/>
  <c r="F44" i="6"/>
  <c r="F137" i="6"/>
  <c r="F19" i="6"/>
  <c r="F171" i="6"/>
  <c r="F81" i="6"/>
  <c r="F183" i="6"/>
  <c r="F166" i="6"/>
  <c r="F89" i="6"/>
  <c r="F191" i="6"/>
  <c r="F93" i="6"/>
  <c r="F98" i="6"/>
  <c r="F199" i="6"/>
  <c r="F30" i="6"/>
  <c r="F133" i="6"/>
  <c r="F157" i="6"/>
  <c r="F113" i="6"/>
  <c r="F197" i="6"/>
  <c r="F17" i="6"/>
  <c r="F140" i="6"/>
  <c r="F54" i="6"/>
  <c r="F138" i="6"/>
  <c r="F15" i="6"/>
  <c r="F195" i="6"/>
  <c r="F82" i="6"/>
  <c r="F201" i="6"/>
  <c r="F175" i="6"/>
  <c r="F90" i="6"/>
  <c r="F21" i="6"/>
  <c r="F116" i="6"/>
  <c r="F41" i="6"/>
  <c r="F151" i="6"/>
  <c r="F27" i="6"/>
  <c r="F114" i="6"/>
  <c r="F57" i="6"/>
  <c r="F149" i="6"/>
  <c r="F55" i="6"/>
  <c r="F165" i="6"/>
  <c r="F155" i="6"/>
  <c r="F100" i="6"/>
  <c r="F14" i="6"/>
  <c r="F108" i="6"/>
  <c r="F40" i="6"/>
  <c r="F125" i="6"/>
  <c r="F60" i="6"/>
  <c r="F169" i="6"/>
  <c r="F37" i="6"/>
  <c r="F132" i="6"/>
  <c r="F58" i="6"/>
  <c r="F158" i="6"/>
  <c r="F73" i="6"/>
  <c r="F174" i="6"/>
  <c r="F18" i="6"/>
  <c r="F179" i="6"/>
  <c r="AZ50" i="24"/>
  <c r="BD50" i="24" s="1"/>
  <c r="AJ7" i="24" s="1"/>
  <c r="BH50" i="24"/>
  <c r="BL50" i="24" s="1"/>
  <c r="AO7" i="24" s="1"/>
  <c r="BF43" i="25"/>
  <c r="BL43" i="25" s="1"/>
  <c r="AN9" i="25" s="1"/>
  <c r="AX43" i="25"/>
  <c r="BD43" i="25" s="1"/>
  <c r="AI9" i="25" s="1"/>
  <c r="BL51" i="24"/>
  <c r="AO8" i="24" s="1"/>
  <c r="AX51" i="25"/>
  <c r="BD51" i="25" s="1"/>
  <c r="AJ8" i="25" s="1"/>
  <c r="BF51" i="25"/>
  <c r="BL51" i="25" s="1"/>
  <c r="AO8" i="25" s="1"/>
  <c r="AZ50" i="26"/>
  <c r="BD50" i="26" s="1"/>
  <c r="AJ7" i="26" s="1"/>
  <c r="BH50" i="26"/>
  <c r="BL50" i="26" s="1"/>
  <c r="AO7" i="26" s="1"/>
  <c r="BD53" i="39"/>
  <c r="AJ10" i="39" s="1"/>
  <c r="BD26" i="34"/>
  <c r="AG10" i="34" s="1"/>
  <c r="AS10" i="34" s="1"/>
  <c r="BD43" i="21"/>
  <c r="AI9" i="21" s="1"/>
  <c r="BD42" i="39"/>
  <c r="AI8" i="39" s="1"/>
  <c r="BD50" i="13"/>
  <c r="AJ7" i="13" s="1"/>
  <c r="BD54" i="26"/>
  <c r="AJ11" i="26" s="1"/>
  <c r="BD50" i="27"/>
  <c r="AJ7" i="27" s="1"/>
  <c r="AZ54" i="18"/>
  <c r="BD54" i="18" s="1"/>
  <c r="AJ11" i="18" s="1"/>
  <c r="BH54" i="18"/>
  <c r="BL54" i="18" s="1"/>
  <c r="AO11" i="18" s="1"/>
  <c r="BL26" i="12"/>
  <c r="AL10" i="12" s="1"/>
  <c r="BL41" i="28"/>
  <c r="AN7" i="28" s="1"/>
  <c r="AX44" i="42"/>
  <c r="BD44" i="42" s="1"/>
  <c r="AI10" i="42" s="1"/>
  <c r="BF44" i="42"/>
  <c r="BL44" i="42" s="1"/>
  <c r="AN10" i="42" s="1"/>
  <c r="BD45" i="20"/>
  <c r="AI11" i="20" s="1"/>
  <c r="BL50" i="41"/>
  <c r="AO7" i="41" s="1"/>
  <c r="BF36" i="42"/>
  <c r="BL36" i="42" s="1"/>
  <c r="AM11" i="42" s="1"/>
  <c r="AX36" i="42"/>
  <c r="BD36" i="42" s="1"/>
  <c r="AH11" i="42" s="1"/>
  <c r="AY23" i="16"/>
  <c r="BD23" i="16" s="1"/>
  <c r="AG7" i="16" s="1"/>
  <c r="AS7" i="16" s="1"/>
  <c r="BG23" i="16"/>
  <c r="BL23" i="16" s="1"/>
  <c r="AL7" i="16" s="1"/>
  <c r="BD31" i="36"/>
  <c r="AH6" i="36" s="1"/>
  <c r="AS6" i="36" s="1"/>
  <c r="BL25" i="32"/>
  <c r="AL9" i="32" s="1"/>
  <c r="BL31" i="34"/>
  <c r="AM6" i="34" s="1"/>
  <c r="BD52" i="27"/>
  <c r="AJ9" i="27" s="1"/>
  <c r="BL34" i="21"/>
  <c r="AM9" i="21" s="1"/>
  <c r="BL33" i="15"/>
  <c r="AM8" i="15" s="1"/>
  <c r="AX49" i="11"/>
  <c r="BD49" i="11" s="1"/>
  <c r="AJ6" i="11" s="1"/>
  <c r="BF49" i="11"/>
  <c r="BL49" i="11" s="1"/>
  <c r="AO6" i="11" s="1"/>
  <c r="BL40" i="23"/>
  <c r="AN6" i="23" s="1"/>
  <c r="BL27" i="28"/>
  <c r="AL11" i="28" s="1"/>
  <c r="AZ44" i="23"/>
  <c r="BD44" i="23" s="1"/>
  <c r="AI10" i="23" s="1"/>
  <c r="BH44" i="23"/>
  <c r="BD25" i="21"/>
  <c r="AG9" i="21" s="1"/>
  <c r="BD24" i="34"/>
  <c r="AG8" i="34" s="1"/>
  <c r="BD33" i="40"/>
  <c r="AH8" i="40" s="1"/>
  <c r="BD49" i="15"/>
  <c r="AJ6" i="15" s="1"/>
  <c r="BD33" i="33"/>
  <c r="AH8" i="33" s="1"/>
  <c r="AX42" i="17"/>
  <c r="BD42" i="17" s="1"/>
  <c r="AI8" i="17" s="1"/>
  <c r="BF42" i="17"/>
  <c r="BL42" i="17" s="1"/>
  <c r="AN8" i="17" s="1"/>
  <c r="AZ25" i="18"/>
  <c r="BD25" i="18" s="1"/>
  <c r="AG9" i="18" s="1"/>
  <c r="BH25" i="18"/>
  <c r="BL25" i="18" s="1"/>
  <c r="AL9" i="18" s="1"/>
  <c r="BD23" i="41"/>
  <c r="AG7" i="41" s="1"/>
  <c r="BL45" i="13"/>
  <c r="AN11" i="13" s="1"/>
  <c r="BD53" i="33"/>
  <c r="AJ10" i="33" s="1"/>
  <c r="BL34" i="40"/>
  <c r="AM9" i="40" s="1"/>
  <c r="BL53" i="20"/>
  <c r="AO10" i="20" s="1"/>
  <c r="BL26" i="33"/>
  <c r="AL10" i="33" s="1"/>
  <c r="AZ44" i="24"/>
  <c r="BD44" i="24" s="1"/>
  <c r="AI10" i="24" s="1"/>
  <c r="BH44" i="24"/>
  <c r="BL44" i="24" s="1"/>
  <c r="AN10" i="24" s="1"/>
  <c r="BD27" i="19"/>
  <c r="AG11" i="19" s="1"/>
  <c r="BB34" i="19"/>
  <c r="BD34" i="19" s="1"/>
  <c r="AH9" i="19" s="1"/>
  <c r="BJ34" i="19"/>
  <c r="BL34" i="19" s="1"/>
  <c r="AM9" i="19" s="1"/>
  <c r="BL40" i="33"/>
  <c r="AN6" i="33" s="1"/>
  <c r="AY43" i="23"/>
  <c r="BD43" i="23" s="1"/>
  <c r="AI9" i="23" s="1"/>
  <c r="BG43" i="23"/>
  <c r="BL43" i="23" s="1"/>
  <c r="AN9" i="23" s="1"/>
  <c r="BL49" i="38"/>
  <c r="AO6" i="38" s="1"/>
  <c r="BL24" i="20"/>
  <c r="AL8" i="20" s="1"/>
  <c r="AZ41" i="18"/>
  <c r="BD41" i="18" s="1"/>
  <c r="AI7" i="18" s="1"/>
  <c r="BH41" i="18"/>
  <c r="BL41" i="18" s="1"/>
  <c r="AN7" i="18" s="1"/>
  <c r="BL31" i="41"/>
  <c r="AM6" i="41" s="1"/>
  <c r="AX54" i="31"/>
  <c r="BD54" i="31" s="1"/>
  <c r="AJ11" i="31" s="1"/>
  <c r="BF54" i="31"/>
  <c r="BL54" i="31" s="1"/>
  <c r="AO11" i="31" s="1"/>
  <c r="BD42" i="22"/>
  <c r="AI8" i="22" s="1"/>
  <c r="BL52" i="15"/>
  <c r="AO9" i="15" s="1"/>
  <c r="BD32" i="16"/>
  <c r="AH7" i="16" s="1"/>
  <c r="BD35" i="41"/>
  <c r="AH10" i="41" s="1"/>
  <c r="BL27" i="26"/>
  <c r="AL11" i="26" s="1"/>
  <c r="BF25" i="11"/>
  <c r="BL25" i="11" s="1"/>
  <c r="AL9" i="11" s="1"/>
  <c r="AX25" i="11"/>
  <c r="BD25" i="11" s="1"/>
  <c r="AG9" i="11" s="1"/>
  <c r="BD42" i="41"/>
  <c r="AI8" i="41" s="1"/>
  <c r="AY42" i="20"/>
  <c r="BD42" i="20" s="1"/>
  <c r="AI8" i="20" s="1"/>
  <c r="BG42" i="20"/>
  <c r="BL42" i="20" s="1"/>
  <c r="AN8" i="20" s="1"/>
  <c r="AY33" i="20"/>
  <c r="BD33" i="20" s="1"/>
  <c r="AH8" i="20" s="1"/>
  <c r="BG33" i="20"/>
  <c r="BL33" i="20" s="1"/>
  <c r="AM8" i="20" s="1"/>
  <c r="AY50" i="20"/>
  <c r="BD50" i="20" s="1"/>
  <c r="AJ7" i="20" s="1"/>
  <c r="BG50" i="20"/>
  <c r="BL50" i="20" s="1"/>
  <c r="AO7" i="20" s="1"/>
  <c r="BD45" i="22"/>
  <c r="AI11" i="22" s="1"/>
  <c r="BL43" i="34"/>
  <c r="AN9" i="34" s="1"/>
  <c r="AS9" i="34" s="1"/>
  <c r="BL50" i="15"/>
  <c r="AO7" i="15" s="1"/>
  <c r="BD34" i="20"/>
  <c r="AH9" i="20" s="1"/>
  <c r="BL36" i="33"/>
  <c r="AM11" i="33" s="1"/>
  <c r="BA24" i="22"/>
  <c r="BD24" i="22" s="1"/>
  <c r="AG8" i="22" s="1"/>
  <c r="BI24" i="22"/>
  <c r="AZ49" i="35"/>
  <c r="BH49" i="35"/>
  <c r="BD25" i="19"/>
  <c r="AG9" i="19" s="1"/>
  <c r="AZ25" i="23"/>
  <c r="BD25" i="23" s="1"/>
  <c r="AG9" i="23" s="1"/>
  <c r="AS9" i="23" s="1"/>
  <c r="BH25" i="23"/>
  <c r="BD26" i="24"/>
  <c r="AG10" i="24" s="1"/>
  <c r="BD45" i="24"/>
  <c r="AI11" i="24" s="1"/>
  <c r="BG42" i="30"/>
  <c r="BL42" i="30" s="1"/>
  <c r="AN8" i="30" s="1"/>
  <c r="AY42" i="30"/>
  <c r="BD42" i="30" s="1"/>
  <c r="AI8" i="30" s="1"/>
  <c r="BD51" i="41"/>
  <c r="AJ8" i="41" s="1"/>
  <c r="AY36" i="16"/>
  <c r="BD36" i="16" s="1"/>
  <c r="AH11" i="16" s="1"/>
  <c r="BG36" i="16"/>
  <c r="BL36" i="16" s="1"/>
  <c r="AM11" i="16" s="1"/>
  <c r="BD26" i="23"/>
  <c r="AG10" i="23" s="1"/>
  <c r="BB32" i="27"/>
  <c r="BD32" i="27" s="1"/>
  <c r="AH7" i="27" s="1"/>
  <c r="BJ32" i="27"/>
  <c r="BL32" i="27" s="1"/>
  <c r="AM7" i="27" s="1"/>
  <c r="BL34" i="23"/>
  <c r="AM9" i="23" s="1"/>
  <c r="BL27" i="15"/>
  <c r="AL11" i="15" s="1"/>
  <c r="BD32" i="13"/>
  <c r="AH7" i="13" s="1"/>
  <c r="BD26" i="13"/>
  <c r="AG10" i="13" s="1"/>
  <c r="BH35" i="23"/>
  <c r="BL35" i="23" s="1"/>
  <c r="AM10" i="23" s="1"/>
  <c r="AZ35" i="23"/>
  <c r="BD35" i="23" s="1"/>
  <c r="AH10" i="23" s="1"/>
  <c r="BL52" i="39"/>
  <c r="AO9" i="39" s="1"/>
  <c r="BD42" i="12"/>
  <c r="AI8" i="12" s="1"/>
  <c r="BF31" i="31"/>
  <c r="BL31" i="31" s="1"/>
  <c r="AM6" i="31" s="1"/>
  <c r="AX31" i="31"/>
  <c r="BD31" i="31" s="1"/>
  <c r="AH6" i="31" s="1"/>
  <c r="BD35" i="26"/>
  <c r="AH10" i="26" s="1"/>
  <c r="BL22" i="27"/>
  <c r="AL6" i="27" s="1"/>
  <c r="BL24" i="24"/>
  <c r="AL8" i="24" s="1"/>
  <c r="AK178" i="6"/>
  <c r="AJ178" i="6"/>
  <c r="AI178" i="6"/>
  <c r="A273" i="61"/>
  <c r="AK78" i="6"/>
  <c r="AJ78" i="6"/>
  <c r="AI78" i="6"/>
  <c r="AK157" i="6"/>
  <c r="AJ157" i="6"/>
  <c r="AI157" i="6"/>
  <c r="A449" i="61"/>
  <c r="AK122" i="6"/>
  <c r="AJ122" i="6"/>
  <c r="AI122" i="6"/>
  <c r="A241" i="61"/>
  <c r="AK70" i="6"/>
  <c r="AJ70" i="6"/>
  <c r="AI70" i="6"/>
  <c r="A465" i="61"/>
  <c r="AK126" i="6"/>
  <c r="AJ126" i="6"/>
  <c r="AI126" i="6"/>
  <c r="AK201" i="6"/>
  <c r="AJ201" i="6"/>
  <c r="AI201" i="6"/>
  <c r="AK150" i="6"/>
  <c r="AJ150" i="6"/>
  <c r="AI150" i="6"/>
  <c r="A249" i="61"/>
  <c r="AK72" i="6"/>
  <c r="AJ72" i="6"/>
  <c r="AI72" i="6"/>
  <c r="A365" i="61"/>
  <c r="AK101" i="6"/>
  <c r="AJ101" i="6"/>
  <c r="AI101" i="6"/>
  <c r="A357" i="61"/>
  <c r="AK99" i="6"/>
  <c r="AJ99" i="6"/>
  <c r="AI99" i="6"/>
  <c r="AK163" i="6"/>
  <c r="AJ163" i="6"/>
  <c r="AI163" i="6"/>
  <c r="A285" i="61"/>
  <c r="AK81" i="6"/>
  <c r="AJ81" i="6"/>
  <c r="AI81" i="6"/>
  <c r="AK145" i="6"/>
  <c r="AJ145" i="6"/>
  <c r="AI145" i="6"/>
  <c r="A405" i="61"/>
  <c r="AI111" i="6"/>
  <c r="AK111" i="6"/>
  <c r="AJ111" i="6"/>
  <c r="AI175" i="6"/>
  <c r="AK175" i="6"/>
  <c r="AJ175" i="6"/>
  <c r="BD40" i="20"/>
  <c r="AI6" i="20" s="1"/>
  <c r="BL27" i="20"/>
  <c r="AL11" i="20" s="1"/>
  <c r="AY49" i="23"/>
  <c r="BG49" i="23"/>
  <c r="BL49" i="23" s="1"/>
  <c r="AO6" i="23" s="1"/>
  <c r="BB24" i="27"/>
  <c r="BD24" i="27" s="1"/>
  <c r="AG8" i="27" s="1"/>
  <c r="BJ24" i="27"/>
  <c r="BL24" i="27" s="1"/>
  <c r="AL8" i="27" s="1"/>
  <c r="BD35" i="27"/>
  <c r="AH10" i="27" s="1"/>
  <c r="BL27" i="16"/>
  <c r="AL11" i="16" s="1"/>
  <c r="BD27" i="23"/>
  <c r="AG11" i="23" s="1"/>
  <c r="BD54" i="22"/>
  <c r="AJ11" i="22" s="1"/>
  <c r="BL36" i="21"/>
  <c r="AM11" i="21" s="1"/>
  <c r="AZ23" i="26"/>
  <c r="BD23" i="26" s="1"/>
  <c r="AG7" i="26" s="1"/>
  <c r="BH23" i="26"/>
  <c r="BL23" i="26" s="1"/>
  <c r="AL7" i="26" s="1"/>
  <c r="BD24" i="29"/>
  <c r="AG8" i="29" s="1"/>
  <c r="AS8" i="29" s="1"/>
  <c r="BD53" i="21"/>
  <c r="AJ10" i="21" s="1"/>
  <c r="BD45" i="12"/>
  <c r="AI11" i="12" s="1"/>
  <c r="AS11" i="12" s="1"/>
  <c r="AZ42" i="26"/>
  <c r="BD42" i="26" s="1"/>
  <c r="AI8" i="26" s="1"/>
  <c r="BH42" i="26"/>
  <c r="BL42" i="26" s="1"/>
  <c r="AN8" i="26" s="1"/>
  <c r="BD24" i="40"/>
  <c r="AG8" i="40" s="1"/>
  <c r="BD23" i="30"/>
  <c r="AG7" i="30" s="1"/>
  <c r="AS7" i="30" s="1"/>
  <c r="BG31" i="23"/>
  <c r="BL31" i="23" s="1"/>
  <c r="AM6" i="23" s="1"/>
  <c r="AY31" i="23"/>
  <c r="BD31" i="23" s="1"/>
  <c r="AH6" i="23" s="1"/>
  <c r="BD33" i="26"/>
  <c r="AH8" i="26" s="1"/>
  <c r="BD25" i="27"/>
  <c r="AG9" i="27" s="1"/>
  <c r="BL53" i="40"/>
  <c r="AO10" i="40" s="1"/>
  <c r="BL35" i="16"/>
  <c r="AM10" i="16" s="1"/>
  <c r="BD41" i="27"/>
  <c r="AI7" i="27" s="1"/>
  <c r="BF36" i="35"/>
  <c r="BL36" i="35" s="1"/>
  <c r="AM11" i="35" s="1"/>
  <c r="AX36" i="35"/>
  <c r="BD36" i="35" s="1"/>
  <c r="AH11" i="35" s="1"/>
  <c r="BF50" i="42"/>
  <c r="BL50" i="42" s="1"/>
  <c r="AO7" i="42" s="1"/>
  <c r="AX50" i="42"/>
  <c r="BD50" i="42" s="1"/>
  <c r="AJ7" i="42" s="1"/>
  <c r="BD31" i="28"/>
  <c r="AH6" i="28" s="1"/>
  <c r="AX52" i="14"/>
  <c r="BD52" i="14" s="1"/>
  <c r="AJ9" i="14" s="1"/>
  <c r="BF52" i="14"/>
  <c r="BL52" i="14" s="1"/>
  <c r="AO9" i="14" s="1"/>
  <c r="BD31" i="24"/>
  <c r="AH6" i="24" s="1"/>
  <c r="BL45" i="41"/>
  <c r="AN11" i="41" s="1"/>
  <c r="BI33" i="22"/>
  <c r="BL33" i="22" s="1"/>
  <c r="AM8" i="22" s="1"/>
  <c r="BA33" i="22"/>
  <c r="BD33" i="22" s="1"/>
  <c r="AH8" i="22" s="1"/>
  <c r="AX35" i="14"/>
  <c r="BD35" i="14" s="1"/>
  <c r="AH10" i="14" s="1"/>
  <c r="BF35" i="14"/>
  <c r="BL35" i="14" s="1"/>
  <c r="AM10" i="14" s="1"/>
  <c r="BJ45" i="27"/>
  <c r="BL45" i="27" s="1"/>
  <c r="AN11" i="27" s="1"/>
  <c r="BB45" i="27"/>
  <c r="BD45" i="27" s="1"/>
  <c r="AI11" i="27" s="1"/>
  <c r="AX23" i="17"/>
  <c r="BD23" i="17" s="1"/>
  <c r="AG7" i="17" s="1"/>
  <c r="BF23" i="17"/>
  <c r="BL23" i="17" s="1"/>
  <c r="AL7" i="17" s="1"/>
  <c r="AZ32" i="26"/>
  <c r="BH32" i="26"/>
  <c r="BL32" i="26" s="1"/>
  <c r="AM7" i="26" s="1"/>
  <c r="AY26" i="23"/>
  <c r="BG26" i="23"/>
  <c r="BD41" i="39"/>
  <c r="AI7" i="39" s="1"/>
  <c r="BL54" i="28"/>
  <c r="AO11" i="28" s="1"/>
  <c r="BD22" i="24"/>
  <c r="AG6" i="24" s="1"/>
  <c r="H61" i="61"/>
  <c r="H109" i="61"/>
  <c r="H177" i="61"/>
  <c r="H169" i="61"/>
  <c r="H141" i="61"/>
  <c r="H133" i="61"/>
  <c r="H81" i="61"/>
  <c r="AJ37" i="6"/>
  <c r="AJ54" i="6"/>
  <c r="AJ34" i="6"/>
  <c r="AJ30" i="6"/>
  <c r="AJ43" i="6"/>
  <c r="AJ52" i="6"/>
  <c r="AJ25" i="6"/>
  <c r="AJ45" i="6"/>
  <c r="H97" i="61"/>
  <c r="BD32" i="32"/>
  <c r="AH7" i="32" s="1"/>
  <c r="AS7" i="32" s="1"/>
  <c r="BL34" i="41"/>
  <c r="AM9" i="41" s="1"/>
  <c r="BG49" i="30"/>
  <c r="BL49" i="30" s="1"/>
  <c r="AO6" i="30" s="1"/>
  <c r="AY49" i="30"/>
  <c r="BD49" i="30" s="1"/>
  <c r="AJ6" i="30" s="1"/>
  <c r="BD53" i="24"/>
  <c r="AJ10" i="24" s="1"/>
  <c r="BB54" i="27"/>
  <c r="BD54" i="27" s="1"/>
  <c r="AJ11" i="27" s="1"/>
  <c r="BJ54" i="27"/>
  <c r="BF24" i="31"/>
  <c r="BL24" i="31" s="1"/>
  <c r="AL8" i="31" s="1"/>
  <c r="AX24" i="31"/>
  <c r="BD24" i="31" s="1"/>
  <c r="AG8" i="31" s="1"/>
  <c r="AS8" i="31" s="1"/>
  <c r="AX32" i="25"/>
  <c r="BD32" i="25" s="1"/>
  <c r="AH7" i="25" s="1"/>
  <c r="BF32" i="25"/>
  <c r="BL32" i="25" s="1"/>
  <c r="AM7" i="25" s="1"/>
  <c r="BD44" i="41"/>
  <c r="AI10" i="41" s="1"/>
  <c r="AY45" i="16"/>
  <c r="BD45" i="16" s="1"/>
  <c r="AI11" i="16" s="1"/>
  <c r="BG45" i="16"/>
  <c r="BL45" i="16" s="1"/>
  <c r="AN11" i="16" s="1"/>
  <c r="AX54" i="17"/>
  <c r="BD54" i="17" s="1"/>
  <c r="AJ11" i="17" s="1"/>
  <c r="BF54" i="17"/>
  <c r="BL54" i="17" s="1"/>
  <c r="AO11" i="17" s="1"/>
  <c r="AX44" i="11"/>
  <c r="BD44" i="11" s="1"/>
  <c r="AI10" i="11" s="1"/>
  <c r="BF44" i="11"/>
  <c r="BL44" i="11" s="1"/>
  <c r="AN10" i="11" s="1"/>
  <c r="BL26" i="38"/>
  <c r="AL10" i="38" s="1"/>
  <c r="AX32" i="17"/>
  <c r="BD32" i="17" s="1"/>
  <c r="AH7" i="17" s="1"/>
  <c r="BF32" i="17"/>
  <c r="BL32" i="17" s="1"/>
  <c r="AM7" i="17" s="1"/>
  <c r="BL26" i="28"/>
  <c r="AL10" i="28" s="1"/>
  <c r="BA50" i="22"/>
  <c r="BD50" i="22" s="1"/>
  <c r="AJ7" i="22" s="1"/>
  <c r="BI50" i="22"/>
  <c r="BL50" i="22" s="1"/>
  <c r="AO7" i="22" s="1"/>
  <c r="BJ43" i="19"/>
  <c r="BL43" i="19" s="1"/>
  <c r="AN9" i="19" s="1"/>
  <c r="BB43" i="19"/>
  <c r="BD43" i="19" s="1"/>
  <c r="AI9" i="19" s="1"/>
  <c r="BD36" i="38"/>
  <c r="AH11" i="38" s="1"/>
  <c r="BL51" i="15"/>
  <c r="AO8" i="15" s="1"/>
  <c r="BL32" i="33"/>
  <c r="AM7" i="33" s="1"/>
  <c r="BL50" i="28"/>
  <c r="AO7" i="28" s="1"/>
  <c r="AZ52" i="23"/>
  <c r="BD52" i="23" s="1"/>
  <c r="AJ9" i="23" s="1"/>
  <c r="BH52" i="23"/>
  <c r="BL49" i="34"/>
  <c r="AO6" i="34" s="1"/>
  <c r="AY23" i="20"/>
  <c r="BG23" i="20"/>
  <c r="BF24" i="14"/>
  <c r="BL24" i="14" s="1"/>
  <c r="AL8" i="14" s="1"/>
  <c r="AX24" i="14"/>
  <c r="BD24" i="14" s="1"/>
  <c r="AG8" i="14" s="1"/>
  <c r="AS8" i="14" s="1"/>
  <c r="BL27" i="39"/>
  <c r="AL11" i="39" s="1"/>
  <c r="BH35" i="24"/>
  <c r="BL35" i="24" s="1"/>
  <c r="AM10" i="24" s="1"/>
  <c r="AZ35" i="24"/>
  <c r="BD35" i="24" s="1"/>
  <c r="AH10" i="24" s="1"/>
  <c r="BD54" i="36"/>
  <c r="AJ11" i="36" s="1"/>
  <c r="BD26" i="19"/>
  <c r="AG10" i="19" s="1"/>
  <c r="BL49" i="40"/>
  <c r="AO6" i="40" s="1"/>
  <c r="BD43" i="28"/>
  <c r="AI9" i="28" s="1"/>
  <c r="AS9" i="28" s="1"/>
  <c r="AZ32" i="18"/>
  <c r="BD32" i="18" s="1"/>
  <c r="AH7" i="18" s="1"/>
  <c r="BH32" i="18"/>
  <c r="BL32" i="18" s="1"/>
  <c r="AM7" i="18" s="1"/>
  <c r="AZ52" i="24"/>
  <c r="BD52" i="24" s="1"/>
  <c r="AJ9" i="24" s="1"/>
  <c r="BH52" i="24"/>
  <c r="BL23" i="20"/>
  <c r="AL7" i="20" s="1"/>
  <c r="AX44" i="14"/>
  <c r="BD44" i="14" s="1"/>
  <c r="AI10" i="14" s="1"/>
  <c r="BF44" i="14"/>
  <c r="BL44" i="14" s="1"/>
  <c r="AN10" i="14" s="1"/>
  <c r="AX45" i="25"/>
  <c r="BD45" i="25" s="1"/>
  <c r="AI11" i="25" s="1"/>
  <c r="BF45" i="25"/>
  <c r="BL45" i="25" s="1"/>
  <c r="AN11" i="25" s="1"/>
  <c r="BL43" i="15"/>
  <c r="AN9" i="15" s="1"/>
  <c r="BD49" i="29"/>
  <c r="AJ6" i="29" s="1"/>
  <c r="BD41" i="41"/>
  <c r="AI7" i="41" s="1"/>
  <c r="AZ52" i="26"/>
  <c r="BD52" i="26" s="1"/>
  <c r="AJ9" i="26" s="1"/>
  <c r="BH52" i="26"/>
  <c r="BL34" i="12"/>
  <c r="AM9" i="12" s="1"/>
  <c r="BD40" i="18"/>
  <c r="AI6" i="18" s="1"/>
  <c r="BL41" i="22"/>
  <c r="AN7" i="22" s="1"/>
  <c r="BL22" i="21"/>
  <c r="AL6" i="21" s="1"/>
  <c r="BL51" i="21"/>
  <c r="AO8" i="21" s="1"/>
  <c r="AZ40" i="35"/>
  <c r="BH40" i="35"/>
  <c r="BL42" i="34"/>
  <c r="AN8" i="34" s="1"/>
  <c r="BL31" i="38"/>
  <c r="AM6" i="38" s="1"/>
  <c r="BL32" i="29"/>
  <c r="AM7" i="29" s="1"/>
  <c r="BL27" i="22"/>
  <c r="AL11" i="22" s="1"/>
  <c r="BF32" i="11"/>
  <c r="BL32" i="11" s="1"/>
  <c r="AM7" i="11" s="1"/>
  <c r="AX32" i="11"/>
  <c r="BD32" i="11" s="1"/>
  <c r="AH7" i="11" s="1"/>
  <c r="BL36" i="26"/>
  <c r="AM11" i="26" s="1"/>
  <c r="BL23" i="27"/>
  <c r="AL7" i="27" s="1"/>
  <c r="BF42" i="42"/>
  <c r="BL42" i="42" s="1"/>
  <c r="AN8" i="42" s="1"/>
  <c r="AX42" i="42"/>
  <c r="BD42" i="42" s="1"/>
  <c r="AI8" i="42" s="1"/>
  <c r="BL31" i="16"/>
  <c r="AM6" i="16" s="1"/>
  <c r="BD50" i="41"/>
  <c r="AJ7" i="41" s="1"/>
  <c r="AX33" i="42"/>
  <c r="BD33" i="42" s="1"/>
  <c r="AH8" i="42" s="1"/>
  <c r="BF33" i="42"/>
  <c r="BL33" i="42" s="1"/>
  <c r="AM8" i="42" s="1"/>
  <c r="AY25" i="16"/>
  <c r="BD25" i="16" s="1"/>
  <c r="AG9" i="16" s="1"/>
  <c r="AS9" i="16" s="1"/>
  <c r="BG25" i="16"/>
  <c r="BL25" i="16" s="1"/>
  <c r="AL9" i="16" s="1"/>
  <c r="BL50" i="33"/>
  <c r="AO7" i="33" s="1"/>
  <c r="BL24" i="39"/>
  <c r="AL8" i="39" s="1"/>
  <c r="BD25" i="32"/>
  <c r="AG9" i="32" s="1"/>
  <c r="AS9" i="32" s="1"/>
  <c r="BD31" i="34"/>
  <c r="AH6" i="34" s="1"/>
  <c r="AS6" i="34" s="1"/>
  <c r="BD34" i="21"/>
  <c r="AH9" i="21" s="1"/>
  <c r="BD33" i="15"/>
  <c r="AH8" i="15" s="1"/>
  <c r="AS8" i="15" s="1"/>
  <c r="BL22" i="29"/>
  <c r="AL6" i="29" s="1"/>
  <c r="BH41" i="23"/>
  <c r="BL41" i="23" s="1"/>
  <c r="AN7" i="23" s="1"/>
  <c r="AZ41" i="23"/>
  <c r="BD41" i="23" s="1"/>
  <c r="AI7" i="23" s="1"/>
  <c r="AX44" i="17"/>
  <c r="BD44" i="17" s="1"/>
  <c r="AI10" i="17" s="1"/>
  <c r="BF44" i="17"/>
  <c r="BL44" i="17" s="1"/>
  <c r="AN10" i="17" s="1"/>
  <c r="BL51" i="28"/>
  <c r="AO8" i="28" s="1"/>
  <c r="AX27" i="42"/>
  <c r="BD27" i="42" s="1"/>
  <c r="AG11" i="42" s="1"/>
  <c r="BF27" i="42"/>
  <c r="BL27" i="42" s="1"/>
  <c r="AL11" i="42" s="1"/>
  <c r="BL53" i="13"/>
  <c r="AO10" i="13" s="1"/>
  <c r="BL23" i="41"/>
  <c r="AL7" i="41" s="1"/>
  <c r="BD45" i="13"/>
  <c r="AI11" i="13" s="1"/>
  <c r="BD34" i="40"/>
  <c r="AH9" i="40" s="1"/>
  <c r="AS9" i="40" s="1"/>
  <c r="BD53" i="20"/>
  <c r="AJ10" i="20" s="1"/>
  <c r="BD26" i="33"/>
  <c r="AG10" i="33" s="1"/>
  <c r="AS10" i="33" s="1"/>
  <c r="AZ41" i="24"/>
  <c r="BH41" i="24"/>
  <c r="BL41" i="24" s="1"/>
  <c r="AN7" i="24" s="1"/>
  <c r="BL27" i="19"/>
  <c r="AL11" i="19" s="1"/>
  <c r="BB31" i="19"/>
  <c r="BD31" i="19" s="1"/>
  <c r="AH6" i="19" s="1"/>
  <c r="BJ31" i="19"/>
  <c r="BL31" i="19" s="1"/>
  <c r="AM6" i="19" s="1"/>
  <c r="BD40" i="33"/>
  <c r="AI6" i="33" s="1"/>
  <c r="AY45" i="23"/>
  <c r="BD45" i="23" s="1"/>
  <c r="AI11" i="23" s="1"/>
  <c r="BG45" i="23"/>
  <c r="BL45" i="23" s="1"/>
  <c r="AN11" i="23" s="1"/>
  <c r="BD49" i="38"/>
  <c r="AJ6" i="38" s="1"/>
  <c r="AS10" i="10"/>
  <c r="BD24" i="20"/>
  <c r="AG8" i="20" s="1"/>
  <c r="AZ43" i="18"/>
  <c r="BD43" i="18" s="1"/>
  <c r="AI9" i="18" s="1"/>
  <c r="BH43" i="18"/>
  <c r="BL43" i="18" s="1"/>
  <c r="AN9" i="18" s="1"/>
  <c r="BL45" i="26"/>
  <c r="AN11" i="26" s="1"/>
  <c r="BF53" i="31"/>
  <c r="BL53" i="31" s="1"/>
  <c r="AO10" i="31" s="1"/>
  <c r="AX53" i="31"/>
  <c r="BD53" i="31" s="1"/>
  <c r="AJ10" i="31" s="1"/>
  <c r="BL34" i="36"/>
  <c r="AM9" i="36" s="1"/>
  <c r="BL24" i="26"/>
  <c r="AL8" i="26" s="1"/>
  <c r="AZ25" i="35"/>
  <c r="BH25" i="35"/>
  <c r="BD50" i="16"/>
  <c r="AJ7" i="16" s="1"/>
  <c r="BH22" i="35"/>
  <c r="AZ22" i="35"/>
  <c r="BD40" i="19"/>
  <c r="AI6" i="19" s="1"/>
  <c r="BL35" i="41"/>
  <c r="AM10" i="41" s="1"/>
  <c r="AS10" i="41" s="1"/>
  <c r="BD27" i="26"/>
  <c r="AG11" i="26" s="1"/>
  <c r="AX22" i="11"/>
  <c r="BD22" i="11" s="1"/>
  <c r="AG6" i="11" s="1"/>
  <c r="AS6" i="11" s="1"/>
  <c r="BF22" i="11"/>
  <c r="BL22" i="11" s="1"/>
  <c r="AL6" i="11" s="1"/>
  <c r="BL42" i="41"/>
  <c r="AN8" i="41" s="1"/>
  <c r="BG44" i="20"/>
  <c r="BL44" i="20" s="1"/>
  <c r="AN10" i="20" s="1"/>
  <c r="AY44" i="20"/>
  <c r="BD44" i="20" s="1"/>
  <c r="AI10" i="20" s="1"/>
  <c r="BD26" i="32"/>
  <c r="AG10" i="32" s="1"/>
  <c r="AS10" i="32" s="1"/>
  <c r="AY35" i="20"/>
  <c r="BD35" i="20" s="1"/>
  <c r="AH10" i="20" s="1"/>
  <c r="BG35" i="20"/>
  <c r="BL35" i="21"/>
  <c r="AM10" i="21" s="1"/>
  <c r="BD50" i="15"/>
  <c r="AJ7" i="15" s="1"/>
  <c r="AS7" i="15" s="1"/>
  <c r="BL41" i="21"/>
  <c r="AN7" i="21" s="1"/>
  <c r="BL34" i="22"/>
  <c r="AM9" i="22" s="1"/>
  <c r="BJ23" i="19"/>
  <c r="BL23" i="19" s="1"/>
  <c r="AL7" i="19" s="1"/>
  <c r="BB23" i="19"/>
  <c r="BD23" i="19" s="1"/>
  <c r="AG7" i="19" s="1"/>
  <c r="BD36" i="33"/>
  <c r="AH11" i="33" s="1"/>
  <c r="AS11" i="33" s="1"/>
  <c r="AX41" i="35"/>
  <c r="BD41" i="35" s="1"/>
  <c r="AI7" i="35" s="1"/>
  <c r="BF41" i="35"/>
  <c r="BL41" i="35" s="1"/>
  <c r="AN7" i="35" s="1"/>
  <c r="BD32" i="22"/>
  <c r="AH7" i="22" s="1"/>
  <c r="BI26" i="22"/>
  <c r="BL26" i="22" s="1"/>
  <c r="AL10" i="22" s="1"/>
  <c r="BA26" i="22"/>
  <c r="AZ54" i="35"/>
  <c r="BH54" i="35"/>
  <c r="BD32" i="26"/>
  <c r="AH7" i="26" s="1"/>
  <c r="BL25" i="19"/>
  <c r="AL9" i="19" s="1"/>
  <c r="AZ22" i="23"/>
  <c r="BH22" i="23"/>
  <c r="AY44" i="30"/>
  <c r="BD44" i="30" s="1"/>
  <c r="AI10" i="30" s="1"/>
  <c r="BG44" i="30"/>
  <c r="BL44" i="30" s="1"/>
  <c r="AN10" i="30" s="1"/>
  <c r="BL51" i="41"/>
  <c r="AO8" i="41" s="1"/>
  <c r="BL33" i="39"/>
  <c r="AM8" i="39" s="1"/>
  <c r="AY33" i="16"/>
  <c r="BD33" i="16" s="1"/>
  <c r="AH8" i="16" s="1"/>
  <c r="BG33" i="16"/>
  <c r="BL33" i="16" s="1"/>
  <c r="AM8" i="16" s="1"/>
  <c r="BL26" i="23"/>
  <c r="AL10" i="23" s="1"/>
  <c r="BB34" i="27"/>
  <c r="BD34" i="27" s="1"/>
  <c r="AH9" i="27" s="1"/>
  <c r="BJ34" i="27"/>
  <c r="BL34" i="27" s="1"/>
  <c r="AM9" i="27" s="1"/>
  <c r="BD34" i="23"/>
  <c r="AH9" i="23" s="1"/>
  <c r="BD27" i="15"/>
  <c r="AG11" i="15" s="1"/>
  <c r="AS11" i="15" s="1"/>
  <c r="AX25" i="25"/>
  <c r="BD25" i="25" s="1"/>
  <c r="AG9" i="25" s="1"/>
  <c r="AS9" i="25" s="1"/>
  <c r="BF25" i="25"/>
  <c r="BL25" i="25" s="1"/>
  <c r="AL9" i="25" s="1"/>
  <c r="BL51" i="22"/>
  <c r="AO8" i="22" s="1"/>
  <c r="AZ32" i="23"/>
  <c r="BD32" i="23" s="1"/>
  <c r="AH7" i="23" s="1"/>
  <c r="BH32" i="23"/>
  <c r="BL32" i="23" s="1"/>
  <c r="AM7" i="23" s="1"/>
  <c r="BD33" i="21"/>
  <c r="AH8" i="21" s="1"/>
  <c r="AS8" i="21" s="1"/>
  <c r="BA44" i="22"/>
  <c r="BD44" i="22" s="1"/>
  <c r="AI10" i="22" s="1"/>
  <c r="BI44" i="22"/>
  <c r="BL44" i="22" s="1"/>
  <c r="AN10" i="22" s="1"/>
  <c r="BB54" i="19"/>
  <c r="BD54" i="19" s="1"/>
  <c r="AJ11" i="19" s="1"/>
  <c r="BJ54" i="19"/>
  <c r="AX36" i="31"/>
  <c r="BD36" i="31" s="1"/>
  <c r="AH11" i="31" s="1"/>
  <c r="BF36" i="31"/>
  <c r="BL36" i="31" s="1"/>
  <c r="AM11" i="31" s="1"/>
  <c r="BL35" i="26"/>
  <c r="AM10" i="26" s="1"/>
  <c r="AS8" i="33"/>
  <c r="BD22" i="27"/>
  <c r="AG6" i="27" s="1"/>
  <c r="BD24" i="24"/>
  <c r="AG8" i="24" s="1"/>
  <c r="A481" i="61"/>
  <c r="AK130" i="6"/>
  <c r="AJ130" i="6"/>
  <c r="AI130" i="6"/>
  <c r="AK179" i="6"/>
  <c r="AJ179" i="6"/>
  <c r="AI179" i="6"/>
  <c r="AK154" i="6"/>
  <c r="AJ154" i="6"/>
  <c r="AI154" i="6"/>
  <c r="A321" i="61"/>
  <c r="AK90" i="6"/>
  <c r="AJ90" i="6"/>
  <c r="AI90" i="6"/>
  <c r="AK184" i="6"/>
  <c r="AJ184" i="6"/>
  <c r="AI184" i="6"/>
  <c r="AK170" i="6"/>
  <c r="AJ170" i="6"/>
  <c r="AI170" i="6"/>
  <c r="AK146" i="6"/>
  <c r="AJ146" i="6"/>
  <c r="AI146" i="6"/>
  <c r="A337" i="61"/>
  <c r="AK94" i="6"/>
  <c r="AJ94" i="6"/>
  <c r="AI94" i="6"/>
  <c r="AK173" i="6"/>
  <c r="AJ173" i="6"/>
  <c r="AI173" i="6"/>
  <c r="A433" i="61"/>
  <c r="AK118" i="6"/>
  <c r="AJ118" i="6"/>
  <c r="AI118" i="6"/>
  <c r="AK197" i="6"/>
  <c r="AJ197" i="6"/>
  <c r="AI197" i="6"/>
  <c r="A397" i="61"/>
  <c r="AK109" i="6"/>
  <c r="AJ109" i="6"/>
  <c r="AI109" i="6"/>
  <c r="A389" i="61"/>
  <c r="AK107" i="6"/>
  <c r="AJ107" i="6"/>
  <c r="AI107" i="6"/>
  <c r="AK171" i="6"/>
  <c r="AJ171" i="6"/>
  <c r="AI171" i="6"/>
  <c r="A317" i="61"/>
  <c r="AK89" i="6"/>
  <c r="AJ89" i="6"/>
  <c r="AI89" i="6"/>
  <c r="AK153" i="6"/>
  <c r="AJ153" i="6"/>
  <c r="AI153" i="6"/>
  <c r="A437" i="61"/>
  <c r="AI119" i="6"/>
  <c r="AK119" i="6"/>
  <c r="AJ119" i="6"/>
  <c r="BL40" i="20"/>
  <c r="AN6" i="20" s="1"/>
  <c r="BD27" i="20"/>
  <c r="AG11" i="20" s="1"/>
  <c r="AY51" i="23"/>
  <c r="BD51" i="23" s="1"/>
  <c r="AJ8" i="23" s="1"/>
  <c r="BG51" i="23"/>
  <c r="BL51" i="23" s="1"/>
  <c r="AO8" i="23" s="1"/>
  <c r="BL25" i="26"/>
  <c r="AL9" i="26" s="1"/>
  <c r="BL52" i="24"/>
  <c r="AO9" i="24" s="1"/>
  <c r="BL36" i="24"/>
  <c r="AM11" i="24" s="1"/>
  <c r="BB26" i="27"/>
  <c r="BD26" i="27" s="1"/>
  <c r="AG10" i="27" s="1"/>
  <c r="BJ26" i="27"/>
  <c r="BL26" i="27" s="1"/>
  <c r="AL10" i="27" s="1"/>
  <c r="BD23" i="36"/>
  <c r="AG7" i="36" s="1"/>
  <c r="AS7" i="36" s="1"/>
  <c r="BL35" i="19"/>
  <c r="AM10" i="19" s="1"/>
  <c r="BL22" i="15"/>
  <c r="AL6" i="15" s="1"/>
  <c r="BD49" i="23"/>
  <c r="AJ6" i="23" s="1"/>
  <c r="BL54" i="22"/>
  <c r="AO11" i="22" s="1"/>
  <c r="BD36" i="21"/>
  <c r="AH11" i="21" s="1"/>
  <c r="AZ25" i="26"/>
  <c r="BD25" i="26" s="1"/>
  <c r="AG9" i="26" s="1"/>
  <c r="BH25" i="26"/>
  <c r="BD50" i="32"/>
  <c r="AJ7" i="32" s="1"/>
  <c r="BL35" i="20"/>
  <c r="AM10" i="20" s="1"/>
  <c r="BL25" i="41"/>
  <c r="AL9" i="41" s="1"/>
  <c r="BL43" i="13"/>
  <c r="AN9" i="13" s="1"/>
  <c r="BL23" i="40"/>
  <c r="AL7" i="40" s="1"/>
  <c r="BL24" i="40"/>
  <c r="AL8" i="40" s="1"/>
  <c r="AY36" i="23"/>
  <c r="BD36" i="23" s="1"/>
  <c r="AH11" i="23" s="1"/>
  <c r="BG36" i="23"/>
  <c r="BL36" i="23" s="1"/>
  <c r="AM11" i="23" s="1"/>
  <c r="BL45" i="28"/>
  <c r="AN11" i="28" s="1"/>
  <c r="AY52" i="16"/>
  <c r="BD52" i="16" s="1"/>
  <c r="AJ9" i="16" s="1"/>
  <c r="BG52" i="16"/>
  <c r="BL52" i="16" s="1"/>
  <c r="AO9" i="16" s="1"/>
  <c r="BD35" i="16"/>
  <c r="AH10" i="16" s="1"/>
  <c r="BL41" i="27"/>
  <c r="AN7" i="27" s="1"/>
  <c r="BL33" i="32"/>
  <c r="AM8" i="32" s="1"/>
  <c r="BL33" i="41"/>
  <c r="AM8" i="41" s="1"/>
  <c r="AX33" i="35"/>
  <c r="BD33" i="35" s="1"/>
  <c r="AH8" i="35" s="1"/>
  <c r="BF33" i="35"/>
  <c r="BL33" i="35" s="1"/>
  <c r="AM8" i="35" s="1"/>
  <c r="AX54" i="42"/>
  <c r="BD54" i="42" s="1"/>
  <c r="AJ11" i="42" s="1"/>
  <c r="BF54" i="42"/>
  <c r="BL54" i="42" s="1"/>
  <c r="AO11" i="42" s="1"/>
  <c r="AX49" i="14"/>
  <c r="BD49" i="14" s="1"/>
  <c r="AJ6" i="14" s="1"/>
  <c r="BF49" i="14"/>
  <c r="BL49" i="14" s="1"/>
  <c r="AO6" i="14" s="1"/>
  <c r="BL44" i="36"/>
  <c r="AN10" i="36" s="1"/>
  <c r="BD45" i="41"/>
  <c r="AI11" i="41" s="1"/>
  <c r="BA35" i="22"/>
  <c r="BD35" i="22" s="1"/>
  <c r="AH10" i="22" s="1"/>
  <c r="BI35" i="22"/>
  <c r="BL35" i="22" s="1"/>
  <c r="AM10" i="22" s="1"/>
  <c r="AX32" i="14"/>
  <c r="BD32" i="14" s="1"/>
  <c r="AH7" i="14" s="1"/>
  <c r="BF32" i="14"/>
  <c r="BL32" i="14" s="1"/>
  <c r="AM7" i="14" s="1"/>
  <c r="BL52" i="23"/>
  <c r="AO9" i="23" s="1"/>
  <c r="BB42" i="27"/>
  <c r="BD42" i="27" s="1"/>
  <c r="AI8" i="27" s="1"/>
  <c r="BJ42" i="27"/>
  <c r="BL42" i="27" s="1"/>
  <c r="AN8" i="27" s="1"/>
  <c r="AX25" i="17"/>
  <c r="BD25" i="17" s="1"/>
  <c r="AG9" i="17" s="1"/>
  <c r="BF25" i="17"/>
  <c r="BL25" i="17" s="1"/>
  <c r="AL9" i="17" s="1"/>
  <c r="BL54" i="27"/>
  <c r="AO11" i="27" s="1"/>
  <c r="AY22" i="23"/>
  <c r="BD22" i="23" s="1"/>
  <c r="AG6" i="23" s="1"/>
  <c r="BG22" i="23"/>
  <c r="BL22" i="23" s="1"/>
  <c r="AL6" i="23" s="1"/>
  <c r="BD54" i="28"/>
  <c r="AJ11" i="28" s="1"/>
  <c r="BL22" i="33"/>
  <c r="AL6" i="33" s="1"/>
  <c r="BL51" i="18"/>
  <c r="AO8" i="18" s="1"/>
  <c r="BL22" i="24"/>
  <c r="AL6" i="24" s="1"/>
  <c r="BD41" i="24"/>
  <c r="AI7" i="24" s="1"/>
  <c r="AS11" i="10"/>
  <c r="AY54" i="30"/>
  <c r="BD54" i="30" s="1"/>
  <c r="AJ11" i="30" s="1"/>
  <c r="BG54" i="30"/>
  <c r="BL54" i="30" s="1"/>
  <c r="AO11" i="30" s="1"/>
  <c r="BL40" i="15"/>
  <c r="AN6" i="15" s="1"/>
  <c r="BJ51" i="27"/>
  <c r="BL51" i="27" s="1"/>
  <c r="AO8" i="27" s="1"/>
  <c r="BB51" i="27"/>
  <c r="BD51" i="27" s="1"/>
  <c r="AJ8" i="27" s="1"/>
  <c r="BL42" i="36"/>
  <c r="AN8" i="36" s="1"/>
  <c r="AX26" i="31"/>
  <c r="BD26" i="31" s="1"/>
  <c r="AG10" i="31" s="1"/>
  <c r="AS10" i="31" s="1"/>
  <c r="BF26" i="31"/>
  <c r="BL26" i="31" s="1"/>
  <c r="AL10" i="31" s="1"/>
  <c r="BF34" i="25"/>
  <c r="BL34" i="25" s="1"/>
  <c r="AM9" i="25" s="1"/>
  <c r="AX34" i="25"/>
  <c r="BD34" i="25" s="1"/>
  <c r="AH9" i="25" s="1"/>
  <c r="AY24" i="30"/>
  <c r="BD24" i="30" s="1"/>
  <c r="AG8" i="30" s="1"/>
  <c r="BG24" i="30"/>
  <c r="BL24" i="30" s="1"/>
  <c r="AL8" i="30" s="1"/>
  <c r="BD43" i="38"/>
  <c r="AI9" i="38" s="1"/>
  <c r="BL41" i="32"/>
  <c r="AN7" i="32" s="1"/>
  <c r="AY42" i="16"/>
  <c r="BD42" i="16" s="1"/>
  <c r="AI8" i="16" s="1"/>
  <c r="BG42" i="16"/>
  <c r="BL42" i="16" s="1"/>
  <c r="AN8" i="16" s="1"/>
  <c r="AX51" i="17"/>
  <c r="BD51" i="17" s="1"/>
  <c r="AJ8" i="17" s="1"/>
  <c r="BF51" i="17"/>
  <c r="BL51" i="17" s="1"/>
  <c r="AO8" i="17" s="1"/>
  <c r="BF41" i="11"/>
  <c r="BL41" i="11" s="1"/>
  <c r="AN7" i="11" s="1"/>
  <c r="AX41" i="11"/>
  <c r="BD41" i="11" s="1"/>
  <c r="AI7" i="11" s="1"/>
  <c r="BD26" i="38"/>
  <c r="AG10" i="38" s="1"/>
  <c r="AS10" i="38" s="1"/>
  <c r="AX34" i="17"/>
  <c r="BD34" i="17" s="1"/>
  <c r="AH9" i="17" s="1"/>
  <c r="BF34" i="17"/>
  <c r="BL34" i="17" s="1"/>
  <c r="AM9" i="17" s="1"/>
  <c r="BD26" i="28"/>
  <c r="AG10" i="28" s="1"/>
  <c r="AS10" i="28" s="1"/>
  <c r="BA52" i="22"/>
  <c r="BD52" i="22" s="1"/>
  <c r="AJ9" i="22" s="1"/>
  <c r="BI52" i="22"/>
  <c r="BL52" i="22" s="1"/>
  <c r="AO9" i="22" s="1"/>
  <c r="BL23" i="34"/>
  <c r="AL7" i="34" s="1"/>
  <c r="BD32" i="40"/>
  <c r="AH7" i="40" s="1"/>
  <c r="BB40" i="19"/>
  <c r="BJ40" i="19"/>
  <c r="BL40" i="19" s="1"/>
  <c r="AN6" i="19" s="1"/>
  <c r="BL36" i="38"/>
  <c r="AM11" i="38" s="1"/>
  <c r="BD51" i="15"/>
  <c r="AJ8" i="15" s="1"/>
  <c r="BD32" i="33"/>
  <c r="AH7" i="33" s="1"/>
  <c r="BD50" i="28"/>
  <c r="AJ7" i="28" s="1"/>
  <c r="AZ54" i="23"/>
  <c r="BH54" i="23"/>
  <c r="BD49" i="34"/>
  <c r="AJ6" i="34" s="1"/>
  <c r="AY25" i="20"/>
  <c r="BD25" i="20" s="1"/>
  <c r="AG9" i="20" s="1"/>
  <c r="BG25" i="20"/>
  <c r="BL25" i="20" s="1"/>
  <c r="AL9" i="20" s="1"/>
  <c r="AX26" i="14"/>
  <c r="BD26" i="14" s="1"/>
  <c r="AG10" i="14" s="1"/>
  <c r="AS10" i="14" s="1"/>
  <c r="BF26" i="14"/>
  <c r="BL26" i="14" s="1"/>
  <c r="AL10" i="14" s="1"/>
  <c r="BD27" i="39"/>
  <c r="AG11" i="39" s="1"/>
  <c r="AS11" i="39" s="1"/>
  <c r="AZ32" i="24"/>
  <c r="BD32" i="24" s="1"/>
  <c r="AH7" i="24" s="1"/>
  <c r="BH32" i="24"/>
  <c r="BL32" i="24" s="1"/>
  <c r="AM7" i="24" s="1"/>
  <c r="BL51" i="13"/>
  <c r="AO8" i="13" s="1"/>
  <c r="BL54" i="36"/>
  <c r="AO11" i="36" s="1"/>
  <c r="AX51" i="35"/>
  <c r="BD51" i="35" s="1"/>
  <c r="AJ8" i="35" s="1"/>
  <c r="BF51" i="35"/>
  <c r="BL51" i="35" s="1"/>
  <c r="AO8" i="35" s="1"/>
  <c r="BL51" i="12"/>
  <c r="AO8" i="12" s="1"/>
  <c r="BH49" i="24"/>
  <c r="BL49" i="24" s="1"/>
  <c r="AO6" i="24" s="1"/>
  <c r="AZ49" i="24"/>
  <c r="BD49" i="24" s="1"/>
  <c r="AJ6" i="24" s="1"/>
  <c r="BD23" i="20"/>
  <c r="AG7" i="20" s="1"/>
  <c r="AX41" i="14"/>
  <c r="BD41" i="14" s="1"/>
  <c r="AI7" i="14" s="1"/>
  <c r="BF41" i="14"/>
  <c r="BL41" i="14" s="1"/>
  <c r="AN7" i="14" s="1"/>
  <c r="BF42" i="25"/>
  <c r="BL42" i="25" s="1"/>
  <c r="AN8" i="25" s="1"/>
  <c r="AX42" i="25"/>
  <c r="BD42" i="25" s="1"/>
  <c r="AI8" i="25" s="1"/>
  <c r="BD43" i="15"/>
  <c r="AI9" i="15" s="1"/>
  <c r="BL49" i="29"/>
  <c r="AO6" i="29" s="1"/>
  <c r="BL41" i="38"/>
  <c r="AN7" i="38" s="1"/>
  <c r="BL41" i="41"/>
  <c r="AN7" i="41" s="1"/>
  <c r="BD26" i="22"/>
  <c r="AG10" i="22" s="1"/>
  <c r="AZ49" i="26"/>
  <c r="BD49" i="26" s="1"/>
  <c r="AJ6" i="26" s="1"/>
  <c r="BH49" i="26"/>
  <c r="BL49" i="26" s="1"/>
  <c r="AO6" i="26" s="1"/>
  <c r="BL26" i="15"/>
  <c r="AL10" i="15" s="1"/>
  <c r="BL33" i="13"/>
  <c r="AM8" i="13" s="1"/>
  <c r="BD25" i="13"/>
  <c r="AG9" i="13" s="1"/>
  <c r="AS9" i="13" s="1"/>
  <c r="BD34" i="12"/>
  <c r="AH9" i="12" s="1"/>
  <c r="BL40" i="18"/>
  <c r="AN6" i="18" s="1"/>
  <c r="BD41" i="22"/>
  <c r="AI7" i="22" s="1"/>
  <c r="BD22" i="21"/>
  <c r="AG6" i="21" s="1"/>
  <c r="AS6" i="21" s="1"/>
  <c r="BD51" i="21"/>
  <c r="AJ8" i="21" s="1"/>
  <c r="AZ45" i="35"/>
  <c r="BH45" i="35"/>
  <c r="BD42" i="34"/>
  <c r="AI8" i="34" s="1"/>
  <c r="BD31" i="38"/>
  <c r="AH6" i="38" s="1"/>
  <c r="BD32" i="29"/>
  <c r="AH7" i="29" s="1"/>
  <c r="AS7" i="29" s="1"/>
  <c r="BD27" i="22"/>
  <c r="AG11" i="22" s="1"/>
  <c r="BF34" i="11"/>
  <c r="BL34" i="11" s="1"/>
  <c r="AM9" i="11" s="1"/>
  <c r="AX34" i="11"/>
  <c r="BD34" i="11" s="1"/>
  <c r="AH9" i="11" s="1"/>
  <c r="BD32" i="21"/>
  <c r="AH7" i="21" s="1"/>
  <c r="BD36" i="26"/>
  <c r="AH11" i="26" s="1"/>
  <c r="BD23" i="27"/>
  <c r="AG7" i="27" s="1"/>
  <c r="AX43" i="42"/>
  <c r="BD43" i="42" s="1"/>
  <c r="AI9" i="42" s="1"/>
  <c r="BF43" i="42"/>
  <c r="BL43" i="42" s="1"/>
  <c r="AN9" i="42" s="1"/>
  <c r="BL42" i="24"/>
  <c r="AN8" i="24" s="1"/>
  <c r="BD31" i="16"/>
  <c r="AH6" i="16" s="1"/>
  <c r="AX35" i="42"/>
  <c r="BD35" i="42" s="1"/>
  <c r="AH10" i="42" s="1"/>
  <c r="BF35" i="42"/>
  <c r="BL35" i="42" s="1"/>
  <c r="AM10" i="42" s="1"/>
  <c r="BG22" i="16"/>
  <c r="BL22" i="16" s="1"/>
  <c r="AL6" i="16" s="1"/>
  <c r="AY22" i="16"/>
  <c r="BD22" i="16" s="1"/>
  <c r="AG6" i="16" s="1"/>
  <c r="AS6" i="16" s="1"/>
  <c r="BL54" i="24"/>
  <c r="AO11" i="24" s="1"/>
  <c r="BL53" i="29"/>
  <c r="AO10" i="29" s="1"/>
  <c r="BL40" i="40"/>
  <c r="AN6" i="40" s="1"/>
  <c r="BL24" i="22"/>
  <c r="AL8" i="22" s="1"/>
  <c r="BD50" i="33"/>
  <c r="AJ7" i="33" s="1"/>
  <c r="BD24" i="39"/>
  <c r="AG8" i="39" s="1"/>
  <c r="AS8" i="39" s="1"/>
  <c r="BL24" i="36"/>
  <c r="AL8" i="36" s="1"/>
  <c r="BL27" i="38"/>
  <c r="AL11" i="38" s="1"/>
  <c r="BD22" i="29"/>
  <c r="AG6" i="29" s="1"/>
  <c r="AS6" i="29" s="1"/>
  <c r="BH43" i="23"/>
  <c r="AZ43" i="23"/>
  <c r="AX41" i="17"/>
  <c r="BD41" i="17" s="1"/>
  <c r="AI7" i="17" s="1"/>
  <c r="BF41" i="17"/>
  <c r="BL41" i="17" s="1"/>
  <c r="AN7" i="17" s="1"/>
  <c r="BD51" i="28"/>
  <c r="AJ8" i="28" s="1"/>
  <c r="AX24" i="42"/>
  <c r="BD24" i="42" s="1"/>
  <c r="AG8" i="42" s="1"/>
  <c r="BF24" i="42"/>
  <c r="BL24" i="42" s="1"/>
  <c r="AL8" i="42" s="1"/>
  <c r="BD53" i="13"/>
  <c r="AJ10" i="13" s="1"/>
  <c r="BL26" i="40"/>
  <c r="AL10" i="40" s="1"/>
  <c r="BL53" i="23"/>
  <c r="AO10" i="23" s="1"/>
  <c r="BL35" i="12"/>
  <c r="AM10" i="12" s="1"/>
  <c r="BL41" i="12"/>
  <c r="AN7" i="12" s="1"/>
  <c r="BL52" i="26"/>
  <c r="AO9" i="26" s="1"/>
  <c r="BL49" i="36"/>
  <c r="AO6" i="36" s="1"/>
  <c r="BL54" i="19"/>
  <c r="AO11" i="19" s="1"/>
  <c r="BL49" i="12"/>
  <c r="AO6" i="12" s="1"/>
  <c r="BL51" i="40"/>
  <c r="AO8" i="40" s="1"/>
  <c r="BJ36" i="19"/>
  <c r="BL36" i="19" s="1"/>
  <c r="AM11" i="19" s="1"/>
  <c r="BB36" i="19"/>
  <c r="BD36" i="19" s="1"/>
  <c r="AH11" i="19" s="1"/>
  <c r="BL44" i="29"/>
  <c r="AN10" i="29" s="1"/>
  <c r="AY42" i="23"/>
  <c r="BD42" i="23" s="1"/>
  <c r="AI8" i="23" s="1"/>
  <c r="BG42" i="23"/>
  <c r="BL42" i="23" s="1"/>
  <c r="AN8" i="23" s="1"/>
  <c r="BD43" i="20"/>
  <c r="AI9" i="20" s="1"/>
  <c r="AX27" i="35"/>
  <c r="BD27" i="35" s="1"/>
  <c r="AG11" i="35" s="1"/>
  <c r="BF27" i="35"/>
  <c r="BL27" i="35" s="1"/>
  <c r="AL11" i="35" s="1"/>
  <c r="AZ45" i="18"/>
  <c r="BD45" i="18" s="1"/>
  <c r="AI11" i="18" s="1"/>
  <c r="BH45" i="18"/>
  <c r="BL45" i="18" s="1"/>
  <c r="AN11" i="18" s="1"/>
  <c r="BD45" i="26"/>
  <c r="AI11" i="26" s="1"/>
  <c r="AX50" i="31"/>
  <c r="BD50" i="31" s="1"/>
  <c r="AJ7" i="31" s="1"/>
  <c r="BF50" i="31"/>
  <c r="BL50" i="31" s="1"/>
  <c r="AO7" i="31" s="1"/>
  <c r="BD34" i="36"/>
  <c r="AH9" i="36" s="1"/>
  <c r="AS9" i="36" s="1"/>
  <c r="BD24" i="26"/>
  <c r="AG8" i="26" s="1"/>
  <c r="BY9" i="16" l="1"/>
  <c r="BW9" i="16"/>
  <c r="BV9" i="16"/>
  <c r="BY7" i="16"/>
  <c r="BW7" i="16"/>
  <c r="BV7" i="16"/>
  <c r="AS9" i="20"/>
  <c r="AS9" i="26"/>
  <c r="AS10" i="27"/>
  <c r="BX8" i="15"/>
  <c r="BW8" i="15"/>
  <c r="CA8" i="15"/>
  <c r="AS8" i="22"/>
  <c r="CA7" i="29"/>
  <c r="BX7" i="29"/>
  <c r="BW7" i="29"/>
  <c r="BV7" i="29"/>
  <c r="AS7" i="19"/>
  <c r="BW6" i="34"/>
  <c r="BV6" i="34"/>
  <c r="BZ6" i="34"/>
  <c r="BY6" i="34"/>
  <c r="CA11" i="12"/>
  <c r="BX11" i="12"/>
  <c r="AS9" i="18"/>
  <c r="AS11" i="27"/>
  <c r="AS9" i="22"/>
  <c r="BY9" i="28"/>
  <c r="BX9" i="28"/>
  <c r="BZ9" i="28"/>
  <c r="BW9" i="23"/>
  <c r="BY9" i="23"/>
  <c r="AS7" i="23"/>
  <c r="BZ10" i="21"/>
  <c r="BX10" i="21"/>
  <c r="BW10" i="21"/>
  <c r="BV10" i="21"/>
  <c r="CA11" i="33"/>
  <c r="BZ11" i="33"/>
  <c r="BX11" i="33"/>
  <c r="BX6" i="16"/>
  <c r="BW6" i="16"/>
  <c r="BY6" i="16"/>
  <c r="BV6" i="16"/>
  <c r="BV9" i="40"/>
  <c r="BY9" i="40"/>
  <c r="BY9" i="34"/>
  <c r="BV9" i="34"/>
  <c r="CA9" i="34"/>
  <c r="BZ9" i="34"/>
  <c r="AS10" i="20"/>
  <c r="AS10" i="26"/>
  <c r="AS11" i="18"/>
  <c r="BY8" i="18"/>
  <c r="BX8" i="18"/>
  <c r="AS8" i="16"/>
  <c r="BX7" i="16" s="1"/>
  <c r="BY9" i="36"/>
  <c r="BW9" i="36"/>
  <c r="BV9" i="36"/>
  <c r="AS6" i="23"/>
  <c r="BV9" i="23" s="1"/>
  <c r="BV8" i="21"/>
  <c r="BZ8" i="21"/>
  <c r="BX8" i="21"/>
  <c r="AS8" i="27"/>
  <c r="BY6" i="36"/>
  <c r="BW6" i="36"/>
  <c r="BV6" i="36"/>
  <c r="AS7" i="18"/>
  <c r="BW8" i="18" s="1"/>
  <c r="O2" i="54"/>
  <c r="N2" i="54" s="1"/>
  <c r="BZ10" i="41"/>
  <c r="CA7" i="15"/>
  <c r="BX7" i="15"/>
  <c r="BW7" i="15"/>
  <c r="CA7" i="32"/>
  <c r="BZ7" i="32"/>
  <c r="BY7" i="32"/>
  <c r="BW7" i="32"/>
  <c r="BV7" i="32"/>
  <c r="AS7" i="26"/>
  <c r="AS11" i="24"/>
  <c r="AS8" i="23"/>
  <c r="BX9" i="23" s="1"/>
  <c r="BY8" i="19"/>
  <c r="BX8" i="19"/>
  <c r="BW8" i="19"/>
  <c r="CA9" i="24"/>
  <c r="BY9" i="24"/>
  <c r="BX8" i="33"/>
  <c r="CA8" i="33"/>
  <c r="BZ8" i="33"/>
  <c r="CA9" i="32"/>
  <c r="BZ9" i="32"/>
  <c r="BY9" i="32"/>
  <c r="BW9" i="32"/>
  <c r="BV9" i="32"/>
  <c r="BZ8" i="14"/>
  <c r="BX8" i="14"/>
  <c r="AS9" i="27"/>
  <c r="AS8" i="40"/>
  <c r="I357" i="61"/>
  <c r="H357" i="61"/>
  <c r="G357" i="61"/>
  <c r="I249" i="61"/>
  <c r="H249" i="61"/>
  <c r="G249" i="61"/>
  <c r="I373" i="61"/>
  <c r="H373" i="61"/>
  <c r="G373" i="61"/>
  <c r="I253" i="61"/>
  <c r="H253" i="61"/>
  <c r="G253" i="61"/>
  <c r="I369" i="61"/>
  <c r="H369" i="61"/>
  <c r="G369" i="61"/>
  <c r="BX6" i="10"/>
  <c r="BW6" i="10"/>
  <c r="BV6" i="10"/>
  <c r="CB6" i="10" s="1"/>
  <c r="CA6" i="10"/>
  <c r="BZ6" i="10"/>
  <c r="BY6" i="10"/>
  <c r="BL25" i="35"/>
  <c r="AL9" i="35" s="1"/>
  <c r="AS11" i="28"/>
  <c r="BZ8" i="38"/>
  <c r="BY8" i="38"/>
  <c r="BX8" i="38"/>
  <c r="AS8" i="17"/>
  <c r="I341" i="61"/>
  <c r="H341" i="61"/>
  <c r="G341" i="61"/>
  <c r="G497" i="61"/>
  <c r="I497" i="61"/>
  <c r="H497" i="61"/>
  <c r="I217" i="61"/>
  <c r="H217" i="61"/>
  <c r="G217" i="61"/>
  <c r="BL49" i="35"/>
  <c r="AO6" i="35" s="1"/>
  <c r="AS6" i="30"/>
  <c r="AS6" i="20"/>
  <c r="G269" i="61"/>
  <c r="I269" i="61"/>
  <c r="H269" i="61"/>
  <c r="I185" i="61"/>
  <c r="H185" i="61"/>
  <c r="G185" i="61"/>
  <c r="BL26" i="35"/>
  <c r="AL10" i="35" s="1"/>
  <c r="G489" i="61"/>
  <c r="I489" i="61"/>
  <c r="H489" i="61"/>
  <c r="AS8" i="25"/>
  <c r="BL40" i="35"/>
  <c r="AN6" i="35" s="1"/>
  <c r="AS9" i="33"/>
  <c r="AS7" i="28"/>
  <c r="BW9" i="28" s="1"/>
  <c r="G513" i="61"/>
  <c r="I513" i="61"/>
  <c r="H513" i="61"/>
  <c r="AS8" i="32"/>
  <c r="BX9" i="32" s="1"/>
  <c r="BL43" i="35"/>
  <c r="AN9" i="35" s="1"/>
  <c r="AS10" i="42"/>
  <c r="I305" i="61"/>
  <c r="H305" i="61"/>
  <c r="G305" i="61"/>
  <c r="AS11" i="25"/>
  <c r="BX6" i="29"/>
  <c r="BW6" i="29"/>
  <c r="BV6" i="29"/>
  <c r="G397" i="61"/>
  <c r="I397" i="61"/>
  <c r="H397" i="61"/>
  <c r="AS7" i="27"/>
  <c r="BV11" i="39"/>
  <c r="CA11" i="39"/>
  <c r="BX11" i="39"/>
  <c r="BW11" i="39"/>
  <c r="AS8" i="30"/>
  <c r="BY7" i="36"/>
  <c r="BW7" i="36"/>
  <c r="BV7" i="36"/>
  <c r="AS11" i="20"/>
  <c r="I285" i="61"/>
  <c r="H285" i="61"/>
  <c r="G285" i="61"/>
  <c r="I273" i="61"/>
  <c r="H273" i="61"/>
  <c r="G273" i="61"/>
  <c r="AS10" i="17"/>
  <c r="I201" i="61"/>
  <c r="H201" i="61"/>
  <c r="G201" i="61"/>
  <c r="BD25" i="35"/>
  <c r="AG9" i="35" s="1"/>
  <c r="BL54" i="35"/>
  <c r="AO11" i="35" s="1"/>
  <c r="AS9" i="31"/>
  <c r="AS7" i="22"/>
  <c r="G301" i="61"/>
  <c r="I301" i="61"/>
  <c r="H301" i="61"/>
  <c r="I425" i="61"/>
  <c r="H425" i="61"/>
  <c r="G425" i="61"/>
  <c r="AS6" i="25"/>
  <c r="AS6" i="19"/>
  <c r="AS6" i="42"/>
  <c r="BD49" i="35"/>
  <c r="AJ6" i="35" s="1"/>
  <c r="AS11" i="34"/>
  <c r="I261" i="61"/>
  <c r="H261" i="61"/>
  <c r="G261" i="61"/>
  <c r="BD26" i="35"/>
  <c r="AG10" i="35" s="1"/>
  <c r="H485" i="61"/>
  <c r="G485" i="61"/>
  <c r="I485" i="61"/>
  <c r="I493" i="61"/>
  <c r="H493" i="61"/>
  <c r="G493" i="61"/>
  <c r="I313" i="61"/>
  <c r="H313" i="61"/>
  <c r="G313" i="61"/>
  <c r="BD40" i="35"/>
  <c r="AI6" i="35" s="1"/>
  <c r="AS7" i="33"/>
  <c r="BY9" i="10"/>
  <c r="BX9" i="10"/>
  <c r="BW9" i="10"/>
  <c r="BV9" i="10"/>
  <c r="CA9" i="10"/>
  <c r="BZ9" i="10"/>
  <c r="I381" i="61"/>
  <c r="H381" i="61"/>
  <c r="G381" i="61"/>
  <c r="I197" i="61"/>
  <c r="H197" i="61"/>
  <c r="G197" i="61"/>
  <c r="G205" i="61"/>
  <c r="I205" i="61"/>
  <c r="H205" i="61"/>
  <c r="BD43" i="35"/>
  <c r="AI9" i="35" s="1"/>
  <c r="AS11" i="38"/>
  <c r="AS7" i="31"/>
  <c r="AS6" i="15"/>
  <c r="BV7" i="15" s="1"/>
  <c r="I349" i="61"/>
  <c r="H349" i="61"/>
  <c r="G349" i="61"/>
  <c r="G429" i="61"/>
  <c r="I429" i="61"/>
  <c r="H429" i="61"/>
  <c r="BV9" i="13"/>
  <c r="BY9" i="13"/>
  <c r="AS8" i="42"/>
  <c r="BV6" i="11"/>
  <c r="AS6" i="24"/>
  <c r="I405" i="61"/>
  <c r="H405" i="61"/>
  <c r="G405" i="61"/>
  <c r="G465" i="61"/>
  <c r="I465" i="61"/>
  <c r="H465" i="61"/>
  <c r="H449" i="61"/>
  <c r="G449" i="61"/>
  <c r="I449" i="61"/>
  <c r="AS11" i="14"/>
  <c r="AS10" i="39"/>
  <c r="BZ11" i="39" s="1"/>
  <c r="AS11" i="16"/>
  <c r="CA9" i="16" s="1"/>
  <c r="I281" i="61"/>
  <c r="H281" i="61"/>
  <c r="G281" i="61"/>
  <c r="I401" i="61"/>
  <c r="H401" i="61"/>
  <c r="G401" i="61"/>
  <c r="BD54" i="35"/>
  <c r="AJ11" i="35" s="1"/>
  <c r="AS9" i="12"/>
  <c r="BY11" i="12" s="1"/>
  <c r="AS6" i="12"/>
  <c r="I293" i="61"/>
  <c r="H293" i="61"/>
  <c r="G293" i="61"/>
  <c r="AS6" i="31"/>
  <c r="BV10" i="31" s="1"/>
  <c r="I189" i="61"/>
  <c r="H189" i="61"/>
  <c r="G189" i="61"/>
  <c r="AS10" i="11"/>
  <c r="AS8" i="28"/>
  <c r="I245" i="61"/>
  <c r="H245" i="61"/>
  <c r="G245" i="61"/>
  <c r="AS8" i="11"/>
  <c r="BL22" i="35"/>
  <c r="AL6" i="35" s="1"/>
  <c r="AS7" i="14"/>
  <c r="AS7" i="40"/>
  <c r="BW9" i="40" s="1"/>
  <c r="I213" i="61"/>
  <c r="H213" i="61"/>
  <c r="G213" i="61"/>
  <c r="I209" i="61"/>
  <c r="H209" i="61"/>
  <c r="G209" i="61"/>
  <c r="BX8" i="39"/>
  <c r="BV8" i="39"/>
  <c r="CA8" i="39"/>
  <c r="BZ8" i="39"/>
  <c r="BX10" i="14"/>
  <c r="BW10" i="14"/>
  <c r="CA10" i="14"/>
  <c r="BZ10" i="14"/>
  <c r="BX10" i="28"/>
  <c r="BW10" i="28"/>
  <c r="CA10" i="28"/>
  <c r="BZ10" i="28"/>
  <c r="BY10" i="28"/>
  <c r="AS9" i="17"/>
  <c r="H321" i="61"/>
  <c r="G321" i="61"/>
  <c r="I321" i="61"/>
  <c r="AS11" i="26"/>
  <c r="AS8" i="20"/>
  <c r="AS10" i="19"/>
  <c r="BZ8" i="19" s="1"/>
  <c r="AS11" i="23"/>
  <c r="CA9" i="23" s="1"/>
  <c r="AS10" i="24"/>
  <c r="BZ9" i="24" s="1"/>
  <c r="F46" i="44"/>
  <c r="A46" i="44" s="1"/>
  <c r="F65" i="44"/>
  <c r="A65" i="44" s="1"/>
  <c r="F55" i="44"/>
  <c r="A55" i="44" s="1"/>
  <c r="F58" i="44"/>
  <c r="A58" i="44" s="1"/>
  <c r="F59" i="44"/>
  <c r="A59" i="44" s="1"/>
  <c r="F43" i="44"/>
  <c r="A43" i="44" s="1"/>
  <c r="F53" i="44"/>
  <c r="A53" i="44" s="1"/>
  <c r="F39" i="44"/>
  <c r="A39" i="44" s="1"/>
  <c r="F33" i="44"/>
  <c r="A33" i="44" s="1"/>
  <c r="F16" i="44"/>
  <c r="A16" i="44" s="1"/>
  <c r="F20" i="44"/>
  <c r="A20" i="44" s="1"/>
  <c r="F8" i="44"/>
  <c r="A8" i="44" s="1"/>
  <c r="F34" i="44"/>
  <c r="A34" i="44" s="1"/>
  <c r="F23" i="44"/>
  <c r="A23" i="44" s="1"/>
  <c r="F3" i="44"/>
  <c r="A3" i="44" s="1"/>
  <c r="F37" i="44"/>
  <c r="A37" i="44" s="1"/>
  <c r="F2" i="44"/>
  <c r="G333" i="61"/>
  <c r="I333" i="61"/>
  <c r="H333" i="61"/>
  <c r="AS9" i="39"/>
  <c r="BY8" i="39" s="1"/>
  <c r="AS10" i="16"/>
  <c r="BZ9" i="16" s="1"/>
  <c r="AS6" i="38"/>
  <c r="AS6" i="14"/>
  <c r="I221" i="61"/>
  <c r="H221" i="61"/>
  <c r="G221" i="61"/>
  <c r="AS10" i="29"/>
  <c r="AS11" i="29"/>
  <c r="BV6" i="13"/>
  <c r="BY6" i="13"/>
  <c r="BW6" i="13"/>
  <c r="AS9" i="38"/>
  <c r="I345" i="61"/>
  <c r="H345" i="61"/>
  <c r="G345" i="61"/>
  <c r="AS8" i="41"/>
  <c r="AS8" i="12"/>
  <c r="BL32" i="35"/>
  <c r="AM7" i="35" s="1"/>
  <c r="H225" i="61"/>
  <c r="G225" i="61"/>
  <c r="I225" i="61"/>
  <c r="BD22" i="35"/>
  <c r="AG6" i="35" s="1"/>
  <c r="AS10" i="40"/>
  <c r="AS8" i="36"/>
  <c r="BX9" i="36" s="1"/>
  <c r="I389" i="61"/>
  <c r="H389" i="61"/>
  <c r="G389" i="61"/>
  <c r="BX10" i="10"/>
  <c r="BW10" i="10"/>
  <c r="BV10" i="10"/>
  <c r="CA10" i="10"/>
  <c r="BZ10" i="10"/>
  <c r="BY10" i="10"/>
  <c r="AS7" i="17"/>
  <c r="G365" i="61"/>
  <c r="I365" i="61"/>
  <c r="H365" i="61"/>
  <c r="AS10" i="23"/>
  <c r="BZ9" i="23" s="1"/>
  <c r="G2" i="44"/>
  <c r="F41" i="44" s="1"/>
  <c r="A41" i="44" s="1"/>
  <c r="S6" i="6"/>
  <c r="D45" i="54"/>
  <c r="D29" i="54"/>
  <c r="D4" i="54"/>
  <c r="B31" i="54"/>
  <c r="A21" i="8" s="1"/>
  <c r="C21" i="8" s="1"/>
  <c r="D42" i="54"/>
  <c r="D16" i="54"/>
  <c r="B18" i="54"/>
  <c r="A4" i="8" s="1"/>
  <c r="C4" i="8" s="1"/>
  <c r="D14" i="54"/>
  <c r="D32" i="54"/>
  <c r="D13" i="54"/>
  <c r="B45" i="54"/>
  <c r="A35" i="8" s="1"/>
  <c r="C35" i="8" s="1"/>
  <c r="D35" i="54"/>
  <c r="B29" i="54"/>
  <c r="A33" i="8" s="1"/>
  <c r="C33" i="8" s="1"/>
  <c r="D25" i="54"/>
  <c r="B4" i="54"/>
  <c r="A8" i="8" s="1"/>
  <c r="C8" i="8" s="1"/>
  <c r="D23" i="54"/>
  <c r="D34" i="54"/>
  <c r="B42" i="54"/>
  <c r="A46" i="8" s="1"/>
  <c r="C46" i="8" s="1"/>
  <c r="D26" i="54"/>
  <c r="B16" i="54"/>
  <c r="A14" i="8" s="1"/>
  <c r="C14" i="8" s="1"/>
  <c r="D33" i="54"/>
  <c r="B14" i="54"/>
  <c r="A25" i="8" s="1"/>
  <c r="C25" i="8" s="1"/>
  <c r="B32" i="54"/>
  <c r="A16" i="8" s="1"/>
  <c r="C16" i="8" s="1"/>
  <c r="D6" i="54"/>
  <c r="B13" i="54"/>
  <c r="A31" i="8" s="1"/>
  <c r="C31" i="8" s="1"/>
  <c r="B35" i="54"/>
  <c r="A7" i="8" s="1"/>
  <c r="C7" i="8" s="1"/>
  <c r="B25" i="54"/>
  <c r="A38" i="8" s="1"/>
  <c r="C38" i="8" s="1"/>
  <c r="D21" i="54"/>
  <c r="D7" i="54"/>
  <c r="B23" i="54"/>
  <c r="A26" i="8" s="1"/>
  <c r="C26" i="8" s="1"/>
  <c r="B34" i="54"/>
  <c r="A6" i="8" s="1"/>
  <c r="C6" i="8" s="1"/>
  <c r="D38" i="54"/>
  <c r="D37" i="54"/>
  <c r="B26" i="54"/>
  <c r="A44" i="8" s="1"/>
  <c r="C44" i="8" s="1"/>
  <c r="B33" i="54"/>
  <c r="A11" i="8" s="1"/>
  <c r="C11" i="8" s="1"/>
  <c r="B6" i="54"/>
  <c r="A18" i="8" s="1"/>
  <c r="C18" i="8" s="1"/>
  <c r="D30" i="54"/>
  <c r="D17" i="54"/>
  <c r="D20" i="54"/>
  <c r="B21" i="54"/>
  <c r="A15" i="8" s="1"/>
  <c r="C15" i="8" s="1"/>
  <c r="B7" i="54"/>
  <c r="A24" i="8" s="1"/>
  <c r="C24" i="8" s="1"/>
  <c r="D5" i="54"/>
  <c r="D47" i="54"/>
  <c r="B38" i="54"/>
  <c r="A22" i="8" s="1"/>
  <c r="C22" i="8" s="1"/>
  <c r="B37" i="54"/>
  <c r="A17" i="8" s="1"/>
  <c r="C17" i="8" s="1"/>
  <c r="D28" i="54"/>
  <c r="D22" i="54"/>
  <c r="D11" i="54"/>
  <c r="D39" i="54"/>
  <c r="B30" i="54"/>
  <c r="A27" i="8" s="1"/>
  <c r="C27" i="8" s="1"/>
  <c r="B17" i="54"/>
  <c r="A9" i="8" s="1"/>
  <c r="C9" i="8" s="1"/>
  <c r="B20" i="54"/>
  <c r="A10" i="8" s="1"/>
  <c r="C10" i="8" s="1"/>
  <c r="B5" i="54"/>
  <c r="A13" i="8" s="1"/>
  <c r="C13" i="8" s="1"/>
  <c r="B47" i="54"/>
  <c r="A23" i="8" s="1"/>
  <c r="C23" i="8" s="1"/>
  <c r="D9" i="54"/>
  <c r="D27" i="54"/>
  <c r="B28" i="54"/>
  <c r="A39" i="8" s="1"/>
  <c r="C39" i="8" s="1"/>
  <c r="D41" i="54"/>
  <c r="B22" i="54"/>
  <c r="A20" i="8" s="1"/>
  <c r="C20" i="8" s="1"/>
  <c r="D36" i="54"/>
  <c r="B11" i="54"/>
  <c r="A43" i="8" s="1"/>
  <c r="C43" i="8" s="1"/>
  <c r="D44" i="54"/>
  <c r="B39" i="54"/>
  <c r="A28" i="8" s="1"/>
  <c r="C28" i="8" s="1"/>
  <c r="D8" i="54"/>
  <c r="D12" i="54"/>
  <c r="D10" i="54"/>
  <c r="D19" i="54"/>
  <c r="D46" i="54"/>
  <c r="D43" i="54"/>
  <c r="B9" i="54"/>
  <c r="A36" i="8" s="1"/>
  <c r="C36" i="8" s="1"/>
  <c r="D15" i="54"/>
  <c r="B27" i="54"/>
  <c r="A45" i="8" s="1"/>
  <c r="C45" i="8" s="1"/>
  <c r="B41" i="54"/>
  <c r="A40" i="8" s="1"/>
  <c r="C40" i="8" s="1"/>
  <c r="B36" i="54"/>
  <c r="A12" i="8" s="1"/>
  <c r="C12" i="8" s="1"/>
  <c r="B44" i="54"/>
  <c r="A41" i="8" s="1"/>
  <c r="C41" i="8" s="1"/>
  <c r="B8" i="54"/>
  <c r="A30" i="8" s="1"/>
  <c r="C30" i="8" s="1"/>
  <c r="B12" i="54"/>
  <c r="A37" i="8" s="1"/>
  <c r="C37" i="8" s="1"/>
  <c r="B10" i="54"/>
  <c r="A42" i="8" s="1"/>
  <c r="C42" i="8" s="1"/>
  <c r="B19" i="54"/>
  <c r="A5" i="8" s="1"/>
  <c r="C5" i="8" s="1"/>
  <c r="D40" i="54"/>
  <c r="D24" i="54"/>
  <c r="B46" i="54"/>
  <c r="A29" i="8" s="1"/>
  <c r="C29" i="8" s="1"/>
  <c r="D3" i="54"/>
  <c r="B43" i="54"/>
  <c r="A47" i="8" s="1"/>
  <c r="C47" i="8" s="1"/>
  <c r="B15" i="54"/>
  <c r="A19" i="8" s="1"/>
  <c r="C19" i="8" s="1"/>
  <c r="D31" i="54"/>
  <c r="B40" i="54"/>
  <c r="A34" i="8" s="1"/>
  <c r="C34" i="8" s="1"/>
  <c r="B24" i="54"/>
  <c r="A32" i="8" s="1"/>
  <c r="C32" i="8" s="1"/>
  <c r="B3" i="54"/>
  <c r="A3" i="8" s="1"/>
  <c r="D18" i="54"/>
  <c r="AS7" i="12"/>
  <c r="BW11" i="12" s="1"/>
  <c r="I509" i="61"/>
  <c r="H509" i="61"/>
  <c r="G509" i="61"/>
  <c r="AS6" i="22"/>
  <c r="AS10" i="12"/>
  <c r="BZ11" i="12" s="1"/>
  <c r="AS6" i="18"/>
  <c r="BV8" i="18" s="1"/>
  <c r="I329" i="61"/>
  <c r="H329" i="61"/>
  <c r="G329" i="61"/>
  <c r="I233" i="61"/>
  <c r="H233" i="61"/>
  <c r="G233" i="61"/>
  <c r="AS8" i="13"/>
  <c r="BX9" i="13" s="1"/>
  <c r="I457" i="61"/>
  <c r="H457" i="61"/>
  <c r="G457" i="61"/>
  <c r="CA6" i="39"/>
  <c r="BZ6" i="39"/>
  <c r="BX6" i="39"/>
  <c r="BV6" i="39"/>
  <c r="AS11" i="41"/>
  <c r="AS11" i="21"/>
  <c r="H385" i="61"/>
  <c r="G385" i="61"/>
  <c r="I385" i="61"/>
  <c r="G473" i="61"/>
  <c r="H473" i="61"/>
  <c r="I473" i="61"/>
  <c r="AS11" i="17"/>
  <c r="BD32" i="35"/>
  <c r="AH7" i="35" s="1"/>
  <c r="AS7" i="34"/>
  <c r="AS6" i="17"/>
  <c r="AS9" i="41"/>
  <c r="BY10" i="41" s="1"/>
  <c r="BL44" i="35"/>
  <c r="AN10" i="35" s="1"/>
  <c r="CA6" i="37"/>
  <c r="BZ6" i="37"/>
  <c r="BY6" i="37"/>
  <c r="BX6" i="37"/>
  <c r="BW6" i="37"/>
  <c r="BV6" i="37"/>
  <c r="BV9" i="37"/>
  <c r="CA9" i="37"/>
  <c r="BZ9" i="37"/>
  <c r="BY9" i="37"/>
  <c r="BX9" i="37"/>
  <c r="BW9" i="37"/>
  <c r="BY11" i="10"/>
  <c r="BX11" i="10"/>
  <c r="BW11" i="10"/>
  <c r="BV11" i="10"/>
  <c r="CB11" i="10" s="1"/>
  <c r="CA11" i="10"/>
  <c r="BZ11" i="10"/>
  <c r="I317" i="61"/>
  <c r="H317" i="61"/>
  <c r="G317" i="61"/>
  <c r="G481" i="61"/>
  <c r="I481" i="61"/>
  <c r="H481" i="61"/>
  <c r="CA10" i="32"/>
  <c r="BZ10" i="32"/>
  <c r="BY10" i="32"/>
  <c r="BX10" i="32"/>
  <c r="BW10" i="32"/>
  <c r="BV10" i="32"/>
  <c r="BZ8" i="31"/>
  <c r="BY8" i="31"/>
  <c r="BX8" i="31"/>
  <c r="BW8" i="31"/>
  <c r="BV8" i="31"/>
  <c r="BV7" i="30"/>
  <c r="BZ7" i="30"/>
  <c r="BX7" i="30"/>
  <c r="BW7" i="30"/>
  <c r="BW8" i="29"/>
  <c r="BV8" i="29"/>
  <c r="BZ8" i="29"/>
  <c r="BX8" i="29"/>
  <c r="AS11" i="19"/>
  <c r="AS7" i="41"/>
  <c r="AS8" i="34"/>
  <c r="AS11" i="13"/>
  <c r="BY8" i="37"/>
  <c r="BX8" i="37"/>
  <c r="BW8" i="37"/>
  <c r="BV8" i="37"/>
  <c r="CA8" i="37"/>
  <c r="BZ8" i="37"/>
  <c r="AS7" i="13"/>
  <c r="AS11" i="36"/>
  <c r="H3" i="57"/>
  <c r="S4" i="6"/>
  <c r="G505" i="61"/>
  <c r="I505" i="61"/>
  <c r="H505" i="61"/>
  <c r="I409" i="61"/>
  <c r="H409" i="61"/>
  <c r="G409" i="61"/>
  <c r="BD23" i="35"/>
  <c r="AG7" i="35" s="1"/>
  <c r="AS11" i="40"/>
  <c r="CA9" i="40" s="1"/>
  <c r="AS9" i="42"/>
  <c r="BL52" i="35"/>
  <c r="AO9" i="35" s="1"/>
  <c r="AS10" i="18"/>
  <c r="I413" i="61"/>
  <c r="H413" i="61"/>
  <c r="G413" i="61"/>
  <c r="I229" i="61"/>
  <c r="H229" i="61"/>
  <c r="G229" i="61"/>
  <c r="G237" i="61"/>
  <c r="I237" i="61"/>
  <c r="H237" i="61"/>
  <c r="BL50" i="35"/>
  <c r="AO7" i="35" s="1"/>
  <c r="AS7" i="38"/>
  <c r="BW10" i="38" s="1"/>
  <c r="I453" i="61"/>
  <c r="H453" i="61"/>
  <c r="G453" i="61"/>
  <c r="G461" i="61"/>
  <c r="I461" i="61"/>
  <c r="H461" i="61"/>
  <c r="CA8" i="10"/>
  <c r="BZ8" i="10"/>
  <c r="BY8" i="10"/>
  <c r="BX8" i="10"/>
  <c r="BW8" i="10"/>
  <c r="BV8" i="10"/>
  <c r="AS10" i="15"/>
  <c r="BZ7" i="15" s="1"/>
  <c r="AS10" i="30"/>
  <c r="AS6" i="33"/>
  <c r="I421" i="61"/>
  <c r="H421" i="61"/>
  <c r="G421" i="61"/>
  <c r="H193" i="61"/>
  <c r="G193" i="61"/>
  <c r="I193" i="61"/>
  <c r="BD44" i="35"/>
  <c r="AI10" i="35" s="1"/>
  <c r="CA10" i="37"/>
  <c r="BZ10" i="37"/>
  <c r="BY10" i="37"/>
  <c r="BX10" i="37"/>
  <c r="BW10" i="37"/>
  <c r="BV10" i="37"/>
  <c r="BZ6" i="21"/>
  <c r="BX6" i="21"/>
  <c r="BV6" i="21"/>
  <c r="BY9" i="25"/>
  <c r="BX9" i="25"/>
  <c r="BV9" i="25"/>
  <c r="AS11" i="22"/>
  <c r="AS10" i="22"/>
  <c r="I437" i="61"/>
  <c r="H437" i="61"/>
  <c r="G437" i="61"/>
  <c r="I337" i="61"/>
  <c r="H337" i="61"/>
  <c r="G337" i="61"/>
  <c r="AS8" i="24"/>
  <c r="CA11" i="15"/>
  <c r="BX11" i="15"/>
  <c r="BW11" i="15"/>
  <c r="BV11" i="15"/>
  <c r="AS11" i="42"/>
  <c r="I241" i="61"/>
  <c r="H241" i="61"/>
  <c r="G241" i="61"/>
  <c r="AS10" i="13"/>
  <c r="BZ9" i="13" s="1"/>
  <c r="AS9" i="19"/>
  <c r="AS9" i="11"/>
  <c r="AS9" i="21"/>
  <c r="BX10" i="34"/>
  <c r="BW10" i="34"/>
  <c r="BV10" i="34"/>
  <c r="CA10" i="34"/>
  <c r="BZ10" i="34"/>
  <c r="BY10" i="34"/>
  <c r="I297" i="61"/>
  <c r="H297" i="61"/>
  <c r="G297" i="61"/>
  <c r="I265" i="61"/>
  <c r="H265" i="61"/>
  <c r="G265" i="61"/>
  <c r="AS7" i="11"/>
  <c r="AS6" i="28"/>
  <c r="BV10" i="28" s="1"/>
  <c r="CB10" i="28" s="1"/>
  <c r="BY7" i="10"/>
  <c r="BX7" i="10"/>
  <c r="BW7" i="10"/>
  <c r="BV7" i="10"/>
  <c r="CA7" i="10"/>
  <c r="BZ7" i="10"/>
  <c r="AS10" i="36"/>
  <c r="BZ9" i="36" s="1"/>
  <c r="I445" i="61"/>
  <c r="H445" i="61"/>
  <c r="G445" i="61"/>
  <c r="AS7" i="25"/>
  <c r="BW9" i="25" s="1"/>
  <c r="BL45" i="35"/>
  <c r="AN11" i="35" s="1"/>
  <c r="AS7" i="21"/>
  <c r="BW8" i="21" s="1"/>
  <c r="CA6" i="32"/>
  <c r="BZ6" i="32"/>
  <c r="BY6" i="32"/>
  <c r="BX6" i="32"/>
  <c r="BW6" i="32"/>
  <c r="BV6" i="32"/>
  <c r="CB6" i="32" s="1"/>
  <c r="BD52" i="35"/>
  <c r="AJ9" i="35" s="1"/>
  <c r="I277" i="61"/>
  <c r="H277" i="61"/>
  <c r="G277" i="61"/>
  <c r="AS8" i="35"/>
  <c r="AS7" i="42"/>
  <c r="BD50" i="35"/>
  <c r="AJ7" i="35" s="1"/>
  <c r="AS9" i="15"/>
  <c r="BY11" i="15" s="1"/>
  <c r="I501" i="61"/>
  <c r="H501" i="61"/>
  <c r="G501" i="61"/>
  <c r="I441" i="61"/>
  <c r="H441" i="61"/>
  <c r="G441" i="61"/>
  <c r="AS10" i="25"/>
  <c r="BD53" i="35"/>
  <c r="AJ10" i="35" s="1"/>
  <c r="I469" i="61"/>
  <c r="H469" i="61"/>
  <c r="G469" i="61"/>
  <c r="H417" i="61"/>
  <c r="G417" i="61"/>
  <c r="I417" i="61"/>
  <c r="BX7" i="37"/>
  <c r="CB7" i="37" s="1"/>
  <c r="BX10" i="31"/>
  <c r="BW10" i="31"/>
  <c r="BY10" i="31"/>
  <c r="BZ10" i="31"/>
  <c r="AS8" i="26"/>
  <c r="AS11" i="35"/>
  <c r="AS7" i="20"/>
  <c r="BX10" i="38"/>
  <c r="BV10" i="38"/>
  <c r="CA10" i="38"/>
  <c r="BY10" i="38"/>
  <c r="BZ10" i="38"/>
  <c r="I433" i="61"/>
  <c r="H433" i="61"/>
  <c r="G433" i="61"/>
  <c r="AS6" i="27"/>
  <c r="CA10" i="33"/>
  <c r="BZ10" i="33"/>
  <c r="BY10" i="33"/>
  <c r="BX10" i="33"/>
  <c r="BV10" i="33"/>
  <c r="CA11" i="32"/>
  <c r="BZ11" i="32"/>
  <c r="BY11" i="32"/>
  <c r="BX11" i="32"/>
  <c r="BW11" i="32"/>
  <c r="BV11" i="32"/>
  <c r="AS11" i="31"/>
  <c r="I325" i="61"/>
  <c r="H325" i="61"/>
  <c r="G325" i="61"/>
  <c r="I377" i="61"/>
  <c r="H377" i="61"/>
  <c r="G377" i="61"/>
  <c r="AS6" i="40"/>
  <c r="AS11" i="30"/>
  <c r="I477" i="61"/>
  <c r="H477" i="61"/>
  <c r="G477" i="61"/>
  <c r="I393" i="61"/>
  <c r="H393" i="61"/>
  <c r="G393" i="61"/>
  <c r="AS6" i="26"/>
  <c r="AS6" i="41"/>
  <c r="I309" i="61"/>
  <c r="H309" i="61"/>
  <c r="G309" i="61"/>
  <c r="H257" i="61"/>
  <c r="G257" i="61"/>
  <c r="I257" i="61"/>
  <c r="I361" i="61"/>
  <c r="H361" i="61"/>
  <c r="G361" i="61"/>
  <c r="BD45" i="35"/>
  <c r="AI11" i="35" s="1"/>
  <c r="AS7" i="24"/>
  <c r="BW9" i="24" s="1"/>
  <c r="AS9" i="30"/>
  <c r="AS7" i="39"/>
  <c r="BW8" i="39" s="1"/>
  <c r="AS9" i="29"/>
  <c r="BL24" i="35"/>
  <c r="AL8" i="35" s="1"/>
  <c r="AS9" i="14"/>
  <c r="BY8" i="14" s="1"/>
  <c r="H289" i="61"/>
  <c r="G289" i="61"/>
  <c r="I289" i="61"/>
  <c r="BL53" i="35"/>
  <c r="AO10" i="35" s="1"/>
  <c r="BL35" i="35"/>
  <c r="AM10" i="35" s="1"/>
  <c r="H353" i="61"/>
  <c r="G353" i="61"/>
  <c r="I353" i="61"/>
  <c r="AS11" i="11"/>
  <c r="BY7" i="37"/>
  <c r="BV11" i="37"/>
  <c r="CA11" i="37"/>
  <c r="BZ11" i="37"/>
  <c r="BY11" i="37"/>
  <c r="BW11" i="37"/>
  <c r="BX11" i="37"/>
  <c r="C7" i="37" l="1"/>
  <c r="AT7" i="37"/>
  <c r="CB9" i="23"/>
  <c r="AT10" i="28"/>
  <c r="C10" i="28"/>
  <c r="CA7" i="20"/>
  <c r="BZ7" i="20"/>
  <c r="BY7" i="20"/>
  <c r="BX7" i="20"/>
  <c r="BW7" i="20"/>
  <c r="BV7" i="20"/>
  <c r="AT6" i="32"/>
  <c r="C6" i="32"/>
  <c r="CA11" i="21"/>
  <c r="BZ11" i="21"/>
  <c r="BY11" i="21"/>
  <c r="BX11" i="21"/>
  <c r="BV11" i="21"/>
  <c r="CB11" i="21" s="1"/>
  <c r="BW11" i="21"/>
  <c r="I6" i="47"/>
  <c r="AU3" i="44" s="1"/>
  <c r="Z3" i="44"/>
  <c r="I6" i="52" s="1"/>
  <c r="BL3" i="44"/>
  <c r="M10" i="47" s="1"/>
  <c r="AW3" i="44" s="1"/>
  <c r="I6" i="48" s="1"/>
  <c r="AJ3" i="44" s="1"/>
  <c r="X3" i="44"/>
  <c r="E4" i="52" s="1"/>
  <c r="BJ3" i="44"/>
  <c r="BQ3" i="44"/>
  <c r="BP3" i="44"/>
  <c r="U34" i="47" s="1"/>
  <c r="BH3" i="44"/>
  <c r="E4" i="47" s="1"/>
  <c r="BN3" i="44"/>
  <c r="Q18" i="47" s="1"/>
  <c r="AY3" i="44" s="1"/>
  <c r="M10" i="48" s="1"/>
  <c r="AL3" i="44" s="1"/>
  <c r="BH33" i="44"/>
  <c r="CA11" i="25"/>
  <c r="BX11" i="25"/>
  <c r="BV11" i="25"/>
  <c r="BZ11" i="25"/>
  <c r="BY11" i="25"/>
  <c r="BW11" i="25"/>
  <c r="BY9" i="19"/>
  <c r="BW9" i="19"/>
  <c r="BV9" i="19"/>
  <c r="CA9" i="19"/>
  <c r="BZ9" i="19"/>
  <c r="BX9" i="19"/>
  <c r="BY7" i="11"/>
  <c r="BW7" i="11"/>
  <c r="BV7" i="11"/>
  <c r="CA7" i="11"/>
  <c r="BZ7" i="11"/>
  <c r="BX7" i="11"/>
  <c r="CB11" i="37"/>
  <c r="BX6" i="27"/>
  <c r="BW6" i="27"/>
  <c r="BV6" i="27"/>
  <c r="CB6" i="27" s="1"/>
  <c r="CA6" i="27"/>
  <c r="BZ6" i="27"/>
  <c r="BY6" i="27"/>
  <c r="BV10" i="22"/>
  <c r="CA10" i="22"/>
  <c r="BZ10" i="22"/>
  <c r="BY10" i="22"/>
  <c r="BX10" i="22"/>
  <c r="BW10" i="22"/>
  <c r="CA6" i="17"/>
  <c r="BZ6" i="17"/>
  <c r="BY6" i="17"/>
  <c r="BX6" i="17"/>
  <c r="BW6" i="17"/>
  <c r="BV6" i="17"/>
  <c r="CB6" i="17" s="1"/>
  <c r="CA11" i="29"/>
  <c r="BZ11" i="29"/>
  <c r="BY11" i="29"/>
  <c r="BX11" i="29"/>
  <c r="BW11" i="29"/>
  <c r="BV11" i="29"/>
  <c r="CB7" i="10"/>
  <c r="CA8" i="24"/>
  <c r="BZ8" i="24"/>
  <c r="BY8" i="24"/>
  <c r="BX8" i="24"/>
  <c r="BW8" i="24"/>
  <c r="BV8" i="24"/>
  <c r="BW11" i="22"/>
  <c r="BV11" i="22"/>
  <c r="CA11" i="22"/>
  <c r="BZ11" i="22"/>
  <c r="BY11" i="22"/>
  <c r="BX11" i="22"/>
  <c r="BW6" i="21"/>
  <c r="CB6" i="21" s="1"/>
  <c r="AS7" i="35"/>
  <c r="B41" i="57"/>
  <c r="E41" i="57" s="1"/>
  <c r="B21" i="57"/>
  <c r="B146" i="57"/>
  <c r="E146" i="57" s="1"/>
  <c r="B186" i="57"/>
  <c r="E186" i="57" s="1"/>
  <c r="B148" i="57"/>
  <c r="E148" i="57" s="1"/>
  <c r="B26" i="57"/>
  <c r="E26" i="57" s="1"/>
  <c r="B150" i="57"/>
  <c r="E150" i="57" s="1"/>
  <c r="B254" i="57"/>
  <c r="E254" i="57" s="1"/>
  <c r="B139" i="57"/>
  <c r="E139" i="57" s="1"/>
  <c r="B56" i="57"/>
  <c r="E56" i="57" s="1"/>
  <c r="B202" i="57"/>
  <c r="E202" i="57" s="1"/>
  <c r="B95" i="57"/>
  <c r="E95" i="57" s="1"/>
  <c r="B141" i="57"/>
  <c r="E141" i="57" s="1"/>
  <c r="B198" i="57"/>
  <c r="E198" i="57" s="1"/>
  <c r="B38" i="57"/>
  <c r="E38" i="57" s="1"/>
  <c r="B108" i="57"/>
  <c r="E108" i="57" s="1"/>
  <c r="B172" i="57"/>
  <c r="E172" i="57" s="1"/>
  <c r="B5" i="57"/>
  <c r="E5" i="57" s="1"/>
  <c r="B66" i="57"/>
  <c r="E66" i="57" s="1"/>
  <c r="B72" i="57"/>
  <c r="E72" i="57" s="1"/>
  <c r="B39" i="57"/>
  <c r="E39" i="57" s="1"/>
  <c r="B110" i="57"/>
  <c r="E110" i="57" s="1"/>
  <c r="B174" i="57"/>
  <c r="E174" i="57" s="1"/>
  <c r="B238" i="57"/>
  <c r="E238" i="57" s="1"/>
  <c r="B99" i="57"/>
  <c r="E99" i="57" s="1"/>
  <c r="B163" i="57"/>
  <c r="E163" i="57" s="1"/>
  <c r="B115" i="57"/>
  <c r="E115" i="57" s="1"/>
  <c r="B212" i="57"/>
  <c r="E212" i="57" s="1"/>
  <c r="B45" i="57"/>
  <c r="E45" i="57" s="1"/>
  <c r="B93" i="57"/>
  <c r="E93" i="57" s="1"/>
  <c r="B75" i="57"/>
  <c r="E75" i="57" s="1"/>
  <c r="B133" i="57"/>
  <c r="E133" i="57" s="1"/>
  <c r="B215" i="57"/>
  <c r="E215" i="57" s="1"/>
  <c r="B103" i="57"/>
  <c r="E103" i="57" s="1"/>
  <c r="B167" i="57"/>
  <c r="E167" i="57" s="1"/>
  <c r="B221" i="57"/>
  <c r="E221" i="57" s="1"/>
  <c r="B225" i="57"/>
  <c r="E225" i="57" s="1"/>
  <c r="B211" i="57"/>
  <c r="E211" i="57" s="1"/>
  <c r="B22" i="57"/>
  <c r="B137" i="57"/>
  <c r="E137" i="57" s="1"/>
  <c r="B214" i="57"/>
  <c r="E214" i="57" s="1"/>
  <c r="B249" i="57"/>
  <c r="E249" i="57" s="1"/>
  <c r="B20" i="57"/>
  <c r="B11" i="57"/>
  <c r="E11" i="57" s="1"/>
  <c r="B152" i="57"/>
  <c r="E152" i="57" s="1"/>
  <c r="B220" i="57"/>
  <c r="E220" i="57" s="1"/>
  <c r="B61" i="57"/>
  <c r="E61" i="57" s="1"/>
  <c r="B23" i="57"/>
  <c r="B122" i="57"/>
  <c r="E122" i="57" s="1"/>
  <c r="B258" i="57"/>
  <c r="E258" i="57" s="1"/>
  <c r="B159" i="57"/>
  <c r="E159" i="57" s="1"/>
  <c r="B209" i="57"/>
  <c r="E209" i="57" s="1"/>
  <c r="B195" i="57"/>
  <c r="E195" i="57" s="1"/>
  <c r="B67" i="57"/>
  <c r="E67" i="57" s="1"/>
  <c r="B113" i="57"/>
  <c r="E113" i="57" s="1"/>
  <c r="B177" i="57"/>
  <c r="E177" i="57" s="1"/>
  <c r="B233" i="57"/>
  <c r="E233" i="57" s="1"/>
  <c r="B50" i="57"/>
  <c r="E50" i="57" s="1"/>
  <c r="B49" i="57"/>
  <c r="E49" i="57" s="1"/>
  <c r="B70" i="57"/>
  <c r="E70" i="57" s="1"/>
  <c r="B112" i="57"/>
  <c r="E112" i="57" s="1"/>
  <c r="B176" i="57"/>
  <c r="E176" i="57" s="1"/>
  <c r="B250" i="57"/>
  <c r="E250" i="57" s="1"/>
  <c r="B236" i="57"/>
  <c r="E236" i="57" s="1"/>
  <c r="B188" i="57"/>
  <c r="E188" i="57" s="1"/>
  <c r="B162" i="57"/>
  <c r="E162" i="57" s="1"/>
  <c r="B92" i="57"/>
  <c r="E92" i="57" s="1"/>
  <c r="B4" i="57"/>
  <c r="E4" i="57" s="1"/>
  <c r="B51" i="57"/>
  <c r="E51" i="57" s="1"/>
  <c r="B164" i="57"/>
  <c r="E164" i="57" s="1"/>
  <c r="B88" i="57"/>
  <c r="E88" i="57" s="1"/>
  <c r="B18" i="57"/>
  <c r="E18" i="57" s="1"/>
  <c r="B166" i="57"/>
  <c r="E166" i="57" s="1"/>
  <c r="B73" i="57"/>
  <c r="E73" i="57" s="1"/>
  <c r="B155" i="57"/>
  <c r="E155" i="57" s="1"/>
  <c r="B237" i="57"/>
  <c r="E237" i="57" s="1"/>
  <c r="B30" i="57"/>
  <c r="E30" i="57" s="1"/>
  <c r="B77" i="57"/>
  <c r="E77" i="57" s="1"/>
  <c r="B91" i="57"/>
  <c r="E91" i="57" s="1"/>
  <c r="B205" i="57"/>
  <c r="E205" i="57" s="1"/>
  <c r="B157" i="57"/>
  <c r="E157" i="57" s="1"/>
  <c r="B231" i="57"/>
  <c r="E231" i="57" s="1"/>
  <c r="B28" i="57"/>
  <c r="E28" i="57" s="1"/>
  <c r="B98" i="57"/>
  <c r="E98" i="57" s="1"/>
  <c r="B232" i="57"/>
  <c r="E232" i="57" s="1"/>
  <c r="B124" i="57"/>
  <c r="E124" i="57" s="1"/>
  <c r="B12" i="57"/>
  <c r="E12" i="57" s="1"/>
  <c r="B206" i="57"/>
  <c r="E206" i="57" s="1"/>
  <c r="B65" i="57"/>
  <c r="E65" i="57" s="1"/>
  <c r="B126" i="57"/>
  <c r="E126" i="57" s="1"/>
  <c r="B216" i="57"/>
  <c r="E216" i="57" s="1"/>
  <c r="B183" i="57"/>
  <c r="E183" i="57" s="1"/>
  <c r="B52" i="57"/>
  <c r="E52" i="57" s="1"/>
  <c r="B149" i="57"/>
  <c r="E149" i="57" s="1"/>
  <c r="B247" i="57"/>
  <c r="E247" i="57" s="1"/>
  <c r="B119" i="57"/>
  <c r="E119" i="57" s="1"/>
  <c r="B181" i="57"/>
  <c r="E181" i="57" s="1"/>
  <c r="B257" i="57"/>
  <c r="E257" i="57" s="1"/>
  <c r="B243" i="57"/>
  <c r="E243" i="57" s="1"/>
  <c r="B153" i="57"/>
  <c r="E153" i="57" s="1"/>
  <c r="B185" i="57"/>
  <c r="E185" i="57" s="1"/>
  <c r="B68" i="57"/>
  <c r="E68" i="57" s="1"/>
  <c r="B47" i="57"/>
  <c r="E47" i="57" s="1"/>
  <c r="B168" i="57"/>
  <c r="E168" i="57" s="1"/>
  <c r="B234" i="57"/>
  <c r="E234" i="57" s="1"/>
  <c r="B252" i="57"/>
  <c r="E252" i="57" s="1"/>
  <c r="B138" i="57"/>
  <c r="E138" i="57" s="1"/>
  <c r="B55" i="57"/>
  <c r="E55" i="57" s="1"/>
  <c r="B111" i="57"/>
  <c r="E111" i="57" s="1"/>
  <c r="B175" i="57"/>
  <c r="E175" i="57" s="1"/>
  <c r="B241" i="57"/>
  <c r="E241" i="57" s="1"/>
  <c r="B227" i="57"/>
  <c r="E227" i="57" s="1"/>
  <c r="B71" i="57"/>
  <c r="E71" i="57" s="1"/>
  <c r="B85" i="57"/>
  <c r="E85" i="57" s="1"/>
  <c r="B129" i="57"/>
  <c r="E129" i="57" s="1"/>
  <c r="B106" i="57"/>
  <c r="E106" i="57" s="1"/>
  <c r="B104" i="57"/>
  <c r="E104" i="57" s="1"/>
  <c r="B36" i="57"/>
  <c r="E36" i="57" s="1"/>
  <c r="B128" i="57"/>
  <c r="E128" i="57" s="1"/>
  <c r="B222" i="57"/>
  <c r="E222" i="57" s="1"/>
  <c r="B184" i="57"/>
  <c r="E184" i="57" s="1"/>
  <c r="B74" i="57"/>
  <c r="E74" i="57" s="1"/>
  <c r="B32" i="57"/>
  <c r="E32" i="57" s="1"/>
  <c r="B182" i="57"/>
  <c r="E182" i="57" s="1"/>
  <c r="B114" i="57"/>
  <c r="E114" i="57" s="1"/>
  <c r="B178" i="57"/>
  <c r="E178" i="57" s="1"/>
  <c r="B25" i="57"/>
  <c r="B37" i="57"/>
  <c r="E37" i="57" s="1"/>
  <c r="B78" i="57"/>
  <c r="E78" i="57" s="1"/>
  <c r="B192" i="57"/>
  <c r="E192" i="57" s="1"/>
  <c r="B116" i="57"/>
  <c r="E116" i="57" s="1"/>
  <c r="B82" i="57"/>
  <c r="E82" i="57" s="1"/>
  <c r="B29" i="57"/>
  <c r="E29" i="57" s="1"/>
  <c r="B190" i="57"/>
  <c r="E190" i="57" s="1"/>
  <c r="B118" i="57"/>
  <c r="E118" i="57" s="1"/>
  <c r="B224" i="57"/>
  <c r="E224" i="57" s="1"/>
  <c r="B107" i="57"/>
  <c r="E107" i="57" s="1"/>
  <c r="B171" i="57"/>
  <c r="E171" i="57" s="1"/>
  <c r="B189" i="57"/>
  <c r="E189" i="57" s="1"/>
  <c r="B196" i="57"/>
  <c r="E196" i="57" s="1"/>
  <c r="B62" i="57"/>
  <c r="E62" i="57" s="1"/>
  <c r="B109" i="57"/>
  <c r="E109" i="57" s="1"/>
  <c r="B173" i="57"/>
  <c r="E173" i="57" s="1"/>
  <c r="B229" i="57"/>
  <c r="E229" i="57" s="1"/>
  <c r="B76" i="57"/>
  <c r="E76" i="57" s="1"/>
  <c r="B200" i="57"/>
  <c r="E200" i="57" s="1"/>
  <c r="B42" i="57"/>
  <c r="E42" i="57" s="1"/>
  <c r="B140" i="57"/>
  <c r="E140" i="57" s="1"/>
  <c r="B100" i="57"/>
  <c r="E100" i="57" s="1"/>
  <c r="B31" i="57"/>
  <c r="E31" i="57" s="1"/>
  <c r="B180" i="57"/>
  <c r="E180" i="57" s="1"/>
  <c r="B142" i="57"/>
  <c r="E142" i="57" s="1"/>
  <c r="B63" i="57"/>
  <c r="E63" i="57" s="1"/>
  <c r="B208" i="57"/>
  <c r="E208" i="57" s="1"/>
  <c r="B43" i="57"/>
  <c r="B89" i="57"/>
  <c r="E89" i="57" s="1"/>
  <c r="B131" i="57"/>
  <c r="E131" i="57" s="1"/>
  <c r="B253" i="57"/>
  <c r="E253" i="57" s="1"/>
  <c r="B230" i="57"/>
  <c r="E230" i="57" s="1"/>
  <c r="B244" i="57"/>
  <c r="E244" i="57" s="1"/>
  <c r="B79" i="57"/>
  <c r="E79" i="57" s="1"/>
  <c r="B9" i="57"/>
  <c r="E9" i="57" s="1"/>
  <c r="B101" i="57"/>
  <c r="E101" i="57" s="1"/>
  <c r="B165" i="57"/>
  <c r="E165" i="57" s="1"/>
  <c r="B245" i="57"/>
  <c r="E245" i="57" s="1"/>
  <c r="B135" i="57"/>
  <c r="E135" i="57" s="1"/>
  <c r="B239" i="57"/>
  <c r="E239" i="57" s="1"/>
  <c r="B219" i="57"/>
  <c r="E219" i="57" s="1"/>
  <c r="B14" i="57"/>
  <c r="E14" i="57" s="1"/>
  <c r="B83" i="57"/>
  <c r="E83" i="57" s="1"/>
  <c r="B105" i="57"/>
  <c r="E105" i="57" s="1"/>
  <c r="B169" i="57"/>
  <c r="E169" i="57" s="1"/>
  <c r="B33" i="57"/>
  <c r="E33" i="57" s="1"/>
  <c r="B58" i="57"/>
  <c r="E58" i="57" s="1"/>
  <c r="B57" i="57"/>
  <c r="E57" i="57" s="1"/>
  <c r="B120" i="57"/>
  <c r="E120" i="57" s="1"/>
  <c r="B96" i="57"/>
  <c r="E96" i="57" s="1"/>
  <c r="B34" i="57"/>
  <c r="E34" i="57" s="1"/>
  <c r="B154" i="57"/>
  <c r="E154" i="57" s="1"/>
  <c r="B194" i="57"/>
  <c r="E194" i="57" s="1"/>
  <c r="B35" i="57"/>
  <c r="B127" i="57"/>
  <c r="E127" i="57" s="1"/>
  <c r="B64" i="57"/>
  <c r="E64" i="57" s="1"/>
  <c r="B203" i="57"/>
  <c r="E203" i="57" s="1"/>
  <c r="B259" i="57"/>
  <c r="E259" i="57" s="1"/>
  <c r="B191" i="57"/>
  <c r="E191" i="57" s="1"/>
  <c r="B145" i="57"/>
  <c r="E145" i="57" s="1"/>
  <c r="B255" i="57"/>
  <c r="E255" i="57" s="1"/>
  <c r="B223" i="57"/>
  <c r="E223" i="57" s="1"/>
  <c r="B13" i="57"/>
  <c r="E13" i="57" s="1"/>
  <c r="B144" i="57"/>
  <c r="E144" i="57" s="1"/>
  <c r="B204" i="57"/>
  <c r="E204" i="57" s="1"/>
  <c r="B10" i="57"/>
  <c r="E10" i="57" s="1"/>
  <c r="B80" i="57"/>
  <c r="E80" i="57" s="1"/>
  <c r="B130" i="57"/>
  <c r="E130" i="57" s="1"/>
  <c r="B210" i="57"/>
  <c r="E210" i="57" s="1"/>
  <c r="B53" i="57"/>
  <c r="E53" i="57" s="1"/>
  <c r="B46" i="57"/>
  <c r="E46" i="57" s="1"/>
  <c r="B48" i="57"/>
  <c r="E48" i="57" s="1"/>
  <c r="B132" i="57"/>
  <c r="E132" i="57" s="1"/>
  <c r="B15" i="57"/>
  <c r="E15" i="57" s="1"/>
  <c r="B134" i="57"/>
  <c r="E134" i="57" s="1"/>
  <c r="B248" i="57"/>
  <c r="E248" i="57" s="1"/>
  <c r="B256" i="57"/>
  <c r="E256" i="57" s="1"/>
  <c r="B60" i="57"/>
  <c r="E60" i="57" s="1"/>
  <c r="B123" i="57"/>
  <c r="E123" i="57" s="1"/>
  <c r="B213" i="57"/>
  <c r="E213" i="57" s="1"/>
  <c r="B199" i="57"/>
  <c r="E199" i="57" s="1"/>
  <c r="B228" i="57"/>
  <c r="E228" i="57" s="1"/>
  <c r="B59" i="57"/>
  <c r="E59" i="57" s="1"/>
  <c r="B125" i="57"/>
  <c r="E125" i="57" s="1"/>
  <c r="B246" i="57"/>
  <c r="E246" i="57" s="1"/>
  <c r="B7" i="57"/>
  <c r="E7" i="57" s="1"/>
  <c r="B94" i="57"/>
  <c r="E94" i="57" s="1"/>
  <c r="B156" i="57"/>
  <c r="E156" i="57" s="1"/>
  <c r="B102" i="57"/>
  <c r="E102" i="57" s="1"/>
  <c r="B24" i="57"/>
  <c r="B8" i="57"/>
  <c r="E8" i="57" s="1"/>
  <c r="B158" i="57"/>
  <c r="E158" i="57" s="1"/>
  <c r="B240" i="57"/>
  <c r="E240" i="57" s="1"/>
  <c r="B44" i="57"/>
  <c r="E44" i="57" s="1"/>
  <c r="B179" i="57"/>
  <c r="E179" i="57" s="1"/>
  <c r="B147" i="57"/>
  <c r="E147" i="57" s="1"/>
  <c r="B218" i="57"/>
  <c r="E218" i="57" s="1"/>
  <c r="B84" i="57"/>
  <c r="E84" i="57" s="1"/>
  <c r="B17" i="57"/>
  <c r="E17" i="57" s="1"/>
  <c r="B40" i="57"/>
  <c r="E40" i="57" s="1"/>
  <c r="B117" i="57"/>
  <c r="E117" i="57" s="1"/>
  <c r="B187" i="57"/>
  <c r="E187" i="57" s="1"/>
  <c r="B242" i="57"/>
  <c r="E242" i="57" s="1"/>
  <c r="B54" i="57"/>
  <c r="E54" i="57" s="1"/>
  <c r="B151" i="57"/>
  <c r="E151" i="57" s="1"/>
  <c r="B197" i="57"/>
  <c r="E197" i="57" s="1"/>
  <c r="B193" i="57"/>
  <c r="E193" i="57" s="1"/>
  <c r="B251" i="57"/>
  <c r="E251" i="57" s="1"/>
  <c r="B87" i="57"/>
  <c r="E87" i="57" s="1"/>
  <c r="B69" i="57"/>
  <c r="E69" i="57" s="1"/>
  <c r="B121" i="57"/>
  <c r="E121" i="57" s="1"/>
  <c r="B207" i="57"/>
  <c r="E207" i="57" s="1"/>
  <c r="B217" i="57"/>
  <c r="E217" i="57" s="1"/>
  <c r="B19" i="57"/>
  <c r="B86" i="57"/>
  <c r="E86" i="57" s="1"/>
  <c r="B136" i="57"/>
  <c r="E136" i="57" s="1"/>
  <c r="B90" i="57"/>
  <c r="E90" i="57" s="1"/>
  <c r="B6" i="57"/>
  <c r="E6" i="57" s="1"/>
  <c r="B170" i="57"/>
  <c r="E170" i="57" s="1"/>
  <c r="B226" i="57"/>
  <c r="E226" i="57" s="1"/>
  <c r="B27" i="57"/>
  <c r="B81" i="57"/>
  <c r="E81" i="57" s="1"/>
  <c r="B143" i="57"/>
  <c r="E143" i="57" s="1"/>
  <c r="B235" i="57"/>
  <c r="E235" i="57" s="1"/>
  <c r="B97" i="57"/>
  <c r="E97" i="57" s="1"/>
  <c r="B161" i="57"/>
  <c r="E161" i="57" s="1"/>
  <c r="B201" i="57"/>
  <c r="E201" i="57" s="1"/>
  <c r="B16" i="57"/>
  <c r="E16" i="57" s="1"/>
  <c r="B160" i="57"/>
  <c r="E160" i="57" s="1"/>
  <c r="CA8" i="29"/>
  <c r="BY7" i="34"/>
  <c r="BX7" i="34"/>
  <c r="BW7" i="34"/>
  <c r="BV7" i="34"/>
  <c r="CA7" i="34"/>
  <c r="BZ7" i="34"/>
  <c r="BY9" i="38"/>
  <c r="BX9" i="38"/>
  <c r="BW9" i="38"/>
  <c r="BV9" i="38"/>
  <c r="CB9" i="38" s="1"/>
  <c r="BZ9" i="38"/>
  <c r="CA9" i="38"/>
  <c r="CA10" i="29"/>
  <c r="BZ10" i="29"/>
  <c r="BY10" i="29"/>
  <c r="BX10" i="29"/>
  <c r="BW10" i="29"/>
  <c r="BV10" i="29"/>
  <c r="F44" i="44"/>
  <c r="A44" i="44" s="1"/>
  <c r="F32" i="44"/>
  <c r="A32" i="44" s="1"/>
  <c r="F14" i="44"/>
  <c r="A14" i="44" s="1"/>
  <c r="F26" i="44"/>
  <c r="A26" i="44" s="1"/>
  <c r="F47" i="44"/>
  <c r="A47" i="44" s="1"/>
  <c r="F51" i="44"/>
  <c r="A51" i="44" s="1"/>
  <c r="F66" i="44"/>
  <c r="A66" i="44" s="1"/>
  <c r="F38" i="44"/>
  <c r="A38" i="44" s="1"/>
  <c r="BV11" i="26"/>
  <c r="CA11" i="26"/>
  <c r="BZ11" i="26"/>
  <c r="BY11" i="26"/>
  <c r="BX11" i="26"/>
  <c r="BW11" i="26"/>
  <c r="BY10" i="14"/>
  <c r="BZ8" i="11"/>
  <c r="BY8" i="11"/>
  <c r="BX8" i="11"/>
  <c r="BW8" i="11"/>
  <c r="BV8" i="11"/>
  <c r="CB8" i="11" s="1"/>
  <c r="CA8" i="11"/>
  <c r="BZ11" i="14"/>
  <c r="BY11" i="14"/>
  <c r="BX11" i="14"/>
  <c r="BW11" i="14"/>
  <c r="BV11" i="14"/>
  <c r="CA11" i="14"/>
  <c r="BX6" i="11"/>
  <c r="BY11" i="38"/>
  <c r="BX11" i="38"/>
  <c r="BW11" i="38"/>
  <c r="BV11" i="38"/>
  <c r="CB11" i="38" s="1"/>
  <c r="BZ11" i="38"/>
  <c r="CA11" i="38"/>
  <c r="BY11" i="34"/>
  <c r="BX11" i="34"/>
  <c r="BW11" i="34"/>
  <c r="BV11" i="34"/>
  <c r="CA11" i="34"/>
  <c r="BZ11" i="34"/>
  <c r="BY8" i="30"/>
  <c r="BX8" i="30"/>
  <c r="CA8" i="30"/>
  <c r="BZ8" i="30"/>
  <c r="BW8" i="30"/>
  <c r="BV8" i="30"/>
  <c r="CA6" i="29"/>
  <c r="BX7" i="32"/>
  <c r="CA8" i="27"/>
  <c r="BZ8" i="27"/>
  <c r="BY8" i="27"/>
  <c r="BX8" i="27"/>
  <c r="BW8" i="27"/>
  <c r="BV8" i="27"/>
  <c r="BZ7" i="29"/>
  <c r="BY7" i="38"/>
  <c r="BX7" i="38"/>
  <c r="BW7" i="38"/>
  <c r="BV7" i="38"/>
  <c r="BZ7" i="38"/>
  <c r="CA7" i="38"/>
  <c r="BV7" i="33"/>
  <c r="CA7" i="33"/>
  <c r="BZ7" i="33"/>
  <c r="BY7" i="33"/>
  <c r="BX7" i="33"/>
  <c r="BW7" i="33"/>
  <c r="BX10" i="27"/>
  <c r="BW10" i="27"/>
  <c r="BV10" i="27"/>
  <c r="CA10" i="27"/>
  <c r="BZ10" i="27"/>
  <c r="BY10" i="27"/>
  <c r="BZ9" i="14"/>
  <c r="BY9" i="14"/>
  <c r="BX9" i="14"/>
  <c r="BW9" i="14"/>
  <c r="BV9" i="14"/>
  <c r="CA9" i="14"/>
  <c r="BV11" i="30"/>
  <c r="CA11" i="30"/>
  <c r="BZ11" i="30"/>
  <c r="BY11" i="30"/>
  <c r="BX11" i="30"/>
  <c r="BW11" i="30"/>
  <c r="BX11" i="35"/>
  <c r="BW11" i="35"/>
  <c r="CA11" i="35"/>
  <c r="CA9" i="21"/>
  <c r="BZ9" i="21"/>
  <c r="BY9" i="21"/>
  <c r="BX9" i="21"/>
  <c r="BV9" i="21"/>
  <c r="BW9" i="21"/>
  <c r="BY6" i="21"/>
  <c r="CA6" i="33"/>
  <c r="BZ6" i="33"/>
  <c r="BY6" i="33"/>
  <c r="BX6" i="33"/>
  <c r="BW6" i="33"/>
  <c r="BV6" i="33"/>
  <c r="BW7" i="13"/>
  <c r="BV7" i="13"/>
  <c r="CA7" i="13"/>
  <c r="BZ7" i="13"/>
  <c r="BY7" i="13"/>
  <c r="BX7" i="13"/>
  <c r="CA8" i="34"/>
  <c r="BZ8" i="34"/>
  <c r="BY8" i="34"/>
  <c r="BX8" i="34"/>
  <c r="BW8" i="34"/>
  <c r="BV8" i="34"/>
  <c r="CA11" i="17"/>
  <c r="BZ11" i="17"/>
  <c r="BY11" i="17"/>
  <c r="BX11" i="17"/>
  <c r="BW11" i="17"/>
  <c r="BV11" i="17"/>
  <c r="BY11" i="41"/>
  <c r="CA11" i="41"/>
  <c r="BZ11" i="41"/>
  <c r="BX11" i="41"/>
  <c r="BW11" i="41"/>
  <c r="BV11" i="41"/>
  <c r="CA7" i="17"/>
  <c r="BZ7" i="17"/>
  <c r="BY7" i="17"/>
  <c r="BX7" i="17"/>
  <c r="BW7" i="17"/>
  <c r="BV7" i="17"/>
  <c r="CB7" i="17" s="1"/>
  <c r="BX6" i="13"/>
  <c r="F4" i="44"/>
  <c r="A4" i="44" s="1"/>
  <c r="F40" i="44"/>
  <c r="A40" i="44" s="1"/>
  <c r="F28" i="44"/>
  <c r="A28" i="44" s="1"/>
  <c r="F52" i="44"/>
  <c r="A52" i="44" s="1"/>
  <c r="F18" i="44"/>
  <c r="A18" i="44" s="1"/>
  <c r="F48" i="44"/>
  <c r="A48" i="44" s="1"/>
  <c r="F63" i="44"/>
  <c r="A63" i="44" s="1"/>
  <c r="F54" i="44"/>
  <c r="A54" i="44" s="1"/>
  <c r="BW6" i="24"/>
  <c r="CA6" i="24"/>
  <c r="BZ6" i="24"/>
  <c r="BY6" i="24"/>
  <c r="BX6" i="24"/>
  <c r="BV6" i="24"/>
  <c r="BZ6" i="42"/>
  <c r="BX6" i="42"/>
  <c r="BW6" i="42"/>
  <c r="BV6" i="42"/>
  <c r="CA6" i="42"/>
  <c r="BY6" i="42"/>
  <c r="CA10" i="17"/>
  <c r="BZ10" i="17"/>
  <c r="BY10" i="17"/>
  <c r="BX10" i="17"/>
  <c r="BW10" i="17"/>
  <c r="BV10" i="17"/>
  <c r="BY6" i="30"/>
  <c r="BX6" i="30"/>
  <c r="CA6" i="30"/>
  <c r="BZ6" i="30"/>
  <c r="BW6" i="30"/>
  <c r="BV6" i="30"/>
  <c r="CA8" i="14"/>
  <c r="BV9" i="24"/>
  <c r="CA10" i="41"/>
  <c r="BW11" i="33"/>
  <c r="BX6" i="34"/>
  <c r="CB6" i="34" s="1"/>
  <c r="BZ8" i="22"/>
  <c r="BY8" i="22"/>
  <c r="BX8" i="22"/>
  <c r="BW8" i="22"/>
  <c r="BV8" i="22"/>
  <c r="CA8" i="22"/>
  <c r="BV9" i="26"/>
  <c r="CB9" i="26" s="1"/>
  <c r="CA9" i="26"/>
  <c r="BZ9" i="26"/>
  <c r="BY9" i="26"/>
  <c r="BX9" i="26"/>
  <c r="BW9" i="26"/>
  <c r="BY11" i="11"/>
  <c r="BW11" i="11"/>
  <c r="BV11" i="11"/>
  <c r="CB11" i="11" s="1"/>
  <c r="CA11" i="11"/>
  <c r="BX11" i="11"/>
  <c r="BZ11" i="11"/>
  <c r="CA11" i="42"/>
  <c r="BZ11" i="42"/>
  <c r="BY11" i="42"/>
  <c r="BX11" i="42"/>
  <c r="BW11" i="42"/>
  <c r="BV11" i="42"/>
  <c r="BX6" i="31"/>
  <c r="BW6" i="31"/>
  <c r="BV6" i="31"/>
  <c r="CA6" i="31"/>
  <c r="BZ6" i="31"/>
  <c r="BY6" i="31"/>
  <c r="BW7" i="18"/>
  <c r="BV7" i="18"/>
  <c r="CA7" i="18"/>
  <c r="BZ7" i="18"/>
  <c r="BY7" i="18"/>
  <c r="BX7" i="18"/>
  <c r="BX6" i="41"/>
  <c r="BW6" i="41"/>
  <c r="BV6" i="41"/>
  <c r="CA6" i="41"/>
  <c r="BZ6" i="41"/>
  <c r="BY6" i="41"/>
  <c r="BY11" i="31"/>
  <c r="BX11" i="31"/>
  <c r="BW11" i="31"/>
  <c r="BV11" i="31"/>
  <c r="BZ11" i="31"/>
  <c r="CA11" i="31"/>
  <c r="BW10" i="33"/>
  <c r="CB10" i="33" s="1"/>
  <c r="BW10" i="25"/>
  <c r="CA10" i="25"/>
  <c r="BZ10" i="25"/>
  <c r="BY10" i="25"/>
  <c r="BX10" i="25"/>
  <c r="BV10" i="25"/>
  <c r="CA6" i="26"/>
  <c r="BZ6" i="26"/>
  <c r="BY6" i="26"/>
  <c r="BX6" i="26"/>
  <c r="BW6" i="26"/>
  <c r="BV6" i="26"/>
  <c r="CB6" i="26" s="1"/>
  <c r="BW6" i="40"/>
  <c r="BV6" i="40"/>
  <c r="CA6" i="40"/>
  <c r="BZ6" i="40"/>
  <c r="BY6" i="40"/>
  <c r="BX6" i="40"/>
  <c r="CB11" i="32"/>
  <c r="BY8" i="26"/>
  <c r="BW8" i="26"/>
  <c r="BV8" i="26"/>
  <c r="CA8" i="26"/>
  <c r="BZ8" i="26"/>
  <c r="BX8" i="26"/>
  <c r="CA7" i="42"/>
  <c r="BY7" i="42"/>
  <c r="BX7" i="42"/>
  <c r="BW7" i="42"/>
  <c r="BZ7" i="42"/>
  <c r="BV7" i="42"/>
  <c r="BY9" i="11"/>
  <c r="BW9" i="11"/>
  <c r="BV9" i="11"/>
  <c r="CA9" i="11"/>
  <c r="BZ9" i="11"/>
  <c r="BX9" i="11"/>
  <c r="CA10" i="30"/>
  <c r="BZ10" i="30"/>
  <c r="BY10" i="30"/>
  <c r="BX10" i="30"/>
  <c r="BV10" i="30"/>
  <c r="BW10" i="30"/>
  <c r="BY7" i="41"/>
  <c r="BX7" i="41"/>
  <c r="BW7" i="41"/>
  <c r="BV7" i="41"/>
  <c r="CA7" i="41"/>
  <c r="BZ7" i="41"/>
  <c r="BV6" i="18"/>
  <c r="CA6" i="18"/>
  <c r="BZ6" i="18"/>
  <c r="BY6" i="18"/>
  <c r="BX6" i="18"/>
  <c r="BW6" i="18"/>
  <c r="B9" i="42"/>
  <c r="AV9" i="42" s="1"/>
  <c r="B10" i="41"/>
  <c r="AV10" i="41" s="1"/>
  <c r="B11" i="42"/>
  <c r="AV11" i="42" s="1"/>
  <c r="B10" i="42"/>
  <c r="AV10" i="42" s="1"/>
  <c r="B8" i="42"/>
  <c r="AV8" i="42" s="1"/>
  <c r="B6" i="42"/>
  <c r="AV6" i="42" s="1"/>
  <c r="B7" i="41"/>
  <c r="AV7" i="41" s="1"/>
  <c r="B8" i="41"/>
  <c r="AV8" i="41" s="1"/>
  <c r="B6" i="41"/>
  <c r="AV6" i="41" s="1"/>
  <c r="B7" i="42"/>
  <c r="AV7" i="42" s="1"/>
  <c r="B11" i="40"/>
  <c r="AV11" i="40" s="1"/>
  <c r="B7" i="40"/>
  <c r="AV7" i="40" s="1"/>
  <c r="B10" i="40"/>
  <c r="AV10" i="40" s="1"/>
  <c r="B8" i="40"/>
  <c r="AV8" i="40" s="1"/>
  <c r="B6" i="40"/>
  <c r="AV6" i="40" s="1"/>
  <c r="B11" i="41"/>
  <c r="AV11" i="41" s="1"/>
  <c r="B9" i="40"/>
  <c r="AV9" i="40" s="1"/>
  <c r="B9" i="41"/>
  <c r="AV9" i="41" s="1"/>
  <c r="B11" i="39"/>
  <c r="AV11" i="39" s="1"/>
  <c r="B7" i="39"/>
  <c r="AV7" i="39" s="1"/>
  <c r="B10" i="39"/>
  <c r="AV10" i="39" s="1"/>
  <c r="B8" i="39"/>
  <c r="AV8" i="39" s="1"/>
  <c r="B6" i="39"/>
  <c r="AV6" i="39" s="1"/>
  <c r="B9" i="39"/>
  <c r="AV9" i="39" s="1"/>
  <c r="B11" i="37"/>
  <c r="AV11" i="37" s="1"/>
  <c r="B7" i="37"/>
  <c r="AV7" i="37" s="1"/>
  <c r="B10" i="37"/>
  <c r="AV10" i="37" s="1"/>
  <c r="B8" i="37"/>
  <c r="AV8" i="37" s="1"/>
  <c r="B6" i="37"/>
  <c r="AV6" i="37" s="1"/>
  <c r="B11" i="38"/>
  <c r="AV11" i="38" s="1"/>
  <c r="B7" i="38"/>
  <c r="AV7" i="38" s="1"/>
  <c r="B10" i="38"/>
  <c r="AV10" i="38" s="1"/>
  <c r="B8" i="38"/>
  <c r="AV8" i="38" s="1"/>
  <c r="B6" i="38"/>
  <c r="AV6" i="38" s="1"/>
  <c r="B9" i="37"/>
  <c r="AV9" i="37" s="1"/>
  <c r="B9" i="38"/>
  <c r="AV9" i="38" s="1"/>
  <c r="B10" i="36"/>
  <c r="AV10" i="36" s="1"/>
  <c r="B8" i="36"/>
  <c r="AV8" i="36" s="1"/>
  <c r="B6" i="36"/>
  <c r="AV6" i="36" s="1"/>
  <c r="B9" i="35"/>
  <c r="AV9" i="35" s="1"/>
  <c r="B9" i="36"/>
  <c r="AV9" i="36" s="1"/>
  <c r="B11" i="35"/>
  <c r="AV11" i="35" s="1"/>
  <c r="B7" i="35"/>
  <c r="AV7" i="35" s="1"/>
  <c r="B10" i="35"/>
  <c r="AV10" i="35" s="1"/>
  <c r="B8" i="35"/>
  <c r="AV8" i="35" s="1"/>
  <c r="B11" i="36"/>
  <c r="AV11" i="36" s="1"/>
  <c r="B7" i="36"/>
  <c r="AV7" i="36" s="1"/>
  <c r="B11" i="33"/>
  <c r="AV11" i="33" s="1"/>
  <c r="B7" i="33"/>
  <c r="AV7" i="33" s="1"/>
  <c r="B10" i="33"/>
  <c r="AV10" i="33" s="1"/>
  <c r="B8" i="33"/>
  <c r="AV8" i="33" s="1"/>
  <c r="B6" i="33"/>
  <c r="AV6" i="33" s="1"/>
  <c r="AV12" i="33" s="1"/>
  <c r="G1" i="33" s="1"/>
  <c r="B11" i="34"/>
  <c r="AV11" i="34" s="1"/>
  <c r="B7" i="34"/>
  <c r="AV7" i="34" s="1"/>
  <c r="B10" i="34"/>
  <c r="AV10" i="34" s="1"/>
  <c r="B8" i="34"/>
  <c r="AV8" i="34" s="1"/>
  <c r="B6" i="34"/>
  <c r="AV6" i="34" s="1"/>
  <c r="B9" i="33"/>
  <c r="AV9" i="33" s="1"/>
  <c r="B6" i="35"/>
  <c r="AV6" i="35" s="1"/>
  <c r="B9" i="34"/>
  <c r="AV9" i="34" s="1"/>
  <c r="B11" i="30"/>
  <c r="AV11" i="30" s="1"/>
  <c r="B7" i="30"/>
  <c r="AV7" i="30" s="1"/>
  <c r="B10" i="30"/>
  <c r="AV10" i="30" s="1"/>
  <c r="B8" i="30"/>
  <c r="AV8" i="30" s="1"/>
  <c r="B6" i="30"/>
  <c r="AV6" i="30" s="1"/>
  <c r="B9" i="32"/>
  <c r="AV9" i="32" s="1"/>
  <c r="B11" i="31"/>
  <c r="AV11" i="31" s="1"/>
  <c r="B7" i="31"/>
  <c r="AV7" i="31" s="1"/>
  <c r="B10" i="31"/>
  <c r="AV10" i="31" s="1"/>
  <c r="B8" i="31"/>
  <c r="AV8" i="31" s="1"/>
  <c r="B6" i="31"/>
  <c r="AV6" i="31" s="1"/>
  <c r="B9" i="30"/>
  <c r="AV9" i="30" s="1"/>
  <c r="B10" i="32"/>
  <c r="AV10" i="32" s="1"/>
  <c r="B8" i="32"/>
  <c r="AV8" i="32" s="1"/>
  <c r="B6" i="32"/>
  <c r="AV6" i="32" s="1"/>
  <c r="B11" i="32"/>
  <c r="AV11" i="32" s="1"/>
  <c r="B9" i="29"/>
  <c r="AV9" i="29" s="1"/>
  <c r="B7" i="32"/>
  <c r="AV7" i="32" s="1"/>
  <c r="B11" i="28"/>
  <c r="AV11" i="28" s="1"/>
  <c r="B7" i="28"/>
  <c r="AV7" i="28" s="1"/>
  <c r="B10" i="28"/>
  <c r="AV10" i="28" s="1"/>
  <c r="B8" i="28"/>
  <c r="AV8" i="28" s="1"/>
  <c r="B6" i="28"/>
  <c r="AV6" i="28" s="1"/>
  <c r="B9" i="31"/>
  <c r="AV9" i="31" s="1"/>
  <c r="B11" i="29"/>
  <c r="AV11" i="29" s="1"/>
  <c r="B7" i="29"/>
  <c r="AV7" i="29" s="1"/>
  <c r="B10" i="29"/>
  <c r="AV10" i="29" s="1"/>
  <c r="B8" i="29"/>
  <c r="AV8" i="29" s="1"/>
  <c r="B6" i="29"/>
  <c r="AV6" i="29" s="1"/>
  <c r="B9" i="28"/>
  <c r="AV9" i="28" s="1"/>
  <c r="B11" i="26"/>
  <c r="AV11" i="26" s="1"/>
  <c r="B7" i="26"/>
  <c r="AV7" i="26" s="1"/>
  <c r="B11" i="27"/>
  <c r="AV11" i="27" s="1"/>
  <c r="B7" i="27"/>
  <c r="AV7" i="27" s="1"/>
  <c r="B10" i="27"/>
  <c r="AV10" i="27" s="1"/>
  <c r="B8" i="27"/>
  <c r="AV8" i="27" s="1"/>
  <c r="B6" i="27"/>
  <c r="AV6" i="27" s="1"/>
  <c r="B9" i="26"/>
  <c r="AV9" i="26" s="1"/>
  <c r="B11" i="25"/>
  <c r="AV11" i="25" s="1"/>
  <c r="B9" i="25"/>
  <c r="AV9" i="25" s="1"/>
  <c r="B11" i="24"/>
  <c r="AV11" i="24" s="1"/>
  <c r="B7" i="24"/>
  <c r="AV7" i="24" s="1"/>
  <c r="B9" i="27"/>
  <c r="AV9" i="27" s="1"/>
  <c r="B8" i="26"/>
  <c r="AV8" i="26" s="1"/>
  <c r="B10" i="24"/>
  <c r="AV10" i="24" s="1"/>
  <c r="B8" i="24"/>
  <c r="AV8" i="24" s="1"/>
  <c r="B6" i="24"/>
  <c r="AV6" i="24" s="1"/>
  <c r="B9" i="23"/>
  <c r="AV9" i="23" s="1"/>
  <c r="B10" i="26"/>
  <c r="AV10" i="26" s="1"/>
  <c r="B6" i="26"/>
  <c r="AV6" i="26" s="1"/>
  <c r="AV12" i="26" s="1"/>
  <c r="G1" i="26" s="1"/>
  <c r="B7" i="25"/>
  <c r="AV7" i="25" s="1"/>
  <c r="B10" i="25"/>
  <c r="AV10" i="25" s="1"/>
  <c r="B8" i="25"/>
  <c r="AV8" i="25" s="1"/>
  <c r="B6" i="25"/>
  <c r="AV6" i="25" s="1"/>
  <c r="B9" i="24"/>
  <c r="AV9" i="24" s="1"/>
  <c r="B11" i="23"/>
  <c r="AV11" i="23" s="1"/>
  <c r="B8" i="23"/>
  <c r="AV8" i="23" s="1"/>
  <c r="B11" i="22"/>
  <c r="AV11" i="22" s="1"/>
  <c r="B7" i="22"/>
  <c r="AV7" i="22" s="1"/>
  <c r="B10" i="23"/>
  <c r="AV10" i="23" s="1"/>
  <c r="B10" i="22"/>
  <c r="AV10" i="22" s="1"/>
  <c r="B8" i="22"/>
  <c r="AV8" i="22" s="1"/>
  <c r="B6" i="22"/>
  <c r="AV6" i="22" s="1"/>
  <c r="B9" i="21"/>
  <c r="AV9" i="21" s="1"/>
  <c r="B7" i="23"/>
  <c r="AV7" i="23" s="1"/>
  <c r="B6" i="23"/>
  <c r="AV6" i="23" s="1"/>
  <c r="AV12" i="23" s="1"/>
  <c r="G1" i="23" s="1"/>
  <c r="B9" i="22"/>
  <c r="AV9" i="22" s="1"/>
  <c r="B11" i="21"/>
  <c r="AV11" i="21" s="1"/>
  <c r="B7" i="21"/>
  <c r="AV7" i="21" s="1"/>
  <c r="B8" i="21"/>
  <c r="AV8" i="21" s="1"/>
  <c r="B6" i="21"/>
  <c r="AV6" i="21" s="1"/>
  <c r="B9" i="20"/>
  <c r="AV9" i="20" s="1"/>
  <c r="B10" i="21"/>
  <c r="AV10" i="21" s="1"/>
  <c r="B11" i="19"/>
  <c r="AV11" i="19" s="1"/>
  <c r="B7" i="19"/>
  <c r="AV7" i="19" s="1"/>
  <c r="B10" i="19"/>
  <c r="AV10" i="19" s="1"/>
  <c r="B8" i="19"/>
  <c r="AV8" i="19" s="1"/>
  <c r="B6" i="19"/>
  <c r="AV6" i="19" s="1"/>
  <c r="B11" i="20"/>
  <c r="AV11" i="20" s="1"/>
  <c r="B7" i="20"/>
  <c r="AV7" i="20" s="1"/>
  <c r="B6" i="20"/>
  <c r="AV6" i="20" s="1"/>
  <c r="B11" i="18"/>
  <c r="AV11" i="18" s="1"/>
  <c r="B7" i="18"/>
  <c r="AV7" i="18" s="1"/>
  <c r="B10" i="20"/>
  <c r="AV10" i="20" s="1"/>
  <c r="B10" i="18"/>
  <c r="AV10" i="18" s="1"/>
  <c r="B8" i="18"/>
  <c r="AV8" i="18" s="1"/>
  <c r="B6" i="18"/>
  <c r="AV6" i="18" s="1"/>
  <c r="B9" i="17"/>
  <c r="AV9" i="17" s="1"/>
  <c r="B11" i="16"/>
  <c r="AV11" i="16" s="1"/>
  <c r="B8" i="20"/>
  <c r="AV8" i="20" s="1"/>
  <c r="B9" i="19"/>
  <c r="AV9" i="19" s="1"/>
  <c r="B10" i="16"/>
  <c r="AV10" i="16" s="1"/>
  <c r="B8" i="16"/>
  <c r="AV8" i="16" s="1"/>
  <c r="B9" i="18"/>
  <c r="AV9" i="18" s="1"/>
  <c r="B11" i="17"/>
  <c r="AV11" i="17" s="1"/>
  <c r="B7" i="17"/>
  <c r="AV7" i="17" s="1"/>
  <c r="B10" i="17"/>
  <c r="AV10" i="17" s="1"/>
  <c r="B8" i="17"/>
  <c r="AV8" i="17" s="1"/>
  <c r="B6" i="17"/>
  <c r="AV6" i="17" s="1"/>
  <c r="B9" i="16"/>
  <c r="AV9" i="16" s="1"/>
  <c r="B10" i="15"/>
  <c r="AV10" i="15" s="1"/>
  <c r="B8" i="15"/>
  <c r="AV8" i="15" s="1"/>
  <c r="B6" i="15"/>
  <c r="AV6" i="15" s="1"/>
  <c r="B9" i="14"/>
  <c r="AV9" i="14" s="1"/>
  <c r="B11" i="13"/>
  <c r="AV11" i="13" s="1"/>
  <c r="B7" i="13"/>
  <c r="AV7" i="13" s="1"/>
  <c r="B10" i="13"/>
  <c r="AV10" i="13" s="1"/>
  <c r="B8" i="13"/>
  <c r="AV8" i="13" s="1"/>
  <c r="B6" i="13"/>
  <c r="AV6" i="13" s="1"/>
  <c r="B9" i="12"/>
  <c r="AV9" i="12" s="1"/>
  <c r="B7" i="16"/>
  <c r="AV7" i="16" s="1"/>
  <c r="B6" i="16"/>
  <c r="AV6" i="16" s="1"/>
  <c r="AV12" i="16" s="1"/>
  <c r="G1" i="16" s="1"/>
  <c r="B9" i="15"/>
  <c r="AV9" i="15" s="1"/>
  <c r="B11" i="11"/>
  <c r="AV11" i="11" s="1"/>
  <c r="B7" i="11"/>
  <c r="AV7" i="11" s="1"/>
  <c r="B11" i="14"/>
  <c r="AV11" i="14" s="1"/>
  <c r="B7" i="14"/>
  <c r="AV7" i="14" s="1"/>
  <c r="B10" i="11"/>
  <c r="AV10" i="11" s="1"/>
  <c r="B8" i="11"/>
  <c r="AV8" i="11" s="1"/>
  <c r="B6" i="11"/>
  <c r="AV6" i="11" s="1"/>
  <c r="B10" i="14"/>
  <c r="AV10" i="14" s="1"/>
  <c r="B8" i="14"/>
  <c r="AV8" i="14" s="1"/>
  <c r="B6" i="14"/>
  <c r="AV6" i="14" s="1"/>
  <c r="B9" i="13"/>
  <c r="AV9" i="13" s="1"/>
  <c r="B11" i="12"/>
  <c r="AV11" i="12" s="1"/>
  <c r="B7" i="12"/>
  <c r="AV7" i="12" s="1"/>
  <c r="B11" i="15"/>
  <c r="AV11" i="15" s="1"/>
  <c r="B7" i="15"/>
  <c r="AV7" i="15" s="1"/>
  <c r="B10" i="12"/>
  <c r="AV10" i="12" s="1"/>
  <c r="B8" i="12"/>
  <c r="AV8" i="12" s="1"/>
  <c r="B6" i="12"/>
  <c r="AV6" i="12" s="1"/>
  <c r="B11" i="10"/>
  <c r="AV11" i="10" s="1"/>
  <c r="B7" i="10"/>
  <c r="AV7" i="10" s="1"/>
  <c r="B9" i="11"/>
  <c r="AV9" i="11" s="1"/>
  <c r="B10" i="10"/>
  <c r="AV10" i="10" s="1"/>
  <c r="B8" i="10"/>
  <c r="AV8" i="10" s="1"/>
  <c r="B6" i="10"/>
  <c r="AV6" i="10" s="1"/>
  <c r="B9" i="10"/>
  <c r="AV9" i="10" s="1"/>
  <c r="C3" i="8"/>
  <c r="BW8" i="12"/>
  <c r="BV8" i="12"/>
  <c r="CA8" i="12"/>
  <c r="BZ8" i="12"/>
  <c r="BY8" i="12"/>
  <c r="BX8" i="12"/>
  <c r="F10" i="44"/>
  <c r="A10" i="44" s="1"/>
  <c r="F5" i="44"/>
  <c r="A5" i="44" s="1"/>
  <c r="F61" i="44"/>
  <c r="A61" i="44" s="1"/>
  <c r="F31" i="44"/>
  <c r="A31" i="44" s="1"/>
  <c r="F9" i="44"/>
  <c r="A9" i="44" s="1"/>
  <c r="F24" i="44"/>
  <c r="A24" i="44" s="1"/>
  <c r="F56" i="44"/>
  <c r="A56" i="44" s="1"/>
  <c r="F29" i="44"/>
  <c r="A29" i="44" s="1"/>
  <c r="F62" i="44"/>
  <c r="A62" i="44" s="1"/>
  <c r="CB8" i="39"/>
  <c r="BW6" i="11"/>
  <c r="BX6" i="19"/>
  <c r="BV6" i="19"/>
  <c r="CA6" i="19"/>
  <c r="BZ6" i="19"/>
  <c r="BY6" i="19"/>
  <c r="BW6" i="19"/>
  <c r="BW7" i="22"/>
  <c r="BV7" i="22"/>
  <c r="CA7" i="22"/>
  <c r="BZ7" i="22"/>
  <c r="BY7" i="22"/>
  <c r="BX7" i="22"/>
  <c r="BY11" i="39"/>
  <c r="BY7" i="28"/>
  <c r="BX7" i="28"/>
  <c r="BW7" i="28"/>
  <c r="BV7" i="28"/>
  <c r="CA7" i="28"/>
  <c r="BZ7" i="28"/>
  <c r="CA8" i="38"/>
  <c r="CA8" i="40"/>
  <c r="BZ8" i="40"/>
  <c r="BY8" i="40"/>
  <c r="BX8" i="40"/>
  <c r="BW8" i="40"/>
  <c r="BV8" i="40"/>
  <c r="CB9" i="32"/>
  <c r="BV8" i="33"/>
  <c r="BV8" i="23"/>
  <c r="CB8" i="23" s="1"/>
  <c r="BZ8" i="23"/>
  <c r="BY8" i="23"/>
  <c r="CA8" i="23"/>
  <c r="BX8" i="23"/>
  <c r="BW8" i="23"/>
  <c r="BV10" i="41"/>
  <c r="BY8" i="21"/>
  <c r="BW9" i="34"/>
  <c r="CB9" i="34" s="1"/>
  <c r="BX9" i="40"/>
  <c r="CB9" i="40" s="1"/>
  <c r="BY10" i="21"/>
  <c r="CB10" i="21" s="1"/>
  <c r="BY7" i="19"/>
  <c r="BW7" i="19"/>
  <c r="BV7" i="19"/>
  <c r="CA7" i="19"/>
  <c r="BZ7" i="19"/>
  <c r="BX7" i="19"/>
  <c r="BY8" i="15"/>
  <c r="CA9" i="20"/>
  <c r="BZ9" i="20"/>
  <c r="BY9" i="20"/>
  <c r="BX9" i="20"/>
  <c r="BW9" i="20"/>
  <c r="BV9" i="20"/>
  <c r="BW11" i="13"/>
  <c r="BV11" i="13"/>
  <c r="CA11" i="13"/>
  <c r="BZ11" i="13"/>
  <c r="BY11" i="13"/>
  <c r="BX11" i="13"/>
  <c r="BV8" i="42"/>
  <c r="CA8" i="42"/>
  <c r="BZ8" i="42"/>
  <c r="BW8" i="42"/>
  <c r="BY8" i="42"/>
  <c r="BX8" i="42"/>
  <c r="CA8" i="35"/>
  <c r="BX8" i="35"/>
  <c r="BV8" i="35"/>
  <c r="BW8" i="35"/>
  <c r="CA10" i="15"/>
  <c r="BZ10" i="15"/>
  <c r="BY10" i="15"/>
  <c r="BX10" i="15"/>
  <c r="BW10" i="15"/>
  <c r="BV10" i="15"/>
  <c r="BV10" i="18"/>
  <c r="CB10" i="18" s="1"/>
  <c r="CA10" i="18"/>
  <c r="BZ10" i="18"/>
  <c r="BY10" i="18"/>
  <c r="BX10" i="18"/>
  <c r="BW10" i="18"/>
  <c r="BY11" i="19"/>
  <c r="BW11" i="19"/>
  <c r="BV11" i="19"/>
  <c r="CB11" i="19" s="1"/>
  <c r="CA11" i="19"/>
  <c r="BX11" i="19"/>
  <c r="BZ11" i="19"/>
  <c r="BW6" i="39"/>
  <c r="CB6" i="39" s="1"/>
  <c r="BZ8" i="13"/>
  <c r="BY8" i="13"/>
  <c r="BX8" i="13"/>
  <c r="BW8" i="13"/>
  <c r="BV8" i="13"/>
  <c r="CA8" i="13"/>
  <c r="CA10" i="12"/>
  <c r="BZ10" i="12"/>
  <c r="BY10" i="12"/>
  <c r="BX10" i="12"/>
  <c r="BW10" i="12"/>
  <c r="BV10" i="12"/>
  <c r="CB10" i="12" s="1"/>
  <c r="BX8" i="36"/>
  <c r="BW8" i="36"/>
  <c r="BV8" i="36"/>
  <c r="CA8" i="36"/>
  <c r="BZ8" i="36"/>
  <c r="BY8" i="36"/>
  <c r="CA8" i="41"/>
  <c r="BZ8" i="41"/>
  <c r="BY8" i="41"/>
  <c r="BX8" i="41"/>
  <c r="BW8" i="41"/>
  <c r="BV8" i="41"/>
  <c r="BZ6" i="13"/>
  <c r="BY6" i="14"/>
  <c r="BX6" i="14"/>
  <c r="BW6" i="14"/>
  <c r="BV6" i="14"/>
  <c r="CA6" i="14"/>
  <c r="BZ6" i="14"/>
  <c r="F22" i="44"/>
  <c r="A22" i="44" s="1"/>
  <c r="F6" i="44"/>
  <c r="A6" i="44" s="1"/>
  <c r="F17" i="44"/>
  <c r="A17" i="44" s="1"/>
  <c r="F11" i="44"/>
  <c r="A11" i="44" s="1"/>
  <c r="F13" i="44"/>
  <c r="A13" i="44" s="1"/>
  <c r="F36" i="44"/>
  <c r="A36" i="44" s="1"/>
  <c r="F64" i="44"/>
  <c r="A64" i="44" s="1"/>
  <c r="BW10" i="24"/>
  <c r="BV10" i="24"/>
  <c r="CA10" i="24"/>
  <c r="BZ10" i="24"/>
  <c r="BY10" i="24"/>
  <c r="BX10" i="24"/>
  <c r="CA9" i="17"/>
  <c r="BZ9" i="17"/>
  <c r="BY9" i="17"/>
  <c r="BX9" i="17"/>
  <c r="BW9" i="17"/>
  <c r="BV9" i="17"/>
  <c r="CB9" i="17" s="1"/>
  <c r="CA8" i="28"/>
  <c r="BZ8" i="28"/>
  <c r="BY8" i="28"/>
  <c r="BX8" i="28"/>
  <c r="BW8" i="28"/>
  <c r="BV8" i="28"/>
  <c r="BY6" i="11"/>
  <c r="AS10" i="35"/>
  <c r="BZ6" i="25"/>
  <c r="BY6" i="25"/>
  <c r="BX6" i="25"/>
  <c r="BW6" i="25"/>
  <c r="BV6" i="25"/>
  <c r="CA6" i="25"/>
  <c r="BY9" i="31"/>
  <c r="BX9" i="31"/>
  <c r="BW9" i="31"/>
  <c r="BV9" i="31"/>
  <c r="CB9" i="31" s="1"/>
  <c r="BZ9" i="31"/>
  <c r="CA9" i="31"/>
  <c r="BX7" i="36"/>
  <c r="CB7" i="36" s="1"/>
  <c r="BV9" i="33"/>
  <c r="CA9" i="33"/>
  <c r="BZ9" i="33"/>
  <c r="BY9" i="33"/>
  <c r="BX9" i="33"/>
  <c r="BW9" i="33"/>
  <c r="BY11" i="28"/>
  <c r="BX11" i="28"/>
  <c r="BW11" i="28"/>
  <c r="BV11" i="28"/>
  <c r="CA11" i="28"/>
  <c r="BZ11" i="28"/>
  <c r="BY9" i="27"/>
  <c r="BX9" i="27"/>
  <c r="BW9" i="27"/>
  <c r="BV9" i="27"/>
  <c r="CA9" i="27"/>
  <c r="BZ9" i="27"/>
  <c r="BW8" i="33"/>
  <c r="BX9" i="24"/>
  <c r="BX11" i="24"/>
  <c r="BW11" i="24"/>
  <c r="BV11" i="24"/>
  <c r="CA11" i="24"/>
  <c r="BZ11" i="24"/>
  <c r="BY11" i="24"/>
  <c r="BW10" i="41"/>
  <c r="BX6" i="36"/>
  <c r="CB6" i="36" s="1"/>
  <c r="CA8" i="21"/>
  <c r="CB8" i="21" s="1"/>
  <c r="BZ8" i="18"/>
  <c r="CB8" i="18" s="1"/>
  <c r="BX9" i="34"/>
  <c r="BY11" i="33"/>
  <c r="BW9" i="22"/>
  <c r="BV9" i="22"/>
  <c r="CA9" i="22"/>
  <c r="BZ9" i="22"/>
  <c r="BY9" i="22"/>
  <c r="BX9" i="22"/>
  <c r="BZ8" i="15"/>
  <c r="CB9" i="16"/>
  <c r="CA11" i="36"/>
  <c r="BZ11" i="36"/>
  <c r="BY11" i="36"/>
  <c r="BX11" i="36"/>
  <c r="BW11" i="36"/>
  <c r="BV11" i="36"/>
  <c r="BH20" i="44"/>
  <c r="CA9" i="29"/>
  <c r="BZ9" i="29"/>
  <c r="BY9" i="29"/>
  <c r="BX9" i="29"/>
  <c r="BW9" i="29"/>
  <c r="BV9" i="29"/>
  <c r="CA10" i="36"/>
  <c r="BZ10" i="36"/>
  <c r="BY10" i="36"/>
  <c r="BX10" i="36"/>
  <c r="BW10" i="36"/>
  <c r="BV10" i="36"/>
  <c r="BV10" i="13"/>
  <c r="CA10" i="13"/>
  <c r="BZ10" i="13"/>
  <c r="BY10" i="13"/>
  <c r="BX10" i="13"/>
  <c r="BW10" i="13"/>
  <c r="BZ9" i="25"/>
  <c r="CB10" i="37"/>
  <c r="CB8" i="10"/>
  <c r="CB8" i="37"/>
  <c r="CA7" i="30"/>
  <c r="AT11" i="10"/>
  <c r="C11" i="10"/>
  <c r="BV6" i="22"/>
  <c r="CB6" i="22" s="1"/>
  <c r="CA6" i="22"/>
  <c r="BZ6" i="22"/>
  <c r="BY6" i="22"/>
  <c r="BX6" i="22"/>
  <c r="BW6" i="22"/>
  <c r="C64" i="44"/>
  <c r="B61" i="44"/>
  <c r="C56" i="44"/>
  <c r="B53" i="44"/>
  <c r="C48" i="44"/>
  <c r="B45" i="44"/>
  <c r="C40" i="44"/>
  <c r="B37" i="44"/>
  <c r="C34" i="44"/>
  <c r="B64" i="44"/>
  <c r="C59" i="44"/>
  <c r="B56" i="44"/>
  <c r="C51" i="44"/>
  <c r="B48" i="44"/>
  <c r="C43" i="44"/>
  <c r="B40" i="44"/>
  <c r="C35" i="44"/>
  <c r="B34" i="44"/>
  <c r="C65" i="44"/>
  <c r="B62" i="44"/>
  <c r="C57" i="44"/>
  <c r="B54" i="44"/>
  <c r="C49" i="44"/>
  <c r="B65" i="44"/>
  <c r="C60" i="44"/>
  <c r="B57" i="44"/>
  <c r="C52" i="44"/>
  <c r="B49" i="44"/>
  <c r="C44" i="44"/>
  <c r="B41" i="44"/>
  <c r="C36" i="44"/>
  <c r="C66" i="44"/>
  <c r="B63" i="44"/>
  <c r="C58" i="44"/>
  <c r="B55" i="44"/>
  <c r="C50" i="44"/>
  <c r="B47" i="44"/>
  <c r="C42" i="44"/>
  <c r="B66" i="44"/>
  <c r="C61" i="44"/>
  <c r="B58" i="44"/>
  <c r="C53" i="44"/>
  <c r="B50" i="44"/>
  <c r="C45" i="44"/>
  <c r="B42" i="44"/>
  <c r="C37" i="44"/>
  <c r="C33" i="44"/>
  <c r="B32" i="44"/>
  <c r="C54" i="44"/>
  <c r="B44" i="44"/>
  <c r="C29" i="44"/>
  <c r="C22" i="44"/>
  <c r="B21" i="44"/>
  <c r="C12" i="44"/>
  <c r="C10" i="44"/>
  <c r="B60" i="44"/>
  <c r="B43" i="44"/>
  <c r="C32" i="44"/>
  <c r="B29" i="44"/>
  <c r="C23" i="44"/>
  <c r="B22" i="44"/>
  <c r="C15" i="44"/>
  <c r="C7" i="44"/>
  <c r="C6" i="44"/>
  <c r="C5" i="44"/>
  <c r="C4" i="44"/>
  <c r="C3" i="44"/>
  <c r="A4" i="50" s="1"/>
  <c r="B59" i="44"/>
  <c r="C47" i="44"/>
  <c r="C39" i="44"/>
  <c r="B36" i="44"/>
  <c r="C24" i="44"/>
  <c r="B23" i="44"/>
  <c r="C18" i="44"/>
  <c r="B52" i="44"/>
  <c r="C46" i="44"/>
  <c r="B39" i="44"/>
  <c r="C30" i="44"/>
  <c r="C25" i="44"/>
  <c r="B24" i="44"/>
  <c r="C13" i="44"/>
  <c r="C9" i="44"/>
  <c r="B51" i="44"/>
  <c r="B46" i="44"/>
  <c r="C38" i="44"/>
  <c r="B35" i="44"/>
  <c r="B33" i="44"/>
  <c r="B30" i="44"/>
  <c r="C26" i="44"/>
  <c r="B25" i="44"/>
  <c r="C16" i="44"/>
  <c r="C63" i="44"/>
  <c r="C41" i="44"/>
  <c r="B38" i="44"/>
  <c r="C27" i="44"/>
  <c r="B26" i="44"/>
  <c r="C19" i="44"/>
  <c r="C11" i="44"/>
  <c r="C55" i="44"/>
  <c r="B31" i="44"/>
  <c r="B28" i="44"/>
  <c r="C21" i="44"/>
  <c r="B20" i="44"/>
  <c r="C17" i="44"/>
  <c r="C28" i="44"/>
  <c r="B19" i="44"/>
  <c r="C14" i="44"/>
  <c r="B27" i="44"/>
  <c r="C8" i="44"/>
  <c r="C62" i="44"/>
  <c r="C31" i="44"/>
  <c r="C20" i="44"/>
  <c r="BW10" i="40"/>
  <c r="BV10" i="40"/>
  <c r="CA10" i="40"/>
  <c r="BZ10" i="40"/>
  <c r="BY10" i="40"/>
  <c r="BX10" i="40"/>
  <c r="CA6" i="13"/>
  <c r="BX6" i="38"/>
  <c r="BW6" i="38"/>
  <c r="BV6" i="38"/>
  <c r="CA6" i="38"/>
  <c r="BY6" i="38"/>
  <c r="BZ6" i="38"/>
  <c r="F7" i="44"/>
  <c r="A7" i="44" s="1"/>
  <c r="F21" i="44"/>
  <c r="A21" i="44" s="1"/>
  <c r="F19" i="44"/>
  <c r="A19" i="44" s="1"/>
  <c r="F25" i="44"/>
  <c r="A25" i="44" s="1"/>
  <c r="F60" i="44"/>
  <c r="A60" i="44" s="1"/>
  <c r="F42" i="44"/>
  <c r="A42" i="44" s="1"/>
  <c r="F49" i="44"/>
  <c r="A49" i="44" s="1"/>
  <c r="CA11" i="23"/>
  <c r="BZ11" i="23"/>
  <c r="BX11" i="23"/>
  <c r="BW11" i="23"/>
  <c r="BV11" i="23"/>
  <c r="CB11" i="23" s="1"/>
  <c r="BY11" i="23"/>
  <c r="BV10" i="14"/>
  <c r="CB10" i="14" s="1"/>
  <c r="BX7" i="40"/>
  <c r="BW7" i="40"/>
  <c r="BV7" i="40"/>
  <c r="CA7" i="40"/>
  <c r="BZ7" i="40"/>
  <c r="BY7" i="40"/>
  <c r="BX10" i="11"/>
  <c r="BV10" i="11"/>
  <c r="CB10" i="11" s="1"/>
  <c r="CA10" i="11"/>
  <c r="BZ10" i="11"/>
  <c r="BY10" i="11"/>
  <c r="BW10" i="11"/>
  <c r="CA6" i="12"/>
  <c r="BZ6" i="12"/>
  <c r="BY6" i="12"/>
  <c r="BX6" i="12"/>
  <c r="BW6" i="12"/>
  <c r="BV6" i="12"/>
  <c r="BZ6" i="11"/>
  <c r="CA9" i="13"/>
  <c r="CB9" i="10"/>
  <c r="BZ10" i="42"/>
  <c r="BY10" i="42"/>
  <c r="BX10" i="42"/>
  <c r="BW10" i="42"/>
  <c r="BV10" i="42"/>
  <c r="CA10" i="42"/>
  <c r="BW8" i="17"/>
  <c r="BV8" i="17"/>
  <c r="CA8" i="17"/>
  <c r="BZ8" i="17"/>
  <c r="BY8" i="17"/>
  <c r="BX8" i="17"/>
  <c r="BV8" i="14"/>
  <c r="CA8" i="19"/>
  <c r="BV7" i="26"/>
  <c r="CA7" i="26"/>
  <c r="BZ7" i="26"/>
  <c r="BY7" i="26"/>
  <c r="BX7" i="26"/>
  <c r="BW7" i="26"/>
  <c r="CA9" i="36"/>
  <c r="CB9" i="36" s="1"/>
  <c r="BW11" i="18"/>
  <c r="BV11" i="18"/>
  <c r="CA11" i="18"/>
  <c r="BZ11" i="18"/>
  <c r="BY11" i="18"/>
  <c r="BX11" i="18"/>
  <c r="CA10" i="21"/>
  <c r="BY11" i="27"/>
  <c r="BX11" i="27"/>
  <c r="BW11" i="27"/>
  <c r="BV11" i="27"/>
  <c r="CA11" i="27"/>
  <c r="BZ11" i="27"/>
  <c r="CA7" i="25"/>
  <c r="BZ7" i="25"/>
  <c r="BY7" i="25"/>
  <c r="BX7" i="25"/>
  <c r="BW7" i="25"/>
  <c r="BV7" i="25"/>
  <c r="CB7" i="25" s="1"/>
  <c r="CA11" i="20"/>
  <c r="BZ11" i="20"/>
  <c r="BY11" i="20"/>
  <c r="BX11" i="20"/>
  <c r="BW11" i="20"/>
  <c r="BV11" i="20"/>
  <c r="BX6" i="28"/>
  <c r="BW6" i="28"/>
  <c r="BV6" i="28"/>
  <c r="CB6" i="28" s="1"/>
  <c r="CA6" i="28"/>
  <c r="BZ6" i="28"/>
  <c r="BY6" i="28"/>
  <c r="CA6" i="21"/>
  <c r="BV9" i="30"/>
  <c r="CA9" i="30"/>
  <c r="BZ9" i="30"/>
  <c r="BY9" i="30"/>
  <c r="BX9" i="30"/>
  <c r="BW9" i="30"/>
  <c r="CB10" i="38"/>
  <c r="CA10" i="31"/>
  <c r="CB10" i="31" s="1"/>
  <c r="BZ11" i="15"/>
  <c r="CB11" i="15" s="1"/>
  <c r="CA9" i="25"/>
  <c r="CB9" i="25" s="1"/>
  <c r="CA9" i="42"/>
  <c r="BZ9" i="42"/>
  <c r="BY9" i="42"/>
  <c r="BX9" i="42"/>
  <c r="BW9" i="42"/>
  <c r="BV9" i="42"/>
  <c r="BY8" i="29"/>
  <c r="CB8" i="29" s="1"/>
  <c r="BY7" i="30"/>
  <c r="CB7" i="30" s="1"/>
  <c r="CA8" i="31"/>
  <c r="CB8" i="31" s="1"/>
  <c r="CB9" i="37"/>
  <c r="BY9" i="41"/>
  <c r="BZ9" i="41"/>
  <c r="BX9" i="41"/>
  <c r="BW9" i="41"/>
  <c r="BV9" i="41"/>
  <c r="CA9" i="41"/>
  <c r="BY6" i="39"/>
  <c r="BZ10" i="23"/>
  <c r="BY10" i="23"/>
  <c r="BW10" i="23"/>
  <c r="BV10" i="23"/>
  <c r="CA10" i="23"/>
  <c r="BX10" i="23"/>
  <c r="CB10" i="10"/>
  <c r="AS6" i="35"/>
  <c r="BV11" i="35" s="1"/>
  <c r="CB6" i="13"/>
  <c r="BX10" i="16"/>
  <c r="BW10" i="16"/>
  <c r="BV10" i="16"/>
  <c r="CA10" i="16"/>
  <c r="BZ10" i="16"/>
  <c r="BY10" i="16"/>
  <c r="F12" i="44"/>
  <c r="A12" i="44" s="1"/>
  <c r="F15" i="44"/>
  <c r="A15" i="44" s="1"/>
  <c r="F45" i="44"/>
  <c r="A45" i="44" s="1"/>
  <c r="F27" i="44"/>
  <c r="A27" i="44" s="1"/>
  <c r="F30" i="44"/>
  <c r="A30" i="44" s="1"/>
  <c r="F35" i="44"/>
  <c r="A35" i="44" s="1"/>
  <c r="F50" i="44"/>
  <c r="A50" i="44" s="1"/>
  <c r="F57" i="44"/>
  <c r="A57" i="44" s="1"/>
  <c r="BX10" i="19"/>
  <c r="BV10" i="19"/>
  <c r="CB10" i="19" s="1"/>
  <c r="CA10" i="19"/>
  <c r="BZ10" i="19"/>
  <c r="BY10" i="19"/>
  <c r="BW10" i="19"/>
  <c r="BZ7" i="14"/>
  <c r="BY7" i="14"/>
  <c r="BX7" i="14"/>
  <c r="BW7" i="14"/>
  <c r="BV7" i="14"/>
  <c r="CA7" i="14"/>
  <c r="CA9" i="12"/>
  <c r="BZ9" i="12"/>
  <c r="BY9" i="12"/>
  <c r="BX9" i="12"/>
  <c r="BW9" i="12"/>
  <c r="BV9" i="12"/>
  <c r="CB9" i="12" s="1"/>
  <c r="BY11" i="16"/>
  <c r="BX11" i="16"/>
  <c r="BW11" i="16"/>
  <c r="BV11" i="16"/>
  <c r="CA11" i="16"/>
  <c r="BZ11" i="16"/>
  <c r="CA6" i="11"/>
  <c r="CB9" i="13"/>
  <c r="CA6" i="15"/>
  <c r="BZ6" i="15"/>
  <c r="BY6" i="15"/>
  <c r="BX6" i="15"/>
  <c r="BW6" i="15"/>
  <c r="BV6" i="15"/>
  <c r="CB6" i="15" s="1"/>
  <c r="AS9" i="35"/>
  <c r="BZ7" i="36"/>
  <c r="CB11" i="39"/>
  <c r="BY6" i="29"/>
  <c r="CB6" i="29" s="1"/>
  <c r="BV8" i="25"/>
  <c r="CA8" i="25"/>
  <c r="BZ8" i="25"/>
  <c r="BY8" i="25"/>
  <c r="BX8" i="25"/>
  <c r="BW8" i="25"/>
  <c r="BV8" i="38"/>
  <c r="BW8" i="14"/>
  <c r="BY8" i="33"/>
  <c r="BV8" i="19"/>
  <c r="CB8" i="19" s="1"/>
  <c r="CB7" i="32"/>
  <c r="BZ6" i="36"/>
  <c r="CA8" i="16"/>
  <c r="BZ8" i="16"/>
  <c r="BX8" i="16"/>
  <c r="BW8" i="16"/>
  <c r="BV8" i="16"/>
  <c r="BY8" i="16"/>
  <c r="CA10" i="26"/>
  <c r="BZ10" i="26"/>
  <c r="BY10" i="26"/>
  <c r="BX10" i="26"/>
  <c r="BW10" i="26"/>
  <c r="BV10" i="26"/>
  <c r="BZ6" i="16"/>
  <c r="CB6" i="16" s="1"/>
  <c r="CA7" i="23"/>
  <c r="BW7" i="23"/>
  <c r="BV7" i="23"/>
  <c r="BZ7" i="23"/>
  <c r="BY7" i="23"/>
  <c r="BX7" i="23"/>
  <c r="CA9" i="28"/>
  <c r="BW9" i="18"/>
  <c r="BV9" i="18"/>
  <c r="CA9" i="18"/>
  <c r="BZ9" i="18"/>
  <c r="BY9" i="18"/>
  <c r="BX9" i="18"/>
  <c r="BV8" i="15"/>
  <c r="CB8" i="15" s="1"/>
  <c r="BZ7" i="16"/>
  <c r="CB7" i="16" s="1"/>
  <c r="BX9" i="16"/>
  <c r="CA9" i="15"/>
  <c r="BZ9" i="15"/>
  <c r="BY9" i="15"/>
  <c r="BX9" i="15"/>
  <c r="BW9" i="15"/>
  <c r="BV9" i="15"/>
  <c r="CA7" i="12"/>
  <c r="BZ7" i="12"/>
  <c r="BY7" i="12"/>
  <c r="BX7" i="12"/>
  <c r="BW7" i="12"/>
  <c r="BV7" i="12"/>
  <c r="BH34" i="44"/>
  <c r="CA6" i="20"/>
  <c r="BZ6" i="20"/>
  <c r="BY6" i="20"/>
  <c r="BX6" i="20"/>
  <c r="BW6" i="20"/>
  <c r="BV6" i="20"/>
  <c r="AT6" i="10"/>
  <c r="C6" i="10"/>
  <c r="BV7" i="39"/>
  <c r="CA7" i="39"/>
  <c r="BZ7" i="39"/>
  <c r="BY7" i="39"/>
  <c r="BX7" i="39"/>
  <c r="BW7" i="39"/>
  <c r="BX7" i="24"/>
  <c r="BV7" i="24"/>
  <c r="CA7" i="24"/>
  <c r="BZ7" i="24"/>
  <c r="BY7" i="24"/>
  <c r="BW7" i="24"/>
  <c r="CA7" i="21"/>
  <c r="BZ7" i="21"/>
  <c r="BY7" i="21"/>
  <c r="BX7" i="21"/>
  <c r="BV7" i="21"/>
  <c r="BW7" i="21"/>
  <c r="CB10" i="34"/>
  <c r="BX11" i="40"/>
  <c r="BW11" i="40"/>
  <c r="BV11" i="40"/>
  <c r="CA11" i="40"/>
  <c r="BZ11" i="40"/>
  <c r="BY11" i="40"/>
  <c r="CB10" i="32"/>
  <c r="CB6" i="37"/>
  <c r="BV9" i="39"/>
  <c r="CA9" i="39"/>
  <c r="BZ9" i="39"/>
  <c r="BY9" i="39"/>
  <c r="BX9" i="39"/>
  <c r="BW9" i="39"/>
  <c r="BH23" i="44"/>
  <c r="BJ8" i="44"/>
  <c r="BH8" i="44"/>
  <c r="BL8" i="44"/>
  <c r="BJ16" i="44"/>
  <c r="BH16" i="44"/>
  <c r="BW8" i="20"/>
  <c r="BV8" i="20"/>
  <c r="CA8" i="20"/>
  <c r="BZ8" i="20"/>
  <c r="BY8" i="20"/>
  <c r="BX8" i="20"/>
  <c r="CA10" i="39"/>
  <c r="BZ10" i="39"/>
  <c r="BY10" i="39"/>
  <c r="BX10" i="39"/>
  <c r="BW10" i="39"/>
  <c r="BV10" i="39"/>
  <c r="CB6" i="11"/>
  <c r="BW9" i="13"/>
  <c r="BY7" i="31"/>
  <c r="BX7" i="31"/>
  <c r="BW7" i="31"/>
  <c r="BV7" i="31"/>
  <c r="CA7" i="31"/>
  <c r="BZ7" i="31"/>
  <c r="CA7" i="36"/>
  <c r="BY7" i="27"/>
  <c r="BX7" i="27"/>
  <c r="BW7" i="27"/>
  <c r="BV7" i="27"/>
  <c r="CA7" i="27"/>
  <c r="BZ7" i="27"/>
  <c r="BZ6" i="29"/>
  <c r="BW8" i="32"/>
  <c r="BV8" i="32"/>
  <c r="CA8" i="32"/>
  <c r="BZ8" i="32"/>
  <c r="BX8" i="32"/>
  <c r="BY8" i="32"/>
  <c r="BW8" i="38"/>
  <c r="BY7" i="15"/>
  <c r="CB7" i="15" s="1"/>
  <c r="BX10" i="41"/>
  <c r="CA6" i="36"/>
  <c r="BY6" i="23"/>
  <c r="BX6" i="23"/>
  <c r="BW6" i="23"/>
  <c r="BV6" i="23"/>
  <c r="CA6" i="23"/>
  <c r="BZ6" i="23"/>
  <c r="CA8" i="18"/>
  <c r="CA10" i="20"/>
  <c r="BZ10" i="20"/>
  <c r="BY10" i="20"/>
  <c r="BX10" i="20"/>
  <c r="BW10" i="20"/>
  <c r="BV10" i="20"/>
  <c r="BZ9" i="40"/>
  <c r="CA6" i="16"/>
  <c r="BV11" i="33"/>
  <c r="CB11" i="33" s="1"/>
  <c r="BV9" i="28"/>
  <c r="CB9" i="28" s="1"/>
  <c r="BV11" i="12"/>
  <c r="CB11" i="12" s="1"/>
  <c r="CA6" i="34"/>
  <c r="BY7" i="29"/>
  <c r="CB7" i="29" s="1"/>
  <c r="CA7" i="16"/>
  <c r="W2" i="45"/>
  <c r="F2" i="45"/>
  <c r="P2" i="45"/>
  <c r="M2" i="45"/>
  <c r="M5" i="45" l="1"/>
  <c r="M3" i="45"/>
  <c r="P5" i="45"/>
  <c r="P3" i="45"/>
  <c r="F3" i="45"/>
  <c r="W5" i="45"/>
  <c r="W3" i="45"/>
  <c r="BA3" i="44"/>
  <c r="Q18" i="48" s="1"/>
  <c r="AT7" i="29"/>
  <c r="C7" i="29"/>
  <c r="AT9" i="40"/>
  <c r="C9" i="40"/>
  <c r="AT9" i="34"/>
  <c r="C9" i="34"/>
  <c r="C7" i="16"/>
  <c r="AT7" i="16"/>
  <c r="C6" i="39"/>
  <c r="AT6" i="39"/>
  <c r="AT10" i="21"/>
  <c r="C10" i="21"/>
  <c r="AT7" i="36"/>
  <c r="C7" i="36"/>
  <c r="C8" i="31"/>
  <c r="AT8" i="31"/>
  <c r="C8" i="18"/>
  <c r="AT8" i="18"/>
  <c r="AT6" i="21"/>
  <c r="C6" i="21"/>
  <c r="C9" i="25"/>
  <c r="AT9" i="25"/>
  <c r="AT8" i="21"/>
  <c r="C8" i="21"/>
  <c r="AT8" i="29"/>
  <c r="C8" i="29"/>
  <c r="AT11" i="15"/>
  <c r="C11" i="15"/>
  <c r="AT6" i="36"/>
  <c r="C6" i="36"/>
  <c r="AT10" i="31"/>
  <c r="C10" i="31"/>
  <c r="C9" i="36"/>
  <c r="AT9" i="36"/>
  <c r="C10" i="33"/>
  <c r="AT10" i="33"/>
  <c r="C7" i="30"/>
  <c r="AT7" i="30"/>
  <c r="AT7" i="15"/>
  <c r="C7" i="15"/>
  <c r="AT6" i="16"/>
  <c r="C6" i="16"/>
  <c r="AT6" i="34"/>
  <c r="C6" i="34"/>
  <c r="AT6" i="29"/>
  <c r="C6" i="29"/>
  <c r="BH15" i="44"/>
  <c r="BJ15" i="44"/>
  <c r="CB7" i="31"/>
  <c r="CB8" i="20"/>
  <c r="CB7" i="21"/>
  <c r="CB7" i="39"/>
  <c r="CB10" i="26"/>
  <c r="CB8" i="14"/>
  <c r="CB10" i="42"/>
  <c r="C10" i="37"/>
  <c r="AT10" i="37"/>
  <c r="CB10" i="36"/>
  <c r="CB11" i="24"/>
  <c r="CB7" i="22"/>
  <c r="CB9" i="24"/>
  <c r="BH28" i="44"/>
  <c r="CB11" i="17"/>
  <c r="CB7" i="13"/>
  <c r="AT11" i="38"/>
  <c r="C11" i="38"/>
  <c r="CB10" i="29"/>
  <c r="AT9" i="38"/>
  <c r="C9" i="38"/>
  <c r="CB7" i="11"/>
  <c r="D24" i="46"/>
  <c r="A29" i="46"/>
  <c r="E8" i="47"/>
  <c r="E64" i="47"/>
  <c r="A21" i="46"/>
  <c r="A117" i="46"/>
  <c r="D60" i="46"/>
  <c r="A17" i="47"/>
  <c r="A57" i="46"/>
  <c r="A4" i="48"/>
  <c r="E49" i="47"/>
  <c r="D109" i="46"/>
  <c r="D28" i="46"/>
  <c r="D105" i="46"/>
  <c r="A60" i="47"/>
  <c r="A32" i="48"/>
  <c r="D12" i="46"/>
  <c r="D72" i="46"/>
  <c r="A9" i="47"/>
  <c r="A8" i="50"/>
  <c r="A125" i="46"/>
  <c r="A5" i="52"/>
  <c r="C9" i="12"/>
  <c r="AT9" i="12"/>
  <c r="AT9" i="28"/>
  <c r="C9" i="28"/>
  <c r="CB6" i="23"/>
  <c r="BH27" i="44"/>
  <c r="CB6" i="12"/>
  <c r="CB7" i="27"/>
  <c r="CB7" i="24"/>
  <c r="CB9" i="15"/>
  <c r="AT8" i="15"/>
  <c r="C8" i="15"/>
  <c r="CB8" i="38"/>
  <c r="AT11" i="39"/>
  <c r="C11" i="39"/>
  <c r="CB7" i="14"/>
  <c r="CB6" i="14"/>
  <c r="CB8" i="13"/>
  <c r="CB11" i="13"/>
  <c r="C8" i="39"/>
  <c r="AT8" i="39"/>
  <c r="BL5" i="44"/>
  <c r="Z5" i="44"/>
  <c r="BJ5" i="44"/>
  <c r="X5" i="44"/>
  <c r="BR5" i="44"/>
  <c r="BP5" i="44"/>
  <c r="BH5" i="44"/>
  <c r="E36" i="47" s="1"/>
  <c r="BN5" i="44"/>
  <c r="AV12" i="12"/>
  <c r="G1" i="12" s="1"/>
  <c r="AV12" i="14"/>
  <c r="G1" i="14" s="1"/>
  <c r="AV12" i="17"/>
  <c r="G1" i="17" s="1"/>
  <c r="AV12" i="31"/>
  <c r="G1" i="31" s="1"/>
  <c r="AV12" i="36"/>
  <c r="G1" i="36" s="1"/>
  <c r="AV12" i="39"/>
  <c r="G1" i="39" s="1"/>
  <c r="AV12" i="40"/>
  <c r="G1" i="40" s="1"/>
  <c r="CB7" i="41"/>
  <c r="CB7" i="42"/>
  <c r="CB10" i="17"/>
  <c r="CB6" i="42"/>
  <c r="CB7" i="38"/>
  <c r="I61" i="61"/>
  <c r="I109" i="61"/>
  <c r="I177" i="61"/>
  <c r="I169" i="61"/>
  <c r="I141" i="61"/>
  <c r="I133" i="61"/>
  <c r="I81" i="61"/>
  <c r="I97" i="61"/>
  <c r="AK54" i="6"/>
  <c r="AK37" i="6"/>
  <c r="AK34" i="6"/>
  <c r="AK43" i="6"/>
  <c r="AK52" i="6"/>
  <c r="AK30" i="6"/>
  <c r="AK25" i="6"/>
  <c r="AK45" i="6"/>
  <c r="E43" i="57"/>
  <c r="I121" i="61"/>
  <c r="AK40" i="6"/>
  <c r="E20" i="57"/>
  <c r="AT6" i="17"/>
  <c r="C6" i="17"/>
  <c r="AT6" i="27"/>
  <c r="C6" i="27"/>
  <c r="A76" i="46"/>
  <c r="A33" i="47"/>
  <c r="A28" i="46"/>
  <c r="A8" i="47"/>
  <c r="A64" i="47"/>
  <c r="A72" i="46"/>
  <c r="A8" i="48"/>
  <c r="A60" i="46"/>
  <c r="D64" i="46"/>
  <c r="A61" i="46"/>
  <c r="A21" i="47"/>
  <c r="A17" i="48"/>
  <c r="D57" i="46"/>
  <c r="A53" i="47"/>
  <c r="A41" i="46"/>
  <c r="D124" i="46"/>
  <c r="A12" i="48"/>
  <c r="A32" i="46"/>
  <c r="A32" i="47"/>
  <c r="A65" i="47"/>
  <c r="A16" i="46"/>
  <c r="D89" i="46"/>
  <c r="E41" i="47"/>
  <c r="A12" i="50"/>
  <c r="D73" i="46"/>
  <c r="D128" i="46"/>
  <c r="A56" i="47"/>
  <c r="AT9" i="13"/>
  <c r="C9" i="13"/>
  <c r="C9" i="37"/>
  <c r="AT9" i="37"/>
  <c r="C10" i="11"/>
  <c r="AT10" i="11"/>
  <c r="C6" i="22"/>
  <c r="AT6" i="22"/>
  <c r="AT9" i="31"/>
  <c r="C9" i="31"/>
  <c r="BJ13" i="44"/>
  <c r="I23" i="47" s="1"/>
  <c r="AU13" i="44" s="1"/>
  <c r="BH13" i="44"/>
  <c r="AT10" i="12"/>
  <c r="C10" i="12"/>
  <c r="AT11" i="19"/>
  <c r="C11" i="19"/>
  <c r="C10" i="18"/>
  <c r="AT10" i="18"/>
  <c r="C8" i="23"/>
  <c r="AT8" i="23"/>
  <c r="BL10" i="44"/>
  <c r="BJ10" i="44"/>
  <c r="BH10" i="44"/>
  <c r="I11" i="23"/>
  <c r="L10" i="23"/>
  <c r="U9" i="23"/>
  <c r="X8" i="23"/>
  <c r="P8" i="23"/>
  <c r="H11" i="23"/>
  <c r="I10" i="23"/>
  <c r="T9" i="23"/>
  <c r="I8" i="23"/>
  <c r="T11" i="23"/>
  <c r="D11" i="23"/>
  <c r="Y10" i="23"/>
  <c r="E10" i="23"/>
  <c r="L9" i="23"/>
  <c r="Q11" i="23"/>
  <c r="X10" i="23"/>
  <c r="D10" i="23"/>
  <c r="Y9" i="23"/>
  <c r="I9" i="23"/>
  <c r="T8" i="23"/>
  <c r="D8" i="23"/>
  <c r="P11" i="23"/>
  <c r="Q10" i="23"/>
  <c r="X9" i="23"/>
  <c r="H9" i="23"/>
  <c r="U11" i="23"/>
  <c r="M10" i="23"/>
  <c r="E9" i="23"/>
  <c r="T7" i="23"/>
  <c r="L7" i="23"/>
  <c r="M11" i="23"/>
  <c r="H10" i="23"/>
  <c r="D9" i="23"/>
  <c r="E7" i="23"/>
  <c r="L11" i="23"/>
  <c r="U8" i="23"/>
  <c r="D7" i="23"/>
  <c r="Y6" i="23"/>
  <c r="Q6" i="23"/>
  <c r="I6" i="23"/>
  <c r="E11" i="23"/>
  <c r="Y7" i="23"/>
  <c r="Q7" i="23"/>
  <c r="X6" i="23"/>
  <c r="P6" i="23"/>
  <c r="H6" i="23"/>
  <c r="X7" i="23"/>
  <c r="P7" i="23"/>
  <c r="Q8" i="23"/>
  <c r="H8" i="23"/>
  <c r="U6" i="23"/>
  <c r="M6" i="23"/>
  <c r="AA1" i="23"/>
  <c r="E8" i="23"/>
  <c r="L6" i="23"/>
  <c r="P10" i="23"/>
  <c r="Y8" i="23"/>
  <c r="M7" i="23"/>
  <c r="T6" i="23"/>
  <c r="M9" i="23"/>
  <c r="U7" i="23"/>
  <c r="P11" i="26"/>
  <c r="Q10" i="26"/>
  <c r="X9" i="26"/>
  <c r="H9" i="26"/>
  <c r="X7" i="26"/>
  <c r="P7" i="26"/>
  <c r="L11" i="26"/>
  <c r="M10" i="26"/>
  <c r="D9" i="26"/>
  <c r="Y8" i="26"/>
  <c r="Q8" i="26"/>
  <c r="U6" i="26"/>
  <c r="M6" i="26"/>
  <c r="AA1" i="26"/>
  <c r="I11" i="26"/>
  <c r="L10" i="26"/>
  <c r="U9" i="26"/>
  <c r="X8" i="26"/>
  <c r="P8" i="26"/>
  <c r="U7" i="26"/>
  <c r="M7" i="26"/>
  <c r="T6" i="26"/>
  <c r="L6" i="26"/>
  <c r="H11" i="26"/>
  <c r="I10" i="26"/>
  <c r="T9" i="26"/>
  <c r="I8" i="26"/>
  <c r="T7" i="26"/>
  <c r="L7" i="26"/>
  <c r="U11" i="26"/>
  <c r="E11" i="26"/>
  <c r="H10" i="26"/>
  <c r="M9" i="26"/>
  <c r="H8" i="26"/>
  <c r="E7" i="26"/>
  <c r="T11" i="26"/>
  <c r="D11" i="26"/>
  <c r="Y10" i="26"/>
  <c r="E10" i="26"/>
  <c r="L9" i="26"/>
  <c r="U8" i="26"/>
  <c r="E8" i="26"/>
  <c r="D7" i="26"/>
  <c r="Y6" i="26"/>
  <c r="Q6" i="26"/>
  <c r="I6" i="26"/>
  <c r="Y7" i="26"/>
  <c r="I9" i="26"/>
  <c r="X10" i="26"/>
  <c r="E9" i="26"/>
  <c r="D8" i="26"/>
  <c r="X6" i="26"/>
  <c r="P10" i="26"/>
  <c r="D10" i="26"/>
  <c r="H6" i="26"/>
  <c r="Q11" i="26"/>
  <c r="Q7" i="26"/>
  <c r="M11" i="26"/>
  <c r="Y9" i="26"/>
  <c r="T8" i="26"/>
  <c r="P6" i="26"/>
  <c r="AV12" i="42"/>
  <c r="G1" i="42" s="1"/>
  <c r="CB8" i="26"/>
  <c r="CB6" i="40"/>
  <c r="CB10" i="25"/>
  <c r="CB6" i="41"/>
  <c r="CB7" i="18"/>
  <c r="CB6" i="30"/>
  <c r="Z4" i="44"/>
  <c r="BL4" i="44"/>
  <c r="M59" i="47" s="1"/>
  <c r="AW4" i="44" s="1"/>
  <c r="I31" i="48" s="1"/>
  <c r="AJ4" i="44" s="1"/>
  <c r="X4" i="44"/>
  <c r="E9" i="52" s="1"/>
  <c r="BJ4" i="44"/>
  <c r="BQ4" i="44"/>
  <c r="BP4" i="44"/>
  <c r="BH4" i="44"/>
  <c r="E65" i="47" s="1"/>
  <c r="BN4" i="44"/>
  <c r="CB11" i="41"/>
  <c r="CB6" i="33"/>
  <c r="CB8" i="27"/>
  <c r="CB8" i="30"/>
  <c r="CB11" i="34"/>
  <c r="I129" i="61"/>
  <c r="AK42" i="6"/>
  <c r="E21" i="57"/>
  <c r="CB11" i="22"/>
  <c r="AT7" i="10"/>
  <c r="C7" i="10"/>
  <c r="A81" i="46"/>
  <c r="A40" i="47"/>
  <c r="A12" i="47"/>
  <c r="A33" i="48"/>
  <c r="D77" i="46"/>
  <c r="I15" i="47"/>
  <c r="AU10" i="44" s="1"/>
  <c r="A64" i="46"/>
  <c r="A29" i="48"/>
  <c r="A89" i="46"/>
  <c r="A65" i="46"/>
  <c r="I23" i="48"/>
  <c r="AJ8" i="44" s="1"/>
  <c r="D61" i="46"/>
  <c r="E17" i="47"/>
  <c r="D44" i="46"/>
  <c r="D45" i="46"/>
  <c r="A36" i="47"/>
  <c r="A16" i="49"/>
  <c r="A4" i="52"/>
  <c r="D29" i="46"/>
  <c r="D92" i="46"/>
  <c r="A16" i="47"/>
  <c r="M43" i="47"/>
  <c r="AW8" i="44" s="1"/>
  <c r="A9" i="48"/>
  <c r="A17" i="50"/>
  <c r="D76" i="46"/>
  <c r="I30" i="47"/>
  <c r="AU16" i="44" s="1"/>
  <c r="E16" i="48" s="1"/>
  <c r="A5" i="50"/>
  <c r="CB7" i="20"/>
  <c r="C9" i="23"/>
  <c r="AT9" i="23"/>
  <c r="CB11" i="40"/>
  <c r="CB6" i="20"/>
  <c r="CB7" i="12"/>
  <c r="BZ9" i="35"/>
  <c r="BY9" i="35"/>
  <c r="BX9" i="35"/>
  <c r="BW9" i="35"/>
  <c r="BV9" i="35"/>
  <c r="CA9" i="35"/>
  <c r="BH12" i="44"/>
  <c r="BJ12" i="44"/>
  <c r="BW6" i="35"/>
  <c r="BV6" i="35"/>
  <c r="BZ6" i="35"/>
  <c r="BY6" i="35"/>
  <c r="BX6" i="35"/>
  <c r="CA6" i="35"/>
  <c r="CB6" i="38"/>
  <c r="CB10" i="40"/>
  <c r="BJ11" i="44"/>
  <c r="BH11" i="44"/>
  <c r="E57" i="47" s="1"/>
  <c r="CB10" i="15"/>
  <c r="CB9" i="20"/>
  <c r="CB8" i="33"/>
  <c r="BH29" i="44"/>
  <c r="E21" i="47" s="1"/>
  <c r="AV12" i="10"/>
  <c r="G1" i="10" s="1"/>
  <c r="AV12" i="20"/>
  <c r="G1" i="20" s="1"/>
  <c r="AV12" i="37"/>
  <c r="G1" i="37" s="1"/>
  <c r="CB11" i="31"/>
  <c r="CB11" i="42"/>
  <c r="CB9" i="21"/>
  <c r="CB11" i="30"/>
  <c r="I77" i="61"/>
  <c r="AK29" i="6"/>
  <c r="E19" i="57"/>
  <c r="I137" i="61"/>
  <c r="AK44" i="6"/>
  <c r="E24" i="57"/>
  <c r="CB11" i="29"/>
  <c r="A24" i="46"/>
  <c r="D96" i="46"/>
  <c r="M42" i="47"/>
  <c r="AW5" i="44" s="1"/>
  <c r="I22" i="48" s="1"/>
  <c r="AJ5" i="44" s="1"/>
  <c r="D37" i="46"/>
  <c r="A9" i="49"/>
  <c r="A92" i="46"/>
  <c r="A37" i="47"/>
  <c r="A73" i="46"/>
  <c r="E12" i="47"/>
  <c r="I47" i="47"/>
  <c r="AU8" i="44" s="1"/>
  <c r="A8" i="46"/>
  <c r="D104" i="46"/>
  <c r="A45" i="47"/>
  <c r="A28" i="47"/>
  <c r="A4" i="49"/>
  <c r="A5" i="48"/>
  <c r="D48" i="46"/>
  <c r="A29" i="47"/>
  <c r="A49" i="46"/>
  <c r="A120" i="46"/>
  <c r="A41" i="47"/>
  <c r="A16" i="50"/>
  <c r="A33" i="46"/>
  <c r="A96" i="46"/>
  <c r="A5" i="51"/>
  <c r="A80" i="46"/>
  <c r="E9" i="47"/>
  <c r="C11" i="21"/>
  <c r="AT11" i="21"/>
  <c r="C6" i="13"/>
  <c r="AT6" i="13"/>
  <c r="CB7" i="23"/>
  <c r="AT6" i="15"/>
  <c r="C6" i="15"/>
  <c r="AT10" i="10"/>
  <c r="C10" i="10"/>
  <c r="AT7" i="25"/>
  <c r="C7" i="25"/>
  <c r="BY10" i="35"/>
  <c r="BX10" i="35"/>
  <c r="BW10" i="35"/>
  <c r="BV10" i="35"/>
  <c r="BZ10" i="35"/>
  <c r="CA10" i="35"/>
  <c r="C9" i="17"/>
  <c r="AT9" i="17"/>
  <c r="BJ17" i="44"/>
  <c r="BH17" i="44"/>
  <c r="BY8" i="35"/>
  <c r="CB8" i="35" s="1"/>
  <c r="CB8" i="42"/>
  <c r="CB10" i="41"/>
  <c r="C9" i="32"/>
  <c r="AT9" i="32"/>
  <c r="AV12" i="11"/>
  <c r="G1" i="11" s="1"/>
  <c r="H10" i="16"/>
  <c r="H8" i="16"/>
  <c r="T11" i="16"/>
  <c r="D11" i="16"/>
  <c r="L9" i="16"/>
  <c r="D7" i="16"/>
  <c r="X10" i="16"/>
  <c r="D10" i="16"/>
  <c r="P11" i="16"/>
  <c r="P10" i="16"/>
  <c r="L11" i="16"/>
  <c r="D9" i="16"/>
  <c r="AA1" i="16"/>
  <c r="L10" i="16"/>
  <c r="X8" i="16"/>
  <c r="P8" i="16"/>
  <c r="H11" i="16"/>
  <c r="T9" i="16"/>
  <c r="D8" i="16"/>
  <c r="T6" i="16"/>
  <c r="T7" i="16"/>
  <c r="L7" i="16"/>
  <c r="H6" i="16"/>
  <c r="H9" i="16"/>
  <c r="P6" i="16"/>
  <c r="T8" i="16"/>
  <c r="X7" i="16"/>
  <c r="P7" i="16"/>
  <c r="X6" i="16"/>
  <c r="L6" i="16"/>
  <c r="X9" i="16"/>
  <c r="P11" i="33"/>
  <c r="Q10" i="33"/>
  <c r="X9" i="33"/>
  <c r="H9" i="33"/>
  <c r="X7" i="33"/>
  <c r="P7" i="33"/>
  <c r="M11" i="33"/>
  <c r="P10" i="33"/>
  <c r="E9" i="33"/>
  <c r="L11" i="33"/>
  <c r="M10" i="33"/>
  <c r="D9" i="33"/>
  <c r="Y8" i="33"/>
  <c r="Q8" i="33"/>
  <c r="U6" i="33"/>
  <c r="M6" i="33"/>
  <c r="AA1" i="33"/>
  <c r="I11" i="33"/>
  <c r="L10" i="33"/>
  <c r="U9" i="33"/>
  <c r="X8" i="33"/>
  <c r="P8" i="33"/>
  <c r="U7" i="33"/>
  <c r="M7" i="33"/>
  <c r="T6" i="33"/>
  <c r="L6" i="33"/>
  <c r="H11" i="33"/>
  <c r="I10" i="33"/>
  <c r="T9" i="33"/>
  <c r="I8" i="33"/>
  <c r="T7" i="33"/>
  <c r="L7" i="33"/>
  <c r="U11" i="33"/>
  <c r="E11" i="33"/>
  <c r="H10" i="33"/>
  <c r="M9" i="33"/>
  <c r="H8" i="33"/>
  <c r="E7" i="33"/>
  <c r="T11" i="33"/>
  <c r="D11" i="33"/>
  <c r="Y10" i="33"/>
  <c r="E10" i="33"/>
  <c r="L9" i="33"/>
  <c r="U8" i="33"/>
  <c r="E8" i="33"/>
  <c r="D7" i="33"/>
  <c r="Y6" i="33"/>
  <c r="Q6" i="33"/>
  <c r="I6" i="33"/>
  <c r="Q11" i="33"/>
  <c r="X10" i="33"/>
  <c r="D10" i="33"/>
  <c r="Y9" i="33"/>
  <c r="I9" i="33"/>
  <c r="T8" i="33"/>
  <c r="D8" i="33"/>
  <c r="Y7" i="33"/>
  <c r="Q7" i="33"/>
  <c r="X6" i="33"/>
  <c r="P6" i="33"/>
  <c r="H6" i="33"/>
  <c r="C6" i="26"/>
  <c r="AT6" i="26"/>
  <c r="AT11" i="11"/>
  <c r="C11" i="11"/>
  <c r="C9" i="26"/>
  <c r="AT9" i="26"/>
  <c r="AT7" i="17"/>
  <c r="C7" i="17"/>
  <c r="BY11" i="35"/>
  <c r="CB11" i="35" s="1"/>
  <c r="C8" i="11"/>
  <c r="AT8" i="11"/>
  <c r="BH26" i="44"/>
  <c r="E56" i="47" s="1"/>
  <c r="I37" i="61"/>
  <c r="I89" i="61"/>
  <c r="AK19" i="6"/>
  <c r="AK32" i="6"/>
  <c r="E27" i="57"/>
  <c r="I29" i="61"/>
  <c r="AK17" i="6"/>
  <c r="E23" i="57"/>
  <c r="BY7" i="35"/>
  <c r="BX7" i="35"/>
  <c r="BW7" i="35"/>
  <c r="BV7" i="35"/>
  <c r="CA7" i="35"/>
  <c r="BZ7" i="35"/>
  <c r="CB8" i="24"/>
  <c r="C11" i="37"/>
  <c r="AT11" i="37"/>
  <c r="CB11" i="25"/>
  <c r="D32" i="46"/>
  <c r="D101" i="46"/>
  <c r="A13" i="48"/>
  <c r="A77" i="46"/>
  <c r="A112" i="46"/>
  <c r="A28" i="48"/>
  <c r="A88" i="46"/>
  <c r="Q51" i="47"/>
  <c r="AY4" i="44" s="1"/>
  <c r="M27" i="48" s="1"/>
  <c r="AL4" i="44" s="1"/>
  <c r="A13" i="46"/>
  <c r="A113" i="46"/>
  <c r="A4" i="46"/>
  <c r="A84" i="46"/>
  <c r="D69" i="46"/>
  <c r="D53" i="46"/>
  <c r="A52" i="46"/>
  <c r="E45" i="47"/>
  <c r="A4" i="51"/>
  <c r="E8" i="52"/>
  <c r="A36" i="46"/>
  <c r="D117" i="46"/>
  <c r="E25" i="47"/>
  <c r="Q50" i="47"/>
  <c r="AY5" i="44" s="1"/>
  <c r="M26" i="48" s="1"/>
  <c r="AL5" i="44" s="1"/>
  <c r="A16" i="48"/>
  <c r="A9" i="51"/>
  <c r="D93" i="46"/>
  <c r="M11" i="47"/>
  <c r="AW10" i="44" s="1"/>
  <c r="I7" i="48" s="1"/>
  <c r="AJ10" i="44" s="1"/>
  <c r="A13" i="49"/>
  <c r="C10" i="19"/>
  <c r="AT10" i="19"/>
  <c r="AT10" i="14"/>
  <c r="C10" i="14"/>
  <c r="CB8" i="32"/>
  <c r="BH25" i="44"/>
  <c r="E13" i="47" s="1"/>
  <c r="AT9" i="16"/>
  <c r="C9" i="16"/>
  <c r="C6" i="11"/>
  <c r="AT6" i="11"/>
  <c r="CB9" i="39"/>
  <c r="AT7" i="32"/>
  <c r="C7" i="32"/>
  <c r="CB9" i="41"/>
  <c r="CB9" i="30"/>
  <c r="CB11" i="20"/>
  <c r="CB11" i="18"/>
  <c r="CB8" i="17"/>
  <c r="AT9" i="10"/>
  <c r="C9" i="10"/>
  <c r="BH19" i="44"/>
  <c r="CB11" i="28"/>
  <c r="BL6" i="44"/>
  <c r="Z6" i="44"/>
  <c r="I16" i="52" s="1"/>
  <c r="BJ6" i="44"/>
  <c r="X6" i="44"/>
  <c r="E5" i="52" s="1"/>
  <c r="BR6" i="44"/>
  <c r="BP6" i="44"/>
  <c r="U56" i="47" s="1"/>
  <c r="BH6" i="44"/>
  <c r="E33" i="47" s="1"/>
  <c r="BN6" i="44"/>
  <c r="AU6" i="44"/>
  <c r="BZ8" i="35"/>
  <c r="CB7" i="19"/>
  <c r="CB8" i="40"/>
  <c r="BH24" i="44"/>
  <c r="E24" i="47" s="1"/>
  <c r="AV12" i="15"/>
  <c r="G1" i="15" s="1"/>
  <c r="AV12" i="18"/>
  <c r="G1" i="18" s="1"/>
  <c r="AV12" i="21"/>
  <c r="G1" i="21" s="1"/>
  <c r="AV12" i="22"/>
  <c r="G1" i="22" s="1"/>
  <c r="AV12" i="24"/>
  <c r="G1" i="24" s="1"/>
  <c r="AV12" i="28"/>
  <c r="G1" i="28" s="1"/>
  <c r="AV12" i="32"/>
  <c r="G1" i="32" s="1"/>
  <c r="AV12" i="35"/>
  <c r="G1" i="35" s="1"/>
  <c r="CB6" i="18"/>
  <c r="AT11" i="32"/>
  <c r="C11" i="32"/>
  <c r="CB6" i="24"/>
  <c r="BZ11" i="35"/>
  <c r="CB9" i="14"/>
  <c r="CB10" i="27"/>
  <c r="CB7" i="33"/>
  <c r="AU14" i="44"/>
  <c r="BJ14" i="44"/>
  <c r="BH14" i="44"/>
  <c r="E44" i="47" s="1"/>
  <c r="I149" i="61"/>
  <c r="AK47" i="6"/>
  <c r="E25" i="57"/>
  <c r="I181" i="61"/>
  <c r="AK55" i="6"/>
  <c r="E22" i="57"/>
  <c r="CB10" i="22"/>
  <c r="A37" i="46"/>
  <c r="D125" i="46"/>
  <c r="D16" i="46"/>
  <c r="A116" i="46"/>
  <c r="A44" i="47"/>
  <c r="A93" i="46"/>
  <c r="Q19" i="47"/>
  <c r="AY6" i="44" s="1"/>
  <c r="M11" i="48" s="1"/>
  <c r="AL6" i="44" s="1"/>
  <c r="A61" i="47"/>
  <c r="A128" i="46"/>
  <c r="A52" i="47"/>
  <c r="A9" i="46"/>
  <c r="A105" i="46"/>
  <c r="A49" i="47"/>
  <c r="D40" i="46"/>
  <c r="E28" i="47"/>
  <c r="A5" i="49"/>
  <c r="D80" i="46"/>
  <c r="U35" i="47"/>
  <c r="BA4" i="44" s="1"/>
  <c r="Q19" i="48" s="1"/>
  <c r="AN4" i="44" s="1"/>
  <c r="A5" i="46"/>
  <c r="A68" i="46"/>
  <c r="A13" i="47"/>
  <c r="A48" i="47"/>
  <c r="A21" i="48"/>
  <c r="A8" i="51"/>
  <c r="A53" i="46"/>
  <c r="A121" i="46"/>
  <c r="M27" i="47"/>
  <c r="AW6" i="44" s="1"/>
  <c r="I15" i="48" s="1"/>
  <c r="AJ6" i="44" s="1"/>
  <c r="A97" i="46"/>
  <c r="E16" i="47"/>
  <c r="I39" i="47"/>
  <c r="AU15" i="44" s="1"/>
  <c r="I63" i="47"/>
  <c r="AU4" i="44" s="1"/>
  <c r="I7" i="52"/>
  <c r="A20" i="48"/>
  <c r="AT11" i="12"/>
  <c r="C11" i="12"/>
  <c r="AT6" i="28"/>
  <c r="C6" i="28"/>
  <c r="CB11" i="27"/>
  <c r="CB10" i="39"/>
  <c r="C6" i="37"/>
  <c r="AT6" i="37"/>
  <c r="AT10" i="34"/>
  <c r="C10" i="34"/>
  <c r="CB9" i="18"/>
  <c r="C8" i="19"/>
  <c r="AT8" i="19"/>
  <c r="CB11" i="16"/>
  <c r="CB9" i="42"/>
  <c r="CB7" i="26"/>
  <c r="BH21" i="44"/>
  <c r="E29" i="47" s="1"/>
  <c r="C8" i="37"/>
  <c r="AT8" i="37"/>
  <c r="CB9" i="29"/>
  <c r="CB11" i="36"/>
  <c r="CB9" i="33"/>
  <c r="CB8" i="28"/>
  <c r="CB10" i="24"/>
  <c r="BH22" i="44"/>
  <c r="E40" i="47" s="1"/>
  <c r="CB8" i="41"/>
  <c r="CB7" i="28"/>
  <c r="CB6" i="19"/>
  <c r="BL9" i="44"/>
  <c r="M58" i="47" s="1"/>
  <c r="AW9" i="44" s="1"/>
  <c r="I30" i="48" s="1"/>
  <c r="AJ9" i="44" s="1"/>
  <c r="BJ9" i="44"/>
  <c r="BH9" i="44"/>
  <c r="AV12" i="19"/>
  <c r="G1" i="19" s="1"/>
  <c r="AV12" i="25"/>
  <c r="G1" i="25" s="1"/>
  <c r="AV12" i="38"/>
  <c r="G1" i="38" s="1"/>
  <c r="CB10" i="30"/>
  <c r="CB9" i="11"/>
  <c r="CB8" i="22"/>
  <c r="BJ18" i="44"/>
  <c r="I62" i="47" s="1"/>
  <c r="AU18" i="44" s="1"/>
  <c r="BH18" i="44"/>
  <c r="E60" i="47" s="1"/>
  <c r="CB8" i="34"/>
  <c r="CB11" i="14"/>
  <c r="BH32" i="44"/>
  <c r="CB7" i="34"/>
  <c r="CB9" i="19"/>
  <c r="D41" i="46"/>
  <c r="I7" i="47"/>
  <c r="AU17" i="44" s="1"/>
  <c r="E5" i="48" s="1"/>
  <c r="A8" i="49"/>
  <c r="D121" i="46"/>
  <c r="I54" i="47"/>
  <c r="AU9" i="44" s="1"/>
  <c r="A12" i="46"/>
  <c r="A104" i="46"/>
  <c r="A24" i="47"/>
  <c r="D21" i="46"/>
  <c r="E5" i="47"/>
  <c r="U57" i="47"/>
  <c r="BA5" i="44" s="1"/>
  <c r="Q33" i="48" s="1"/>
  <c r="AN5" i="44" s="1"/>
  <c r="D13" i="46"/>
  <c r="D108" i="46"/>
  <c r="A44" i="46"/>
  <c r="I31" i="47"/>
  <c r="D85" i="46"/>
  <c r="E53" i="47"/>
  <c r="D8" i="46"/>
  <c r="A85" i="46"/>
  <c r="A20" i="47"/>
  <c r="E52" i="47"/>
  <c r="A25" i="48"/>
  <c r="D56" i="46"/>
  <c r="A124" i="46"/>
  <c r="E32" i="47"/>
  <c r="I55" i="47"/>
  <c r="AU11" i="44" s="1"/>
  <c r="A12" i="49"/>
  <c r="A9" i="52"/>
  <c r="A100" i="46"/>
  <c r="A9" i="50"/>
  <c r="A24" i="48"/>
  <c r="A8" i="52"/>
  <c r="AT11" i="33"/>
  <c r="C11" i="33"/>
  <c r="AT11" i="23"/>
  <c r="C11" i="23"/>
  <c r="CB9" i="22"/>
  <c r="CB10" i="20"/>
  <c r="AT10" i="32"/>
  <c r="C10" i="32"/>
  <c r="CB8" i="16"/>
  <c r="CB8" i="25"/>
  <c r="BH30" i="44"/>
  <c r="E48" i="47" s="1"/>
  <c r="CB10" i="16"/>
  <c r="CB10" i="23"/>
  <c r="AT10" i="38"/>
  <c r="C10" i="38"/>
  <c r="CB7" i="40"/>
  <c r="BL7" i="44"/>
  <c r="M26" i="47" s="1"/>
  <c r="AW7" i="44" s="1"/>
  <c r="I14" i="48" s="1"/>
  <c r="AJ7" i="44" s="1"/>
  <c r="BJ7" i="44"/>
  <c r="I22" i="47" s="1"/>
  <c r="AU7" i="44" s="1"/>
  <c r="BH7" i="44"/>
  <c r="E20" i="47" s="1"/>
  <c r="C8" i="10"/>
  <c r="AT8" i="10"/>
  <c r="CB10" i="13"/>
  <c r="CB9" i="27"/>
  <c r="CB6" i="25"/>
  <c r="CB8" i="36"/>
  <c r="BH31" i="44"/>
  <c r="E37" i="47" s="1"/>
  <c r="CB8" i="12"/>
  <c r="AV12" i="13"/>
  <c r="G1" i="13" s="1"/>
  <c r="AV12" i="27"/>
  <c r="G1" i="27" s="1"/>
  <c r="AV12" i="29"/>
  <c r="G1" i="29" s="1"/>
  <c r="AV12" i="30"/>
  <c r="G1" i="30" s="1"/>
  <c r="AV12" i="34"/>
  <c r="G1" i="34" s="1"/>
  <c r="AV12" i="41"/>
  <c r="G1" i="41" s="1"/>
  <c r="CB6" i="31"/>
  <c r="CB11" i="26"/>
  <c r="I173" i="61"/>
  <c r="I165" i="61"/>
  <c r="I85" i="61"/>
  <c r="I69" i="61"/>
  <c r="I53" i="61"/>
  <c r="I125" i="61"/>
  <c r="I41" i="61"/>
  <c r="I57" i="61"/>
  <c r="AK27" i="6"/>
  <c r="AK53" i="6"/>
  <c r="AK23" i="6"/>
  <c r="AK20" i="6"/>
  <c r="AK51" i="6"/>
  <c r="AK41" i="6"/>
  <c r="AK24" i="6"/>
  <c r="AK31" i="6"/>
  <c r="E35" i="57"/>
  <c r="A45" i="46"/>
  <c r="I14" i="47"/>
  <c r="AU12" i="44" s="1"/>
  <c r="E8" i="48" s="1"/>
  <c r="A20" i="46"/>
  <c r="D120" i="46"/>
  <c r="A25" i="46"/>
  <c r="A5" i="47"/>
  <c r="A17" i="46"/>
  <c r="D112" i="46"/>
  <c r="A56" i="46"/>
  <c r="E61" i="47"/>
  <c r="A40" i="46"/>
  <c r="A129" i="46"/>
  <c r="A48" i="46"/>
  <c r="A109" i="46"/>
  <c r="I38" i="47"/>
  <c r="AU5" i="44" s="1"/>
  <c r="D5" i="46"/>
  <c r="A101" i="46"/>
  <c r="D25" i="46"/>
  <c r="D88" i="46"/>
  <c r="A25" i="47"/>
  <c r="D9" i="46"/>
  <c r="A69" i="46"/>
  <c r="A4" i="47"/>
  <c r="A57" i="47"/>
  <c r="A17" i="49"/>
  <c r="I17" i="52"/>
  <c r="A108" i="46"/>
  <c r="I46" i="47"/>
  <c r="A13" i="50"/>
  <c r="Y2" i="45"/>
  <c r="E2" i="45"/>
  <c r="J2" i="45"/>
  <c r="AB2" i="45"/>
  <c r="S1" i="33"/>
  <c r="S1" i="26"/>
  <c r="L2" i="45"/>
  <c r="AE2" i="45"/>
  <c r="G2" i="45"/>
  <c r="Z2" i="45"/>
  <c r="O2" i="45"/>
  <c r="R2" i="45"/>
  <c r="B2" i="45"/>
  <c r="U2" i="45"/>
  <c r="K2" i="45"/>
  <c r="X2" i="45"/>
  <c r="N2" i="45"/>
  <c r="AF2" i="45"/>
  <c r="T2" i="45"/>
  <c r="Q2" i="45"/>
  <c r="A2" i="45"/>
  <c r="AC2" i="45"/>
  <c r="H2" i="45"/>
  <c r="V2" i="45"/>
  <c r="AD2" i="45"/>
  <c r="B14" i="10"/>
  <c r="S1" i="23"/>
  <c r="S2" i="45"/>
  <c r="C2" i="45"/>
  <c r="AA2" i="45"/>
  <c r="I2" i="45"/>
  <c r="D2" i="45"/>
  <c r="A4" i="45" l="1"/>
  <c r="A3" i="45"/>
  <c r="B3" i="45"/>
  <c r="R5" i="45"/>
  <c r="R3" i="45"/>
  <c r="AE5" i="45"/>
  <c r="AF4" i="45" s="1"/>
  <c r="AE3" i="45"/>
  <c r="AB5" i="45"/>
  <c r="AC4" i="45" s="1"/>
  <c r="AB3" i="45"/>
  <c r="N5" i="45"/>
  <c r="O4" i="45" s="1"/>
  <c r="N4" i="45"/>
  <c r="N3" i="45"/>
  <c r="AA5" i="45"/>
  <c r="AB4" i="45" s="1"/>
  <c r="AA3" i="45"/>
  <c r="AD5" i="45"/>
  <c r="AE4" i="45" s="1"/>
  <c r="AD3" i="45"/>
  <c r="Q5" i="45"/>
  <c r="R4" i="45" s="1"/>
  <c r="Q4" i="45"/>
  <c r="Q3" i="45"/>
  <c r="X5" i="45"/>
  <c r="X4" i="45"/>
  <c r="X3" i="45"/>
  <c r="O5" i="45"/>
  <c r="O3" i="45"/>
  <c r="L5" i="45"/>
  <c r="L3" i="45"/>
  <c r="J5" i="45"/>
  <c r="K4" i="45" s="1"/>
  <c r="J3" i="45"/>
  <c r="AC5" i="45"/>
  <c r="AC3" i="45"/>
  <c r="C3" i="45"/>
  <c r="V5" i="45"/>
  <c r="V3" i="45"/>
  <c r="T5" i="45"/>
  <c r="U4" i="45" s="1"/>
  <c r="T3" i="45"/>
  <c r="K5" i="45"/>
  <c r="L4" i="45" s="1"/>
  <c r="K3" i="45"/>
  <c r="Z5" i="45"/>
  <c r="Z3" i="45"/>
  <c r="E3" i="45"/>
  <c r="I5" i="45"/>
  <c r="J4" i="45" s="1"/>
  <c r="I3" i="45"/>
  <c r="S5" i="45"/>
  <c r="T4" i="45" s="1"/>
  <c r="S4" i="45"/>
  <c r="S3" i="45"/>
  <c r="H3" i="45"/>
  <c r="AF5" i="45"/>
  <c r="AF3" i="45"/>
  <c r="U5" i="45"/>
  <c r="V4" i="45" s="1"/>
  <c r="U3" i="45"/>
  <c r="G3" i="45"/>
  <c r="Y5" i="45"/>
  <c r="Z4" i="45" s="1"/>
  <c r="Y4" i="45"/>
  <c r="Y3" i="45"/>
  <c r="D3" i="45"/>
  <c r="X56" i="47"/>
  <c r="BD5" i="44" s="1"/>
  <c r="BA6" i="44"/>
  <c r="Q32" i="48" s="1"/>
  <c r="AT11" i="35"/>
  <c r="C11" i="35"/>
  <c r="C8" i="35"/>
  <c r="AT8" i="35"/>
  <c r="C8" i="28"/>
  <c r="AT8" i="28"/>
  <c r="U11" i="11"/>
  <c r="E11" i="11"/>
  <c r="H10" i="11"/>
  <c r="H8" i="11"/>
  <c r="Q11" i="11"/>
  <c r="X10" i="11"/>
  <c r="D10" i="11"/>
  <c r="Y9" i="11"/>
  <c r="T8" i="11"/>
  <c r="D8" i="11"/>
  <c r="Y7" i="11"/>
  <c r="X6" i="11"/>
  <c r="P6" i="11"/>
  <c r="H6" i="11"/>
  <c r="P11" i="11"/>
  <c r="X9" i="11"/>
  <c r="H9" i="11"/>
  <c r="X7" i="11"/>
  <c r="P7" i="11"/>
  <c r="M11" i="11"/>
  <c r="P10" i="11"/>
  <c r="L11" i="11"/>
  <c r="D9" i="11"/>
  <c r="Y8" i="11"/>
  <c r="AA1" i="11"/>
  <c r="I11" i="11"/>
  <c r="L10" i="11"/>
  <c r="X8" i="11"/>
  <c r="P8" i="11"/>
  <c r="T6" i="11"/>
  <c r="L6" i="11"/>
  <c r="H11" i="11"/>
  <c r="L7" i="11"/>
  <c r="Y6" i="11"/>
  <c r="D11" i="11"/>
  <c r="Y10" i="11"/>
  <c r="D7" i="11"/>
  <c r="T9" i="11"/>
  <c r="L9" i="11"/>
  <c r="T7" i="11"/>
  <c r="T11" i="11"/>
  <c r="G137" i="61"/>
  <c r="AI44" i="6"/>
  <c r="AT11" i="42"/>
  <c r="C11" i="42"/>
  <c r="C9" i="20"/>
  <c r="AT9" i="20"/>
  <c r="AT7" i="20"/>
  <c r="C7" i="20"/>
  <c r="AT11" i="34"/>
  <c r="C11" i="34"/>
  <c r="AT7" i="18"/>
  <c r="C7" i="18"/>
  <c r="AT7" i="42"/>
  <c r="C7" i="42"/>
  <c r="L11" i="12"/>
  <c r="D9" i="12"/>
  <c r="Y8" i="12"/>
  <c r="AA1" i="12"/>
  <c r="I11" i="12"/>
  <c r="L10" i="12"/>
  <c r="X8" i="12"/>
  <c r="P8" i="12"/>
  <c r="T6" i="12"/>
  <c r="L6" i="12"/>
  <c r="H11" i="12"/>
  <c r="T9" i="12"/>
  <c r="T7" i="12"/>
  <c r="L7" i="12"/>
  <c r="U11" i="12"/>
  <c r="E11" i="12"/>
  <c r="H10" i="12"/>
  <c r="H8" i="12"/>
  <c r="T11" i="12"/>
  <c r="D11" i="12"/>
  <c r="Y10" i="12"/>
  <c r="L9" i="12"/>
  <c r="D7" i="12"/>
  <c r="Y6" i="12"/>
  <c r="Q11" i="12"/>
  <c r="X10" i="12"/>
  <c r="D10" i="12"/>
  <c r="Y9" i="12"/>
  <c r="T8" i="12"/>
  <c r="D8" i="12"/>
  <c r="Y7" i="12"/>
  <c r="X6" i="12"/>
  <c r="P6" i="12"/>
  <c r="H6" i="12"/>
  <c r="P11" i="12"/>
  <c r="X9" i="12"/>
  <c r="H9" i="12"/>
  <c r="X7" i="12"/>
  <c r="P7" i="12"/>
  <c r="M11" i="12"/>
  <c r="P10" i="12"/>
  <c r="AT10" i="29"/>
  <c r="C10" i="29"/>
  <c r="AT7" i="22"/>
  <c r="C7" i="22"/>
  <c r="AT10" i="42"/>
  <c r="C10" i="42"/>
  <c r="C8" i="22"/>
  <c r="AT8" i="22"/>
  <c r="AT8" i="12"/>
  <c r="C8" i="12"/>
  <c r="AT10" i="27"/>
  <c r="C10" i="27"/>
  <c r="AT6" i="31"/>
  <c r="C6" i="31"/>
  <c r="C8" i="25"/>
  <c r="AT8" i="25"/>
  <c r="H7" i="46"/>
  <c r="BG33" i="44" s="1"/>
  <c r="D5" i="47" s="1"/>
  <c r="E7" i="46"/>
  <c r="H110" i="46"/>
  <c r="E107" i="46"/>
  <c r="C10" i="30"/>
  <c r="AT10" i="30"/>
  <c r="C9" i="33"/>
  <c r="AT9" i="33"/>
  <c r="C10" i="22"/>
  <c r="AT10" i="22"/>
  <c r="AT9" i="14"/>
  <c r="C9" i="14"/>
  <c r="U11" i="28"/>
  <c r="E11" i="28"/>
  <c r="H10" i="28"/>
  <c r="M9" i="28"/>
  <c r="H8" i="28"/>
  <c r="E7" i="28"/>
  <c r="T11" i="28"/>
  <c r="D11" i="28"/>
  <c r="Y10" i="28"/>
  <c r="E10" i="28"/>
  <c r="L9" i="28"/>
  <c r="U8" i="28"/>
  <c r="E8" i="28"/>
  <c r="D7" i="28"/>
  <c r="Y6" i="28"/>
  <c r="Q6" i="28"/>
  <c r="I6" i="28"/>
  <c r="Q11" i="28"/>
  <c r="X10" i="28"/>
  <c r="D10" i="28"/>
  <c r="Y9" i="28"/>
  <c r="I9" i="28"/>
  <c r="T8" i="28"/>
  <c r="D8" i="28"/>
  <c r="Y7" i="28"/>
  <c r="Q7" i="28"/>
  <c r="X6" i="28"/>
  <c r="P6" i="28"/>
  <c r="H6" i="28"/>
  <c r="P11" i="28"/>
  <c r="Q10" i="28"/>
  <c r="X9" i="28"/>
  <c r="H9" i="28"/>
  <c r="X7" i="28"/>
  <c r="P7" i="28"/>
  <c r="M11" i="28"/>
  <c r="P10" i="28"/>
  <c r="E9" i="28"/>
  <c r="L11" i="28"/>
  <c r="M10" i="28"/>
  <c r="D9" i="28"/>
  <c r="Y8" i="28"/>
  <c r="Q8" i="28"/>
  <c r="U6" i="28"/>
  <c r="M6" i="28"/>
  <c r="AA1" i="28"/>
  <c r="I11" i="28"/>
  <c r="L10" i="28"/>
  <c r="U9" i="28"/>
  <c r="X8" i="28"/>
  <c r="P8" i="28"/>
  <c r="U7" i="28"/>
  <c r="M7" i="28"/>
  <c r="H11" i="28"/>
  <c r="I10" i="28"/>
  <c r="T9" i="28"/>
  <c r="I8" i="28"/>
  <c r="T7" i="28"/>
  <c r="L7" i="28"/>
  <c r="L6" i="28"/>
  <c r="T6" i="28"/>
  <c r="C8" i="40"/>
  <c r="AT8" i="40"/>
  <c r="G29" i="61"/>
  <c r="AI17" i="6"/>
  <c r="CB10" i="35"/>
  <c r="H103" i="46"/>
  <c r="BG27" i="44" s="1"/>
  <c r="D53" i="47" s="1"/>
  <c r="E103" i="46"/>
  <c r="AT11" i="31"/>
  <c r="C11" i="31"/>
  <c r="AT10" i="15"/>
  <c r="C10" i="15"/>
  <c r="C8" i="30"/>
  <c r="AT8" i="30"/>
  <c r="AT6" i="41"/>
  <c r="C6" i="41"/>
  <c r="G121" i="61"/>
  <c r="AI40" i="6"/>
  <c r="AT7" i="41"/>
  <c r="C7" i="41"/>
  <c r="C8" i="38"/>
  <c r="AT8" i="38"/>
  <c r="C7" i="24"/>
  <c r="AT7" i="24"/>
  <c r="E59" i="46"/>
  <c r="H62" i="46"/>
  <c r="AT11" i="24"/>
  <c r="C11" i="24"/>
  <c r="C8" i="14"/>
  <c r="AT8" i="14"/>
  <c r="T18" i="48"/>
  <c r="AO3" i="44" s="1"/>
  <c r="T19" i="48"/>
  <c r="AO4" i="44" s="1"/>
  <c r="AN3" i="44"/>
  <c r="AT11" i="28"/>
  <c r="C11" i="28"/>
  <c r="AT10" i="24"/>
  <c r="C10" i="24"/>
  <c r="AT11" i="27"/>
  <c r="C11" i="27"/>
  <c r="M11" i="41"/>
  <c r="P10" i="41"/>
  <c r="U11" i="41"/>
  <c r="E11" i="41"/>
  <c r="H10" i="41"/>
  <c r="P11" i="41"/>
  <c r="M10" i="41"/>
  <c r="M9" i="41"/>
  <c r="H8" i="41"/>
  <c r="E7" i="41"/>
  <c r="L11" i="41"/>
  <c r="L10" i="41"/>
  <c r="L9" i="41"/>
  <c r="U8" i="41"/>
  <c r="E8" i="41"/>
  <c r="D7" i="41"/>
  <c r="Y6" i="41"/>
  <c r="Q6" i="41"/>
  <c r="I6" i="41"/>
  <c r="I11" i="41"/>
  <c r="I10" i="41"/>
  <c r="Y9" i="41"/>
  <c r="I9" i="41"/>
  <c r="T8" i="41"/>
  <c r="D8" i="41"/>
  <c r="Y7" i="41"/>
  <c r="Q7" i="41"/>
  <c r="X6" i="41"/>
  <c r="P6" i="41"/>
  <c r="H6" i="41"/>
  <c r="H11" i="41"/>
  <c r="E10" i="41"/>
  <c r="X9" i="41"/>
  <c r="H9" i="41"/>
  <c r="X7" i="41"/>
  <c r="P7" i="41"/>
  <c r="D11" i="41"/>
  <c r="D10" i="41"/>
  <c r="E9" i="41"/>
  <c r="Y10" i="41"/>
  <c r="D9" i="41"/>
  <c r="Y8" i="41"/>
  <c r="Q8" i="41"/>
  <c r="U6" i="41"/>
  <c r="M6" i="41"/>
  <c r="AA1" i="41"/>
  <c r="X10" i="41"/>
  <c r="T11" i="41"/>
  <c r="Q10" i="41"/>
  <c r="Q11" i="41"/>
  <c r="L6" i="41"/>
  <c r="U9" i="41"/>
  <c r="P8" i="41"/>
  <c r="M7" i="41"/>
  <c r="T9" i="41"/>
  <c r="I8" i="41"/>
  <c r="L7" i="41"/>
  <c r="U7" i="41"/>
  <c r="T6" i="41"/>
  <c r="X8" i="41"/>
  <c r="T7" i="41"/>
  <c r="AT7" i="40"/>
  <c r="C7" i="40"/>
  <c r="AT8" i="16"/>
  <c r="C8" i="16"/>
  <c r="H55" i="46"/>
  <c r="BG21" i="44" s="1"/>
  <c r="D29" i="47" s="1"/>
  <c r="E55" i="46"/>
  <c r="AT9" i="19"/>
  <c r="C9" i="19"/>
  <c r="U11" i="38"/>
  <c r="E11" i="38"/>
  <c r="H10" i="38"/>
  <c r="M9" i="38"/>
  <c r="H8" i="38"/>
  <c r="E7" i="38"/>
  <c r="T11" i="38"/>
  <c r="D11" i="38"/>
  <c r="Y10" i="38"/>
  <c r="E10" i="38"/>
  <c r="L9" i="38"/>
  <c r="U8" i="38"/>
  <c r="E8" i="38"/>
  <c r="D7" i="38"/>
  <c r="Y6" i="38"/>
  <c r="Q6" i="38"/>
  <c r="I6" i="38"/>
  <c r="Q11" i="38"/>
  <c r="X10" i="38"/>
  <c r="D10" i="38"/>
  <c r="Y9" i="38"/>
  <c r="I9" i="38"/>
  <c r="T8" i="38"/>
  <c r="D8" i="38"/>
  <c r="Y7" i="38"/>
  <c r="Q7" i="38"/>
  <c r="X6" i="38"/>
  <c r="P6" i="38"/>
  <c r="H6" i="38"/>
  <c r="P11" i="38"/>
  <c r="Q10" i="38"/>
  <c r="X9" i="38"/>
  <c r="H9" i="38"/>
  <c r="X7" i="38"/>
  <c r="P7" i="38"/>
  <c r="M11" i="38"/>
  <c r="P10" i="38"/>
  <c r="E9" i="38"/>
  <c r="L11" i="38"/>
  <c r="M10" i="38"/>
  <c r="D9" i="38"/>
  <c r="Y8" i="38"/>
  <c r="Q8" i="38"/>
  <c r="U6" i="38"/>
  <c r="M6" i="38"/>
  <c r="AA1" i="38"/>
  <c r="H11" i="38"/>
  <c r="I10" i="38"/>
  <c r="T9" i="38"/>
  <c r="I8" i="38"/>
  <c r="T7" i="38"/>
  <c r="L7" i="38"/>
  <c r="X8" i="38"/>
  <c r="U7" i="38"/>
  <c r="L6" i="38"/>
  <c r="U9" i="38"/>
  <c r="L10" i="38"/>
  <c r="P8" i="38"/>
  <c r="T6" i="38"/>
  <c r="M7" i="38"/>
  <c r="I11" i="38"/>
  <c r="C6" i="19"/>
  <c r="AT6" i="19"/>
  <c r="AT11" i="36"/>
  <c r="C11" i="36"/>
  <c r="G181" i="61"/>
  <c r="AI55" i="6"/>
  <c r="T11" i="24"/>
  <c r="D11" i="24"/>
  <c r="Y10" i="24"/>
  <c r="E10" i="24"/>
  <c r="L9" i="24"/>
  <c r="U8" i="24"/>
  <c r="E8" i="24"/>
  <c r="D7" i="24"/>
  <c r="Y6" i="24"/>
  <c r="Q6" i="24"/>
  <c r="I6" i="24"/>
  <c r="Q11" i="24"/>
  <c r="X10" i="24"/>
  <c r="D10" i="24"/>
  <c r="Y9" i="24"/>
  <c r="I9" i="24"/>
  <c r="P11" i="24"/>
  <c r="Q10" i="24"/>
  <c r="X9" i="24"/>
  <c r="H9" i="24"/>
  <c r="X7" i="24"/>
  <c r="P7" i="24"/>
  <c r="M11" i="24"/>
  <c r="P10" i="24"/>
  <c r="E9" i="24"/>
  <c r="L11" i="24"/>
  <c r="M10" i="24"/>
  <c r="D9" i="24"/>
  <c r="Y8" i="24"/>
  <c r="Q8" i="24"/>
  <c r="U6" i="24"/>
  <c r="M6" i="24"/>
  <c r="AA1" i="24"/>
  <c r="I11" i="24"/>
  <c r="L10" i="24"/>
  <c r="U9" i="24"/>
  <c r="X8" i="24"/>
  <c r="P8" i="24"/>
  <c r="U7" i="24"/>
  <c r="M7" i="24"/>
  <c r="T6" i="24"/>
  <c r="L6" i="24"/>
  <c r="H11" i="24"/>
  <c r="I10" i="24"/>
  <c r="T9" i="24"/>
  <c r="I8" i="24"/>
  <c r="T7" i="24"/>
  <c r="L7" i="24"/>
  <c r="U11" i="24"/>
  <c r="E11" i="24"/>
  <c r="H10" i="24"/>
  <c r="M9" i="24"/>
  <c r="H8" i="24"/>
  <c r="E7" i="24"/>
  <c r="Q7" i="24"/>
  <c r="X6" i="24"/>
  <c r="T8" i="24"/>
  <c r="Y7" i="24"/>
  <c r="H6" i="24"/>
  <c r="D8" i="24"/>
  <c r="P6" i="24"/>
  <c r="AT7" i="19"/>
  <c r="C7" i="19"/>
  <c r="C8" i="24"/>
  <c r="AT8" i="24"/>
  <c r="P11" i="37"/>
  <c r="Q10" i="37"/>
  <c r="X9" i="37"/>
  <c r="H9" i="37"/>
  <c r="X7" i="37"/>
  <c r="P7" i="37"/>
  <c r="M11" i="37"/>
  <c r="P10" i="37"/>
  <c r="E9" i="37"/>
  <c r="L11" i="37"/>
  <c r="M10" i="37"/>
  <c r="D9" i="37"/>
  <c r="Y8" i="37"/>
  <c r="Q8" i="37"/>
  <c r="U6" i="37"/>
  <c r="M6" i="37"/>
  <c r="AA1" i="37"/>
  <c r="I11" i="37"/>
  <c r="L10" i="37"/>
  <c r="U9" i="37"/>
  <c r="X8" i="37"/>
  <c r="P8" i="37"/>
  <c r="U7" i="37"/>
  <c r="M7" i="37"/>
  <c r="T6" i="37"/>
  <c r="L6" i="37"/>
  <c r="H11" i="37"/>
  <c r="I10" i="37"/>
  <c r="T9" i="37"/>
  <c r="I8" i="37"/>
  <c r="T7" i="37"/>
  <c r="L7" i="37"/>
  <c r="U11" i="37"/>
  <c r="E11" i="37"/>
  <c r="H10" i="37"/>
  <c r="M9" i="37"/>
  <c r="H8" i="37"/>
  <c r="E7" i="37"/>
  <c r="D11" i="37"/>
  <c r="D10" i="37"/>
  <c r="D8" i="37"/>
  <c r="Y7" i="37"/>
  <c r="D7" i="37"/>
  <c r="Y6" i="37"/>
  <c r="L9" i="37"/>
  <c r="X6" i="37"/>
  <c r="I9" i="37"/>
  <c r="U8" i="37"/>
  <c r="T8" i="37"/>
  <c r="I6" i="37"/>
  <c r="Y10" i="37"/>
  <c r="Q7" i="37"/>
  <c r="H6" i="37"/>
  <c r="T11" i="37"/>
  <c r="X10" i="37"/>
  <c r="Y9" i="37"/>
  <c r="Q6" i="37"/>
  <c r="Q11" i="37"/>
  <c r="E10" i="37"/>
  <c r="E8" i="37"/>
  <c r="P6" i="37"/>
  <c r="AT7" i="12"/>
  <c r="C7" i="12"/>
  <c r="C8" i="27"/>
  <c r="AT8" i="27"/>
  <c r="AT10" i="25"/>
  <c r="C10" i="25"/>
  <c r="T11" i="40"/>
  <c r="D11" i="40"/>
  <c r="Y10" i="40"/>
  <c r="E10" i="40"/>
  <c r="L9" i="40"/>
  <c r="U8" i="40"/>
  <c r="E8" i="40"/>
  <c r="D7" i="40"/>
  <c r="Y6" i="40"/>
  <c r="Q6" i="40"/>
  <c r="I6" i="40"/>
  <c r="Q11" i="40"/>
  <c r="X10" i="40"/>
  <c r="D10" i="40"/>
  <c r="Y9" i="40"/>
  <c r="I9" i="40"/>
  <c r="T8" i="40"/>
  <c r="D8" i="40"/>
  <c r="Y7" i="40"/>
  <c r="Q7" i="40"/>
  <c r="X6" i="40"/>
  <c r="P6" i="40"/>
  <c r="H6" i="40"/>
  <c r="P11" i="40"/>
  <c r="Q10" i="40"/>
  <c r="X9" i="40"/>
  <c r="H9" i="40"/>
  <c r="X7" i="40"/>
  <c r="P7" i="40"/>
  <c r="M11" i="40"/>
  <c r="P10" i="40"/>
  <c r="E9" i="40"/>
  <c r="L11" i="40"/>
  <c r="M10" i="40"/>
  <c r="D9" i="40"/>
  <c r="Y8" i="40"/>
  <c r="Q8" i="40"/>
  <c r="U6" i="40"/>
  <c r="M6" i="40"/>
  <c r="AA1" i="40"/>
  <c r="I11" i="40"/>
  <c r="L10" i="40"/>
  <c r="U9" i="40"/>
  <c r="X8" i="40"/>
  <c r="P8" i="40"/>
  <c r="U7" i="40"/>
  <c r="M7" i="40"/>
  <c r="T6" i="40"/>
  <c r="L6" i="40"/>
  <c r="H11" i="40"/>
  <c r="I10" i="40"/>
  <c r="T9" i="40"/>
  <c r="I8" i="40"/>
  <c r="T7" i="40"/>
  <c r="L7" i="40"/>
  <c r="U11" i="40"/>
  <c r="E11" i="40"/>
  <c r="H10" i="40"/>
  <c r="M9" i="40"/>
  <c r="H8" i="40"/>
  <c r="E7" i="40"/>
  <c r="AT7" i="27"/>
  <c r="C7" i="27"/>
  <c r="H23" i="46"/>
  <c r="BG25" i="44" s="1"/>
  <c r="D13" i="47" s="1"/>
  <c r="E23" i="46"/>
  <c r="AT10" i="36"/>
  <c r="C10" i="36"/>
  <c r="C10" i="26"/>
  <c r="AT10" i="26"/>
  <c r="X35" i="47"/>
  <c r="BB4" i="44" s="1"/>
  <c r="U11" i="27"/>
  <c r="E11" i="27"/>
  <c r="H10" i="27"/>
  <c r="M9" i="27"/>
  <c r="H8" i="27"/>
  <c r="E7" i="27"/>
  <c r="T11" i="27"/>
  <c r="D11" i="27"/>
  <c r="Y10" i="27"/>
  <c r="E10" i="27"/>
  <c r="L9" i="27"/>
  <c r="U8" i="27"/>
  <c r="E8" i="27"/>
  <c r="D7" i="27"/>
  <c r="Y6" i="27"/>
  <c r="Q6" i="27"/>
  <c r="I6" i="27"/>
  <c r="Q11" i="27"/>
  <c r="X10" i="27"/>
  <c r="D10" i="27"/>
  <c r="Y9" i="27"/>
  <c r="I9" i="27"/>
  <c r="T8" i="27"/>
  <c r="D8" i="27"/>
  <c r="Y7" i="27"/>
  <c r="Q7" i="27"/>
  <c r="X6" i="27"/>
  <c r="P6" i="27"/>
  <c r="H6" i="27"/>
  <c r="P11" i="27"/>
  <c r="Q10" i="27"/>
  <c r="X9" i="27"/>
  <c r="H9" i="27"/>
  <c r="X7" i="27"/>
  <c r="P7" i="27"/>
  <c r="M11" i="27"/>
  <c r="P10" i="27"/>
  <c r="E9" i="27"/>
  <c r="L11" i="27"/>
  <c r="M10" i="27"/>
  <c r="D9" i="27"/>
  <c r="Y8" i="27"/>
  <c r="Q8" i="27"/>
  <c r="U6" i="27"/>
  <c r="M6" i="27"/>
  <c r="AA1" i="27"/>
  <c r="I11" i="27"/>
  <c r="L10" i="27"/>
  <c r="U9" i="27"/>
  <c r="X8" i="27"/>
  <c r="P8" i="27"/>
  <c r="U7" i="27"/>
  <c r="M7" i="27"/>
  <c r="T6" i="27"/>
  <c r="L6" i="27"/>
  <c r="I8" i="27"/>
  <c r="L7" i="27"/>
  <c r="T9" i="27"/>
  <c r="I10" i="27"/>
  <c r="T7" i="27"/>
  <c r="H11" i="27"/>
  <c r="AT9" i="22"/>
  <c r="C9" i="22"/>
  <c r="G173" i="61"/>
  <c r="G165" i="61"/>
  <c r="G85" i="61"/>
  <c r="G69" i="61"/>
  <c r="G53" i="61"/>
  <c r="G125" i="61"/>
  <c r="G41" i="61"/>
  <c r="AI51" i="6"/>
  <c r="AI41" i="6"/>
  <c r="AI27" i="6"/>
  <c r="AI24" i="6"/>
  <c r="AI23" i="6"/>
  <c r="AI20" i="6"/>
  <c r="AI53" i="6"/>
  <c r="AI31" i="6"/>
  <c r="G57" i="61"/>
  <c r="E119" i="46"/>
  <c r="H119" i="46"/>
  <c r="BG19" i="44" s="1"/>
  <c r="D61" i="47" s="1"/>
  <c r="U11" i="34"/>
  <c r="E11" i="34"/>
  <c r="H10" i="34"/>
  <c r="M9" i="34"/>
  <c r="H8" i="34"/>
  <c r="E7" i="34"/>
  <c r="T11" i="34"/>
  <c r="D11" i="34"/>
  <c r="Y10" i="34"/>
  <c r="E10" i="34"/>
  <c r="L9" i="34"/>
  <c r="U8" i="34"/>
  <c r="E8" i="34"/>
  <c r="D7" i="34"/>
  <c r="Y6" i="34"/>
  <c r="Q6" i="34"/>
  <c r="I6" i="34"/>
  <c r="Q11" i="34"/>
  <c r="X10" i="34"/>
  <c r="D10" i="34"/>
  <c r="Y9" i="34"/>
  <c r="I9" i="34"/>
  <c r="T8" i="34"/>
  <c r="D8" i="34"/>
  <c r="Y7" i="34"/>
  <c r="Q7" i="34"/>
  <c r="X6" i="34"/>
  <c r="P6" i="34"/>
  <c r="H6" i="34"/>
  <c r="P11" i="34"/>
  <c r="Q10" i="34"/>
  <c r="X9" i="34"/>
  <c r="H9" i="34"/>
  <c r="X7" i="34"/>
  <c r="P7" i="34"/>
  <c r="M11" i="34"/>
  <c r="P10" i="34"/>
  <c r="E9" i="34"/>
  <c r="L11" i="34"/>
  <c r="M10" i="34"/>
  <c r="D9" i="34"/>
  <c r="Y8" i="34"/>
  <c r="Q8" i="34"/>
  <c r="U6" i="34"/>
  <c r="M6" i="34"/>
  <c r="AA1" i="34"/>
  <c r="I11" i="34"/>
  <c r="L10" i="34"/>
  <c r="U9" i="34"/>
  <c r="X8" i="34"/>
  <c r="P8" i="34"/>
  <c r="U7" i="34"/>
  <c r="M7" i="34"/>
  <c r="T6" i="34"/>
  <c r="L6" i="34"/>
  <c r="H11" i="34"/>
  <c r="I10" i="34"/>
  <c r="T9" i="34"/>
  <c r="I8" i="34"/>
  <c r="T7" i="34"/>
  <c r="L7" i="34"/>
  <c r="AT8" i="36"/>
  <c r="C8" i="36"/>
  <c r="AT7" i="34"/>
  <c r="C7" i="34"/>
  <c r="T11" i="25"/>
  <c r="D11" i="25"/>
  <c r="P11" i="25"/>
  <c r="M11" i="25"/>
  <c r="E11" i="25"/>
  <c r="L10" i="25"/>
  <c r="U9" i="25"/>
  <c r="X8" i="25"/>
  <c r="P8" i="25"/>
  <c r="U7" i="25"/>
  <c r="M7" i="25"/>
  <c r="T6" i="25"/>
  <c r="L6" i="25"/>
  <c r="I10" i="25"/>
  <c r="T9" i="25"/>
  <c r="I8" i="25"/>
  <c r="T7" i="25"/>
  <c r="L7" i="25"/>
  <c r="H10" i="25"/>
  <c r="M9" i="25"/>
  <c r="H8" i="25"/>
  <c r="E7" i="25"/>
  <c r="U11" i="25"/>
  <c r="Y10" i="25"/>
  <c r="E10" i="25"/>
  <c r="L9" i="25"/>
  <c r="U8" i="25"/>
  <c r="E8" i="25"/>
  <c r="D7" i="25"/>
  <c r="Y6" i="25"/>
  <c r="Q6" i="25"/>
  <c r="I6" i="25"/>
  <c r="Q11" i="25"/>
  <c r="X10" i="25"/>
  <c r="D10" i="25"/>
  <c r="Y9" i="25"/>
  <c r="I9" i="25"/>
  <c r="T8" i="25"/>
  <c r="D8" i="25"/>
  <c r="Y7" i="25"/>
  <c r="Q7" i="25"/>
  <c r="X6" i="25"/>
  <c r="P6" i="25"/>
  <c r="H6" i="25"/>
  <c r="L11" i="25"/>
  <c r="Q10" i="25"/>
  <c r="X9" i="25"/>
  <c r="H9" i="25"/>
  <c r="X7" i="25"/>
  <c r="P7" i="25"/>
  <c r="I11" i="25"/>
  <c r="P10" i="25"/>
  <c r="E9" i="25"/>
  <c r="H11" i="25"/>
  <c r="M10" i="25"/>
  <c r="D9" i="25"/>
  <c r="Y8" i="25"/>
  <c r="Q8" i="25"/>
  <c r="U6" i="25"/>
  <c r="M6" i="25"/>
  <c r="AA1" i="25"/>
  <c r="AT7" i="28"/>
  <c r="C7" i="28"/>
  <c r="C9" i="29"/>
  <c r="AT9" i="29"/>
  <c r="C7" i="26"/>
  <c r="AT7" i="26"/>
  <c r="AT6" i="24"/>
  <c r="C6" i="24"/>
  <c r="Q11" i="22"/>
  <c r="X10" i="22"/>
  <c r="D10" i="22"/>
  <c r="Y9" i="22"/>
  <c r="I9" i="22"/>
  <c r="T8" i="22"/>
  <c r="D8" i="22"/>
  <c r="Y7" i="22"/>
  <c r="Q7" i="22"/>
  <c r="X6" i="22"/>
  <c r="P6" i="22"/>
  <c r="H6" i="22"/>
  <c r="P11" i="22"/>
  <c r="Q10" i="22"/>
  <c r="X9" i="22"/>
  <c r="H9" i="22"/>
  <c r="X7" i="22"/>
  <c r="P7" i="22"/>
  <c r="M11" i="22"/>
  <c r="P10" i="22"/>
  <c r="E9" i="22"/>
  <c r="L11" i="22"/>
  <c r="M10" i="22"/>
  <c r="D9" i="22"/>
  <c r="Y8" i="22"/>
  <c r="Q8" i="22"/>
  <c r="U6" i="22"/>
  <c r="M6" i="22"/>
  <c r="AA1" i="22"/>
  <c r="I11" i="22"/>
  <c r="L10" i="22"/>
  <c r="U9" i="22"/>
  <c r="X8" i="22"/>
  <c r="P8" i="22"/>
  <c r="U7" i="22"/>
  <c r="M7" i="22"/>
  <c r="T6" i="22"/>
  <c r="L6" i="22"/>
  <c r="H11" i="22"/>
  <c r="I10" i="22"/>
  <c r="T9" i="22"/>
  <c r="I8" i="22"/>
  <c r="T7" i="22"/>
  <c r="L7" i="22"/>
  <c r="U11" i="22"/>
  <c r="E11" i="22"/>
  <c r="H10" i="22"/>
  <c r="M9" i="22"/>
  <c r="H8" i="22"/>
  <c r="E7" i="22"/>
  <c r="Y10" i="22"/>
  <c r="D7" i="22"/>
  <c r="Q6" i="22"/>
  <c r="T11" i="22"/>
  <c r="E10" i="22"/>
  <c r="U8" i="22"/>
  <c r="D11" i="22"/>
  <c r="Y6" i="22"/>
  <c r="E8" i="22"/>
  <c r="L9" i="22"/>
  <c r="I6" i="22"/>
  <c r="C9" i="39"/>
  <c r="AT9" i="39"/>
  <c r="AT10" i="41"/>
  <c r="C10" i="41"/>
  <c r="G77" i="61"/>
  <c r="AI29" i="6"/>
  <c r="L11" i="20"/>
  <c r="M10" i="20"/>
  <c r="D9" i="20"/>
  <c r="Y8" i="20"/>
  <c r="Q8" i="20"/>
  <c r="U6" i="20"/>
  <c r="M6" i="20"/>
  <c r="AA1" i="20"/>
  <c r="I11" i="20"/>
  <c r="L10" i="20"/>
  <c r="U9" i="20"/>
  <c r="X8" i="20"/>
  <c r="P8" i="20"/>
  <c r="U7" i="20"/>
  <c r="M7" i="20"/>
  <c r="T6" i="20"/>
  <c r="L6" i="20"/>
  <c r="H11" i="20"/>
  <c r="I10" i="20"/>
  <c r="T9" i="20"/>
  <c r="I8" i="20"/>
  <c r="T7" i="20"/>
  <c r="L7" i="20"/>
  <c r="U11" i="20"/>
  <c r="E11" i="20"/>
  <c r="H10" i="20"/>
  <c r="M9" i="20"/>
  <c r="H8" i="20"/>
  <c r="E7" i="20"/>
  <c r="T11" i="20"/>
  <c r="D11" i="20"/>
  <c r="Y10" i="20"/>
  <c r="E10" i="20"/>
  <c r="L9" i="20"/>
  <c r="U8" i="20"/>
  <c r="E8" i="20"/>
  <c r="D7" i="20"/>
  <c r="Y6" i="20"/>
  <c r="Q6" i="20"/>
  <c r="I6" i="20"/>
  <c r="Q11" i="20"/>
  <c r="X10" i="20"/>
  <c r="D10" i="20"/>
  <c r="Y9" i="20"/>
  <c r="I9" i="20"/>
  <c r="T8" i="20"/>
  <c r="D8" i="20"/>
  <c r="Y7" i="20"/>
  <c r="Q7" i="20"/>
  <c r="X6" i="20"/>
  <c r="P6" i="20"/>
  <c r="H6" i="20"/>
  <c r="P11" i="20"/>
  <c r="Q10" i="20"/>
  <c r="X9" i="20"/>
  <c r="H9" i="20"/>
  <c r="X7" i="20"/>
  <c r="P7" i="20"/>
  <c r="P10" i="20"/>
  <c r="E9" i="20"/>
  <c r="M11" i="20"/>
  <c r="CB6" i="35"/>
  <c r="AT6" i="20"/>
  <c r="C6" i="20"/>
  <c r="C6" i="33"/>
  <c r="AT6" i="33"/>
  <c r="AT6" i="40"/>
  <c r="C6" i="40"/>
  <c r="P11" i="39"/>
  <c r="Q10" i="39"/>
  <c r="X9" i="39"/>
  <c r="H9" i="39"/>
  <c r="X7" i="39"/>
  <c r="P7" i="39"/>
  <c r="M11" i="39"/>
  <c r="P10" i="39"/>
  <c r="E9" i="39"/>
  <c r="L11" i="39"/>
  <c r="M10" i="39"/>
  <c r="D9" i="39"/>
  <c r="Y8" i="39"/>
  <c r="Q8" i="39"/>
  <c r="U6" i="39"/>
  <c r="M6" i="39"/>
  <c r="AA1" i="39"/>
  <c r="I11" i="39"/>
  <c r="L10" i="39"/>
  <c r="U9" i="39"/>
  <c r="X8" i="39"/>
  <c r="P8" i="39"/>
  <c r="U7" i="39"/>
  <c r="M7" i="39"/>
  <c r="T6" i="39"/>
  <c r="L6" i="39"/>
  <c r="H11" i="39"/>
  <c r="I10" i="39"/>
  <c r="T9" i="39"/>
  <c r="I8" i="39"/>
  <c r="T7" i="39"/>
  <c r="L7" i="39"/>
  <c r="U11" i="39"/>
  <c r="E11" i="39"/>
  <c r="H10" i="39"/>
  <c r="M9" i="39"/>
  <c r="H8" i="39"/>
  <c r="E7" i="39"/>
  <c r="T11" i="39"/>
  <c r="D11" i="39"/>
  <c r="Y10" i="39"/>
  <c r="E10" i="39"/>
  <c r="L9" i="39"/>
  <c r="U8" i="39"/>
  <c r="E8" i="39"/>
  <c r="D7" i="39"/>
  <c r="Y6" i="39"/>
  <c r="Q6" i="39"/>
  <c r="I6" i="39"/>
  <c r="Q11" i="39"/>
  <c r="X10" i="39"/>
  <c r="D10" i="39"/>
  <c r="Y9" i="39"/>
  <c r="I9" i="39"/>
  <c r="T8" i="39"/>
  <c r="D8" i="39"/>
  <c r="Y7" i="39"/>
  <c r="Q7" i="39"/>
  <c r="X6" i="39"/>
  <c r="P6" i="39"/>
  <c r="H6" i="39"/>
  <c r="AT6" i="12"/>
  <c r="C6" i="12"/>
  <c r="AT7" i="13"/>
  <c r="C7" i="13"/>
  <c r="AT7" i="39"/>
  <c r="C7" i="39"/>
  <c r="X34" i="47"/>
  <c r="BB3" i="44" s="1"/>
  <c r="H39" i="46"/>
  <c r="BG29" i="44" s="1"/>
  <c r="D21" i="47" s="1"/>
  <c r="E39" i="46"/>
  <c r="C6" i="18"/>
  <c r="AT6" i="18"/>
  <c r="Q11" i="13"/>
  <c r="X10" i="13"/>
  <c r="D10" i="13"/>
  <c r="Y9" i="13"/>
  <c r="T8" i="13"/>
  <c r="D8" i="13"/>
  <c r="Y7" i="13"/>
  <c r="X6" i="13"/>
  <c r="P6" i="13"/>
  <c r="H6" i="13"/>
  <c r="P11" i="13"/>
  <c r="X9" i="13"/>
  <c r="H9" i="13"/>
  <c r="X7" i="13"/>
  <c r="P7" i="13"/>
  <c r="M11" i="13"/>
  <c r="P10" i="13"/>
  <c r="L11" i="13"/>
  <c r="D9" i="13"/>
  <c r="Y8" i="13"/>
  <c r="AA1" i="13"/>
  <c r="I11" i="13"/>
  <c r="L10" i="13"/>
  <c r="X8" i="13"/>
  <c r="P8" i="13"/>
  <c r="T6" i="13"/>
  <c r="L6" i="13"/>
  <c r="H11" i="13"/>
  <c r="T9" i="13"/>
  <c r="T7" i="13"/>
  <c r="L7" i="13"/>
  <c r="U11" i="13"/>
  <c r="E11" i="13"/>
  <c r="H10" i="13"/>
  <c r="H8" i="13"/>
  <c r="T11" i="13"/>
  <c r="D11" i="13"/>
  <c r="Y10" i="13"/>
  <c r="L9" i="13"/>
  <c r="D7" i="13"/>
  <c r="Y6" i="13"/>
  <c r="AT11" i="26"/>
  <c r="C11" i="26"/>
  <c r="L11" i="32"/>
  <c r="M10" i="32"/>
  <c r="D9" i="32"/>
  <c r="Y8" i="32"/>
  <c r="Q8" i="32"/>
  <c r="U6" i="32"/>
  <c r="M6" i="32"/>
  <c r="AA1" i="32"/>
  <c r="I11" i="32"/>
  <c r="L10" i="32"/>
  <c r="U9" i="32"/>
  <c r="X8" i="32"/>
  <c r="P8" i="32"/>
  <c r="U7" i="32"/>
  <c r="M7" i="32"/>
  <c r="T6" i="32"/>
  <c r="L6" i="32"/>
  <c r="H11" i="32"/>
  <c r="I10" i="32"/>
  <c r="T9" i="32"/>
  <c r="I8" i="32"/>
  <c r="T7" i="32"/>
  <c r="L7" i="32"/>
  <c r="U11" i="32"/>
  <c r="E11" i="32"/>
  <c r="H10" i="32"/>
  <c r="M9" i="32"/>
  <c r="H8" i="32"/>
  <c r="E7" i="32"/>
  <c r="T11" i="32"/>
  <c r="D11" i="32"/>
  <c r="Y10" i="32"/>
  <c r="E10" i="32"/>
  <c r="L9" i="32"/>
  <c r="U8" i="32"/>
  <c r="E8" i="32"/>
  <c r="D7" i="32"/>
  <c r="Y6" i="32"/>
  <c r="Q6" i="32"/>
  <c r="I6" i="32"/>
  <c r="Q11" i="32"/>
  <c r="X10" i="32"/>
  <c r="D10" i="32"/>
  <c r="Y9" i="32"/>
  <c r="I9" i="32"/>
  <c r="T8" i="32"/>
  <c r="D8" i="32"/>
  <c r="Y7" i="32"/>
  <c r="Q7" i="32"/>
  <c r="X6" i="32"/>
  <c r="P6" i="32"/>
  <c r="H6" i="32"/>
  <c r="M11" i="32"/>
  <c r="P10" i="32"/>
  <c r="E9" i="32"/>
  <c r="P11" i="32"/>
  <c r="H9" i="32"/>
  <c r="P7" i="32"/>
  <c r="X7" i="32"/>
  <c r="X9" i="32"/>
  <c r="Q10" i="32"/>
  <c r="AT9" i="41"/>
  <c r="C9" i="41"/>
  <c r="P11" i="30"/>
  <c r="Q10" i="30"/>
  <c r="X9" i="30"/>
  <c r="H9" i="30"/>
  <c r="X7" i="30"/>
  <c r="P7" i="30"/>
  <c r="M11" i="30"/>
  <c r="P10" i="30"/>
  <c r="E9" i="30"/>
  <c r="L11" i="30"/>
  <c r="M10" i="30"/>
  <c r="I11" i="30"/>
  <c r="L10" i="30"/>
  <c r="U9" i="30"/>
  <c r="H11" i="30"/>
  <c r="I10" i="30"/>
  <c r="T9" i="30"/>
  <c r="I8" i="30"/>
  <c r="T7" i="30"/>
  <c r="L7" i="30"/>
  <c r="U11" i="30"/>
  <c r="E11" i="30"/>
  <c r="H10" i="30"/>
  <c r="M9" i="30"/>
  <c r="H8" i="30"/>
  <c r="E7" i="30"/>
  <c r="D9" i="30"/>
  <c r="X8" i="30"/>
  <c r="P8" i="30"/>
  <c r="D7" i="30"/>
  <c r="U6" i="30"/>
  <c r="M6" i="30"/>
  <c r="E8" i="30"/>
  <c r="U7" i="30"/>
  <c r="T6" i="30"/>
  <c r="L6" i="30"/>
  <c r="Y10" i="30"/>
  <c r="D8" i="30"/>
  <c r="T11" i="30"/>
  <c r="X10" i="30"/>
  <c r="Y9" i="30"/>
  <c r="U8" i="30"/>
  <c r="Q11" i="30"/>
  <c r="E10" i="30"/>
  <c r="T8" i="30"/>
  <c r="Q7" i="30"/>
  <c r="Y6" i="30"/>
  <c r="Q6" i="30"/>
  <c r="I6" i="30"/>
  <c r="D11" i="30"/>
  <c r="D10" i="30"/>
  <c r="X6" i="30"/>
  <c r="P6" i="30"/>
  <c r="H6" i="30"/>
  <c r="L9" i="30"/>
  <c r="Y7" i="30"/>
  <c r="AA1" i="30"/>
  <c r="I9" i="30"/>
  <c r="Y8" i="30"/>
  <c r="Q8" i="30"/>
  <c r="M7" i="30"/>
  <c r="L11" i="21"/>
  <c r="M10" i="21"/>
  <c r="D9" i="21"/>
  <c r="Y8" i="21"/>
  <c r="Q8" i="21"/>
  <c r="U6" i="21"/>
  <c r="M6" i="21"/>
  <c r="AA1" i="21"/>
  <c r="I11" i="21"/>
  <c r="L10" i="21"/>
  <c r="U9" i="21"/>
  <c r="X8" i="21"/>
  <c r="P8" i="21"/>
  <c r="U7" i="21"/>
  <c r="M7" i="21"/>
  <c r="T6" i="21"/>
  <c r="L6" i="21"/>
  <c r="H11" i="21"/>
  <c r="I10" i="21"/>
  <c r="T9" i="21"/>
  <c r="I8" i="21"/>
  <c r="T7" i="21"/>
  <c r="L7" i="21"/>
  <c r="U11" i="21"/>
  <c r="E11" i="21"/>
  <c r="H10" i="21"/>
  <c r="M9" i="21"/>
  <c r="H8" i="21"/>
  <c r="E7" i="21"/>
  <c r="T11" i="21"/>
  <c r="D11" i="21"/>
  <c r="Y10" i="21"/>
  <c r="E10" i="21"/>
  <c r="L9" i="21"/>
  <c r="U8" i="21"/>
  <c r="E8" i="21"/>
  <c r="D7" i="21"/>
  <c r="Y6" i="21"/>
  <c r="Q6" i="21"/>
  <c r="I6" i="21"/>
  <c r="P11" i="21"/>
  <c r="Q10" i="21"/>
  <c r="X9" i="21"/>
  <c r="H9" i="21"/>
  <c r="X7" i="21"/>
  <c r="P7" i="21"/>
  <c r="X10" i="21"/>
  <c r="E9" i="21"/>
  <c r="D8" i="21"/>
  <c r="H6" i="21"/>
  <c r="P10" i="21"/>
  <c r="D10" i="21"/>
  <c r="Q7" i="21"/>
  <c r="Q11" i="21"/>
  <c r="P6" i="21"/>
  <c r="M11" i="21"/>
  <c r="Y9" i="21"/>
  <c r="T8" i="21"/>
  <c r="Y7" i="21"/>
  <c r="X6" i="21"/>
  <c r="I9" i="21"/>
  <c r="AT8" i="17"/>
  <c r="C8" i="17"/>
  <c r="G37" i="61"/>
  <c r="AI19" i="6"/>
  <c r="AI32" i="6"/>
  <c r="G89" i="61"/>
  <c r="AT8" i="42"/>
  <c r="C8" i="42"/>
  <c r="AT7" i="23"/>
  <c r="C7" i="23"/>
  <c r="O61" i="10"/>
  <c r="N60" i="10"/>
  <c r="K59" i="10"/>
  <c r="J58" i="10"/>
  <c r="N62" i="10"/>
  <c r="K61" i="10"/>
  <c r="J60" i="10"/>
  <c r="G59" i="10"/>
  <c r="F58" i="10"/>
  <c r="C56" i="10"/>
  <c r="K62" i="10"/>
  <c r="J61" i="10"/>
  <c r="G60" i="10"/>
  <c r="F59" i="10"/>
  <c r="C58" i="10"/>
  <c r="B56" i="10"/>
  <c r="J62" i="10"/>
  <c r="G61" i="10"/>
  <c r="F60" i="10"/>
  <c r="C59" i="10"/>
  <c r="O56" i="10"/>
  <c r="G62" i="10"/>
  <c r="F61" i="10"/>
  <c r="C60" i="10"/>
  <c r="O58" i="10"/>
  <c r="N56" i="10"/>
  <c r="F62" i="10"/>
  <c r="C61" i="10"/>
  <c r="O59" i="10"/>
  <c r="N58" i="10"/>
  <c r="K60" i="10"/>
  <c r="U11" i="10"/>
  <c r="E11" i="10"/>
  <c r="H10" i="10"/>
  <c r="H8" i="10"/>
  <c r="N59" i="10"/>
  <c r="T11" i="10"/>
  <c r="D11" i="10"/>
  <c r="Y10" i="10"/>
  <c r="L9" i="10"/>
  <c r="D7" i="10"/>
  <c r="Y6" i="10"/>
  <c r="J59" i="10"/>
  <c r="Q11" i="10"/>
  <c r="X10" i="10"/>
  <c r="D10" i="10"/>
  <c r="Y9" i="10"/>
  <c r="T8" i="10"/>
  <c r="D8" i="10"/>
  <c r="Y7" i="10"/>
  <c r="X6" i="10"/>
  <c r="P6" i="10"/>
  <c r="H6" i="10"/>
  <c r="K58" i="10"/>
  <c r="P11" i="10"/>
  <c r="X9" i="10"/>
  <c r="H9" i="10"/>
  <c r="X7" i="10"/>
  <c r="P7" i="10"/>
  <c r="O62" i="10"/>
  <c r="G58" i="10"/>
  <c r="M11" i="10"/>
  <c r="P10" i="10"/>
  <c r="C62" i="10"/>
  <c r="J56" i="10"/>
  <c r="L11" i="10"/>
  <c r="D9" i="10"/>
  <c r="Y8" i="10"/>
  <c r="AA1" i="10"/>
  <c r="N61" i="10"/>
  <c r="F56" i="10"/>
  <c r="I11" i="10"/>
  <c r="L10" i="10"/>
  <c r="X8" i="10"/>
  <c r="P8" i="10"/>
  <c r="T6" i="10"/>
  <c r="L6" i="10"/>
  <c r="O60" i="10"/>
  <c r="H11" i="10"/>
  <c r="T9" i="10"/>
  <c r="T7" i="10"/>
  <c r="L7" i="10"/>
  <c r="AT11" i="40"/>
  <c r="C11" i="40"/>
  <c r="H94" i="46"/>
  <c r="E91" i="46"/>
  <c r="E43" i="46"/>
  <c r="H46" i="46"/>
  <c r="AT11" i="22"/>
  <c r="C11" i="22"/>
  <c r="AT11" i="41"/>
  <c r="C11" i="41"/>
  <c r="C8" i="26"/>
  <c r="AT8" i="26"/>
  <c r="G61" i="61"/>
  <c r="G109" i="61"/>
  <c r="G177" i="61"/>
  <c r="G169" i="61"/>
  <c r="G133" i="61"/>
  <c r="G141" i="61"/>
  <c r="AI45" i="6"/>
  <c r="AI54" i="6"/>
  <c r="AI37" i="6"/>
  <c r="AI34" i="6"/>
  <c r="AI30" i="6"/>
  <c r="AI43" i="6"/>
  <c r="AI52" i="6"/>
  <c r="AI25" i="6"/>
  <c r="G81" i="61"/>
  <c r="G97" i="61"/>
  <c r="M11" i="36"/>
  <c r="P10" i="36"/>
  <c r="E9" i="36"/>
  <c r="L11" i="36"/>
  <c r="M10" i="36"/>
  <c r="D9" i="36"/>
  <c r="Y8" i="36"/>
  <c r="Q8" i="36"/>
  <c r="U6" i="36"/>
  <c r="M6" i="36"/>
  <c r="AA1" i="36"/>
  <c r="I11" i="36"/>
  <c r="L10" i="36"/>
  <c r="U9" i="36"/>
  <c r="X8" i="36"/>
  <c r="P8" i="36"/>
  <c r="U7" i="36"/>
  <c r="M7" i="36"/>
  <c r="T6" i="36"/>
  <c r="L6" i="36"/>
  <c r="H11" i="36"/>
  <c r="I10" i="36"/>
  <c r="T9" i="36"/>
  <c r="I8" i="36"/>
  <c r="T7" i="36"/>
  <c r="L7" i="36"/>
  <c r="U11" i="36"/>
  <c r="E11" i="36"/>
  <c r="H10" i="36"/>
  <c r="M9" i="36"/>
  <c r="H8" i="36"/>
  <c r="E7" i="36"/>
  <c r="T11" i="36"/>
  <c r="D11" i="36"/>
  <c r="Y10" i="36"/>
  <c r="E10" i="36"/>
  <c r="L9" i="36"/>
  <c r="U8" i="36"/>
  <c r="E8" i="36"/>
  <c r="D7" i="36"/>
  <c r="Y6" i="36"/>
  <c r="Q6" i="36"/>
  <c r="I6" i="36"/>
  <c r="Q11" i="36"/>
  <c r="X10" i="36"/>
  <c r="D10" i="36"/>
  <c r="Y9" i="36"/>
  <c r="I9" i="36"/>
  <c r="T8" i="36"/>
  <c r="D8" i="36"/>
  <c r="Y7" i="36"/>
  <c r="Q7" i="36"/>
  <c r="X6" i="36"/>
  <c r="P6" i="36"/>
  <c r="H6" i="36"/>
  <c r="P11" i="36"/>
  <c r="Q10" i="36"/>
  <c r="X9" i="36"/>
  <c r="H9" i="36"/>
  <c r="X7" i="36"/>
  <c r="P7" i="36"/>
  <c r="C9" i="15"/>
  <c r="AT9" i="15"/>
  <c r="AT11" i="17"/>
  <c r="C11" i="17"/>
  <c r="C7" i="21"/>
  <c r="AT7" i="21"/>
  <c r="C10" i="13"/>
  <c r="AT10" i="13"/>
  <c r="P10" i="15"/>
  <c r="L11" i="15"/>
  <c r="D9" i="15"/>
  <c r="AA1" i="15"/>
  <c r="L10" i="15"/>
  <c r="X8" i="15"/>
  <c r="P8" i="15"/>
  <c r="T6" i="15"/>
  <c r="L6" i="15"/>
  <c r="H11" i="15"/>
  <c r="T9" i="15"/>
  <c r="T7" i="15"/>
  <c r="L7" i="15"/>
  <c r="H10" i="15"/>
  <c r="H8" i="15"/>
  <c r="T11" i="15"/>
  <c r="D11" i="15"/>
  <c r="L9" i="15"/>
  <c r="D7" i="15"/>
  <c r="X10" i="15"/>
  <c r="D10" i="15"/>
  <c r="T8" i="15"/>
  <c r="D8" i="15"/>
  <c r="X6" i="15"/>
  <c r="P6" i="15"/>
  <c r="H6" i="15"/>
  <c r="P11" i="15"/>
  <c r="X9" i="15"/>
  <c r="H9" i="15"/>
  <c r="X7" i="15"/>
  <c r="P7" i="15"/>
  <c r="AT11" i="20"/>
  <c r="C11" i="20"/>
  <c r="C8" i="34"/>
  <c r="AT8" i="34"/>
  <c r="AT9" i="11"/>
  <c r="C9" i="11"/>
  <c r="AT9" i="18"/>
  <c r="C9" i="18"/>
  <c r="AT6" i="25"/>
  <c r="C6" i="25"/>
  <c r="U11" i="19"/>
  <c r="E11" i="19"/>
  <c r="H10" i="19"/>
  <c r="M9" i="19"/>
  <c r="H8" i="19"/>
  <c r="E7" i="19"/>
  <c r="Q11" i="19"/>
  <c r="X10" i="19"/>
  <c r="D10" i="19"/>
  <c r="Y9" i="19"/>
  <c r="I9" i="19"/>
  <c r="T8" i="19"/>
  <c r="D8" i="19"/>
  <c r="Y7" i="19"/>
  <c r="Q7" i="19"/>
  <c r="X6" i="19"/>
  <c r="P6" i="19"/>
  <c r="H6" i="19"/>
  <c r="P11" i="19"/>
  <c r="Q10" i="19"/>
  <c r="X9" i="19"/>
  <c r="H9" i="19"/>
  <c r="X7" i="19"/>
  <c r="P7" i="19"/>
  <c r="M11" i="19"/>
  <c r="P10" i="19"/>
  <c r="E9" i="19"/>
  <c r="L11" i="19"/>
  <c r="M10" i="19"/>
  <c r="D9" i="19"/>
  <c r="Y8" i="19"/>
  <c r="Q8" i="19"/>
  <c r="U6" i="19"/>
  <c r="M6" i="19"/>
  <c r="AA1" i="19"/>
  <c r="I11" i="19"/>
  <c r="L10" i="19"/>
  <c r="U9" i="19"/>
  <c r="X8" i="19"/>
  <c r="P8" i="19"/>
  <c r="U7" i="19"/>
  <c r="M7" i="19"/>
  <c r="T6" i="19"/>
  <c r="L6" i="19"/>
  <c r="H11" i="19"/>
  <c r="E8" i="19"/>
  <c r="L7" i="19"/>
  <c r="Y6" i="19"/>
  <c r="D11" i="19"/>
  <c r="Y10" i="19"/>
  <c r="D7" i="19"/>
  <c r="I10" i="19"/>
  <c r="T9" i="19"/>
  <c r="I6" i="19"/>
  <c r="E10" i="19"/>
  <c r="L9" i="19"/>
  <c r="T7" i="19"/>
  <c r="U8" i="19"/>
  <c r="Q6" i="19"/>
  <c r="T11" i="19"/>
  <c r="I8" i="19"/>
  <c r="C8" i="41"/>
  <c r="AT8" i="41"/>
  <c r="C9" i="42"/>
  <c r="AT9" i="42"/>
  <c r="H87" i="46"/>
  <c r="BG23" i="44" s="1"/>
  <c r="D45" i="47" s="1"/>
  <c r="E87" i="46"/>
  <c r="L11" i="29"/>
  <c r="M10" i="29"/>
  <c r="D9" i="29"/>
  <c r="Y8" i="29"/>
  <c r="Q8" i="29"/>
  <c r="U6" i="29"/>
  <c r="M6" i="29"/>
  <c r="AA1" i="29"/>
  <c r="I11" i="29"/>
  <c r="L10" i="29"/>
  <c r="U9" i="29"/>
  <c r="X8" i="29"/>
  <c r="P8" i="29"/>
  <c r="U7" i="29"/>
  <c r="M7" i="29"/>
  <c r="T6" i="29"/>
  <c r="L6" i="29"/>
  <c r="H11" i="29"/>
  <c r="I10" i="29"/>
  <c r="T9" i="29"/>
  <c r="I8" i="29"/>
  <c r="T7" i="29"/>
  <c r="L7" i="29"/>
  <c r="U11" i="29"/>
  <c r="E11" i="29"/>
  <c r="H10" i="29"/>
  <c r="M9" i="29"/>
  <c r="H8" i="29"/>
  <c r="E7" i="29"/>
  <c r="T11" i="29"/>
  <c r="D11" i="29"/>
  <c r="Y10" i="29"/>
  <c r="E10" i="29"/>
  <c r="L9" i="29"/>
  <c r="U8" i="29"/>
  <c r="E8" i="29"/>
  <c r="D7" i="29"/>
  <c r="Y6" i="29"/>
  <c r="Q6" i="29"/>
  <c r="I6" i="29"/>
  <c r="Q11" i="29"/>
  <c r="X10" i="29"/>
  <c r="D10" i="29"/>
  <c r="Y9" i="29"/>
  <c r="I9" i="29"/>
  <c r="T8" i="29"/>
  <c r="D8" i="29"/>
  <c r="Y7" i="29"/>
  <c r="Q7" i="29"/>
  <c r="X6" i="29"/>
  <c r="P6" i="29"/>
  <c r="H6" i="29"/>
  <c r="P11" i="29"/>
  <c r="Q10" i="29"/>
  <c r="X9" i="29"/>
  <c r="H9" i="29"/>
  <c r="X7" i="29"/>
  <c r="P7" i="29"/>
  <c r="M11" i="29"/>
  <c r="P10" i="29"/>
  <c r="E9" i="29"/>
  <c r="AT9" i="27"/>
  <c r="C9" i="27"/>
  <c r="AT10" i="23"/>
  <c r="C10" i="23"/>
  <c r="AT10" i="20"/>
  <c r="C10" i="20"/>
  <c r="AT11" i="16"/>
  <c r="C11" i="16"/>
  <c r="C10" i="39"/>
  <c r="AT10" i="39"/>
  <c r="G149" i="61"/>
  <c r="AI47" i="6"/>
  <c r="X10" i="18"/>
  <c r="D10" i="18"/>
  <c r="T8" i="18"/>
  <c r="D8" i="18"/>
  <c r="X6" i="18"/>
  <c r="P6" i="18"/>
  <c r="H6" i="18"/>
  <c r="P11" i="18"/>
  <c r="X9" i="18"/>
  <c r="H9" i="18"/>
  <c r="X7" i="18"/>
  <c r="P7" i="18"/>
  <c r="P10" i="18"/>
  <c r="L11" i="18"/>
  <c r="D9" i="18"/>
  <c r="AA1" i="18"/>
  <c r="L10" i="18"/>
  <c r="X8" i="18"/>
  <c r="P8" i="18"/>
  <c r="T6" i="18"/>
  <c r="L6" i="18"/>
  <c r="H11" i="18"/>
  <c r="T9" i="18"/>
  <c r="T7" i="18"/>
  <c r="L7" i="18"/>
  <c r="H10" i="18"/>
  <c r="H8" i="18"/>
  <c r="T11" i="18"/>
  <c r="D11" i="18"/>
  <c r="L9" i="18"/>
  <c r="D7" i="18"/>
  <c r="AT11" i="18"/>
  <c r="C11" i="18"/>
  <c r="AT8" i="32"/>
  <c r="C8" i="32"/>
  <c r="CB7" i="35"/>
  <c r="AT10" i="40"/>
  <c r="C10" i="40"/>
  <c r="CB9" i="35"/>
  <c r="G129" i="61"/>
  <c r="AI42" i="6"/>
  <c r="I11" i="42"/>
  <c r="L10" i="42"/>
  <c r="U9" i="42"/>
  <c r="X8" i="42"/>
  <c r="P8" i="42"/>
  <c r="U7" i="42"/>
  <c r="M7" i="42"/>
  <c r="T6" i="42"/>
  <c r="L6" i="42"/>
  <c r="H11" i="42"/>
  <c r="I10" i="42"/>
  <c r="T9" i="42"/>
  <c r="U11" i="42"/>
  <c r="E11" i="42"/>
  <c r="H10" i="42"/>
  <c r="M9" i="42"/>
  <c r="H8" i="42"/>
  <c r="E7" i="42"/>
  <c r="T11" i="42"/>
  <c r="D11" i="42"/>
  <c r="Y10" i="42"/>
  <c r="E10" i="42"/>
  <c r="L9" i="42"/>
  <c r="U8" i="42"/>
  <c r="E8" i="42"/>
  <c r="D7" i="42"/>
  <c r="Y6" i="42"/>
  <c r="Q6" i="42"/>
  <c r="I6" i="42"/>
  <c r="Q11" i="42"/>
  <c r="X10" i="42"/>
  <c r="D10" i="42"/>
  <c r="Y9" i="42"/>
  <c r="I9" i="42"/>
  <c r="T8" i="42"/>
  <c r="D8" i="42"/>
  <c r="Y7" i="42"/>
  <c r="Q7" i="42"/>
  <c r="X6" i="42"/>
  <c r="P6" i="42"/>
  <c r="H6" i="42"/>
  <c r="P11" i="42"/>
  <c r="M11" i="42"/>
  <c r="P10" i="42"/>
  <c r="L11" i="42"/>
  <c r="M10" i="42"/>
  <c r="D9" i="42"/>
  <c r="Y8" i="42"/>
  <c r="Q8" i="42"/>
  <c r="U6" i="42"/>
  <c r="M6" i="42"/>
  <c r="AA1" i="42"/>
  <c r="X9" i="42"/>
  <c r="P7" i="42"/>
  <c r="H9" i="42"/>
  <c r="X7" i="42"/>
  <c r="E9" i="42"/>
  <c r="L7" i="42"/>
  <c r="Q10" i="42"/>
  <c r="T7" i="42"/>
  <c r="I8" i="42"/>
  <c r="AT7" i="38"/>
  <c r="C7" i="38"/>
  <c r="U11" i="31"/>
  <c r="E11" i="31"/>
  <c r="H10" i="31"/>
  <c r="M9" i="31"/>
  <c r="H8" i="31"/>
  <c r="E7" i="31"/>
  <c r="T11" i="31"/>
  <c r="D11" i="31"/>
  <c r="Y10" i="31"/>
  <c r="E10" i="31"/>
  <c r="L9" i="31"/>
  <c r="U8" i="31"/>
  <c r="E8" i="31"/>
  <c r="D7" i="31"/>
  <c r="Y6" i="31"/>
  <c r="Q6" i="31"/>
  <c r="I6" i="31"/>
  <c r="Q11" i="31"/>
  <c r="X10" i="31"/>
  <c r="D10" i="31"/>
  <c r="Y9" i="31"/>
  <c r="I9" i="31"/>
  <c r="T8" i="31"/>
  <c r="D8" i="31"/>
  <c r="Y7" i="31"/>
  <c r="Q7" i="31"/>
  <c r="X6" i="31"/>
  <c r="P6" i="31"/>
  <c r="H6" i="31"/>
  <c r="P11" i="31"/>
  <c r="Q10" i="31"/>
  <c r="X9" i="31"/>
  <c r="H9" i="31"/>
  <c r="X7" i="31"/>
  <c r="P7" i="31"/>
  <c r="M11" i="31"/>
  <c r="P10" i="31"/>
  <c r="E9" i="31"/>
  <c r="L11" i="31"/>
  <c r="M10" i="31"/>
  <c r="D9" i="31"/>
  <c r="Y8" i="31"/>
  <c r="Q8" i="31"/>
  <c r="U6" i="31"/>
  <c r="M6" i="31"/>
  <c r="AA1" i="31"/>
  <c r="H11" i="31"/>
  <c r="I10" i="31"/>
  <c r="L10" i="31"/>
  <c r="P8" i="31"/>
  <c r="M7" i="31"/>
  <c r="U9" i="31"/>
  <c r="I8" i="31"/>
  <c r="L7" i="31"/>
  <c r="L6" i="31"/>
  <c r="T9" i="31"/>
  <c r="U7" i="31"/>
  <c r="I11" i="31"/>
  <c r="X8" i="31"/>
  <c r="T7" i="31"/>
  <c r="T6" i="31"/>
  <c r="AT11" i="13"/>
  <c r="C11" i="13"/>
  <c r="E27" i="46"/>
  <c r="H30" i="46"/>
  <c r="AT7" i="11"/>
  <c r="C7" i="11"/>
  <c r="AT8" i="20"/>
  <c r="C8" i="20"/>
  <c r="AT10" i="16"/>
  <c r="C10" i="16"/>
  <c r="AT11" i="14"/>
  <c r="C11" i="14"/>
  <c r="C11" i="30"/>
  <c r="AT11" i="30"/>
  <c r="AT6" i="38"/>
  <c r="C6" i="38"/>
  <c r="E75" i="46"/>
  <c r="H78" i="46"/>
  <c r="AT6" i="42"/>
  <c r="C6" i="42"/>
  <c r="L11" i="17"/>
  <c r="D9" i="17"/>
  <c r="AA1" i="17"/>
  <c r="L10" i="17"/>
  <c r="X8" i="17"/>
  <c r="P8" i="17"/>
  <c r="T6" i="17"/>
  <c r="L6" i="17"/>
  <c r="H11" i="17"/>
  <c r="T9" i="17"/>
  <c r="T7" i="17"/>
  <c r="L7" i="17"/>
  <c r="H10" i="17"/>
  <c r="H8" i="17"/>
  <c r="T11" i="17"/>
  <c r="D11" i="17"/>
  <c r="L9" i="17"/>
  <c r="D7" i="17"/>
  <c r="X10" i="17"/>
  <c r="D10" i="17"/>
  <c r="T8" i="17"/>
  <c r="D8" i="17"/>
  <c r="X6" i="17"/>
  <c r="P6" i="17"/>
  <c r="H6" i="17"/>
  <c r="P11" i="17"/>
  <c r="X9" i="17"/>
  <c r="H9" i="17"/>
  <c r="X7" i="17"/>
  <c r="P7" i="17"/>
  <c r="P10" i="17"/>
  <c r="C8" i="13"/>
  <c r="AT8" i="13"/>
  <c r="AT7" i="14"/>
  <c r="C7" i="14"/>
  <c r="AT6" i="23"/>
  <c r="C6" i="23"/>
  <c r="H71" i="46"/>
  <c r="BG31" i="44" s="1"/>
  <c r="D37" i="47" s="1"/>
  <c r="E71" i="46"/>
  <c r="AT7" i="31"/>
  <c r="C7" i="31"/>
  <c r="AT7" i="33"/>
  <c r="C7" i="33"/>
  <c r="H11" i="35"/>
  <c r="I10" i="35"/>
  <c r="T9" i="35"/>
  <c r="I8" i="35"/>
  <c r="U11" i="35"/>
  <c r="E11" i="35"/>
  <c r="H10" i="35"/>
  <c r="M9" i="35"/>
  <c r="H8" i="35"/>
  <c r="T11" i="35"/>
  <c r="D11" i="35"/>
  <c r="Y10" i="35"/>
  <c r="E10" i="35"/>
  <c r="L9" i="35"/>
  <c r="U8" i="35"/>
  <c r="E8" i="35"/>
  <c r="D7" i="35"/>
  <c r="Y6" i="35"/>
  <c r="Q6" i="35"/>
  <c r="I6" i="35"/>
  <c r="Q11" i="35"/>
  <c r="X10" i="35"/>
  <c r="D10" i="35"/>
  <c r="Y9" i="35"/>
  <c r="I9" i="35"/>
  <c r="T8" i="35"/>
  <c r="D8" i="35"/>
  <c r="Y7" i="35"/>
  <c r="Q7" i="35"/>
  <c r="X6" i="35"/>
  <c r="P6" i="35"/>
  <c r="H6" i="35"/>
  <c r="P11" i="35"/>
  <c r="Q10" i="35"/>
  <c r="X9" i="35"/>
  <c r="H9" i="35"/>
  <c r="X7" i="35"/>
  <c r="P7" i="35"/>
  <c r="M11" i="35"/>
  <c r="P10" i="35"/>
  <c r="E9" i="35"/>
  <c r="I11" i="35"/>
  <c r="L10" i="35"/>
  <c r="U9" i="35"/>
  <c r="X8" i="35"/>
  <c r="P8" i="35"/>
  <c r="U7" i="35"/>
  <c r="M7" i="35"/>
  <c r="T6" i="35"/>
  <c r="L6" i="35"/>
  <c r="M10" i="35"/>
  <c r="AA1" i="35"/>
  <c r="L11" i="35"/>
  <c r="M6" i="35"/>
  <c r="Q8" i="35"/>
  <c r="L7" i="35"/>
  <c r="E7" i="35"/>
  <c r="U6" i="35"/>
  <c r="D9" i="35"/>
  <c r="Y8" i="35"/>
  <c r="T7" i="35"/>
  <c r="C9" i="30"/>
  <c r="AT9" i="30"/>
  <c r="C11" i="25"/>
  <c r="AT11" i="25"/>
  <c r="AT11" i="29"/>
  <c r="C11" i="29"/>
  <c r="C9" i="21"/>
  <c r="AT9" i="21"/>
  <c r="C8" i="33"/>
  <c r="AT8" i="33"/>
  <c r="C6" i="30"/>
  <c r="AT6" i="30"/>
  <c r="H126" i="46"/>
  <c r="E123" i="46"/>
  <c r="AT10" i="17"/>
  <c r="C10" i="17"/>
  <c r="H11" i="14"/>
  <c r="T9" i="14"/>
  <c r="T7" i="14"/>
  <c r="L7" i="14"/>
  <c r="H10" i="14"/>
  <c r="H8" i="14"/>
  <c r="T11" i="14"/>
  <c r="D11" i="14"/>
  <c r="L9" i="14"/>
  <c r="D7" i="14"/>
  <c r="X10" i="14"/>
  <c r="D10" i="14"/>
  <c r="T8" i="14"/>
  <c r="D8" i="14"/>
  <c r="X6" i="14"/>
  <c r="P6" i="14"/>
  <c r="H6" i="14"/>
  <c r="P11" i="14"/>
  <c r="X9" i="14"/>
  <c r="H9" i="14"/>
  <c r="X7" i="14"/>
  <c r="P7" i="14"/>
  <c r="P10" i="14"/>
  <c r="L11" i="14"/>
  <c r="D9" i="14"/>
  <c r="AA1" i="14"/>
  <c r="L10" i="14"/>
  <c r="X8" i="14"/>
  <c r="P8" i="14"/>
  <c r="T6" i="14"/>
  <c r="L6" i="14"/>
  <c r="AT6" i="14"/>
  <c r="C6" i="14"/>
  <c r="E11" i="46"/>
  <c r="H14" i="46"/>
  <c r="AT9" i="24"/>
  <c r="C9" i="24"/>
  <c r="R1" i="29"/>
  <c r="R1" i="31"/>
  <c r="B17" i="26"/>
  <c r="B15" i="27"/>
  <c r="R1" i="21"/>
  <c r="B15" i="10"/>
  <c r="S1" i="28"/>
  <c r="B16" i="11"/>
  <c r="R1" i="35"/>
  <c r="R1" i="42"/>
  <c r="B16" i="15"/>
  <c r="R1" i="38"/>
  <c r="S1" i="22"/>
  <c r="B16" i="17"/>
  <c r="S1" i="31"/>
  <c r="B15" i="32"/>
  <c r="B17" i="17"/>
  <c r="B16" i="29"/>
  <c r="S1" i="19"/>
  <c r="B15" i="15"/>
  <c r="S1" i="25"/>
  <c r="B15" i="26"/>
  <c r="B14" i="17"/>
  <c r="B14" i="37"/>
  <c r="R1" i="10"/>
  <c r="B14" i="27"/>
  <c r="S1" i="34"/>
  <c r="B15" i="29"/>
  <c r="B14" i="16"/>
  <c r="B16" i="37"/>
  <c r="S1" i="36"/>
  <c r="B16" i="27"/>
  <c r="B15" i="28"/>
  <c r="B16" i="13"/>
  <c r="S1" i="32"/>
  <c r="R1" i="32"/>
  <c r="R1" i="11"/>
  <c r="B15" i="17"/>
  <c r="S1" i="21"/>
  <c r="B16" i="10"/>
  <c r="B17" i="37"/>
  <c r="B16" i="26"/>
  <c r="S1" i="35"/>
  <c r="B14" i="29"/>
  <c r="R1" i="28"/>
  <c r="B14" i="32"/>
  <c r="B14" i="22"/>
  <c r="R1" i="34"/>
  <c r="B16" i="16"/>
  <c r="R1" i="24"/>
  <c r="S1" i="41"/>
  <c r="R1" i="41"/>
  <c r="B17" i="15"/>
  <c r="B16" i="32"/>
  <c r="S1" i="40"/>
  <c r="B17" i="27"/>
  <c r="B14" i="13"/>
  <c r="S1" i="24"/>
  <c r="B17" i="11"/>
  <c r="S1" i="27"/>
  <c r="R1" i="27"/>
  <c r="S1" i="37"/>
  <c r="B15" i="16"/>
  <c r="S1" i="38"/>
  <c r="R1" i="20"/>
  <c r="B17" i="10"/>
  <c r="B14" i="15"/>
  <c r="R1" i="25"/>
  <c r="B17" i="16"/>
  <c r="B15" i="39"/>
  <c r="R1" i="39"/>
  <c r="R1" i="36"/>
  <c r="S1" i="30"/>
  <c r="R1" i="30"/>
  <c r="B14" i="11"/>
  <c r="B14" i="26"/>
  <c r="S1" i="20"/>
  <c r="S1" i="42"/>
  <c r="B17" i="29"/>
  <c r="B15" i="37"/>
  <c r="S1" i="29"/>
  <c r="B16" i="21"/>
  <c r="B16" i="36"/>
  <c r="B15" i="34"/>
  <c r="R1" i="22"/>
  <c r="S1" i="39"/>
  <c r="D96" i="43" l="1"/>
  <c r="D21" i="43"/>
  <c r="D105" i="43"/>
  <c r="D116" i="43"/>
  <c r="D6" i="43"/>
  <c r="D87" i="43"/>
  <c r="D13" i="43"/>
  <c r="D45" i="43"/>
  <c r="D26" i="43"/>
  <c r="D47" i="43"/>
  <c r="D72" i="43"/>
  <c r="D27" i="43"/>
  <c r="D75" i="43"/>
  <c r="D69" i="43"/>
  <c r="D64" i="43"/>
  <c r="D5" i="43"/>
  <c r="D108" i="43"/>
  <c r="D25" i="43"/>
  <c r="D19" i="43"/>
  <c r="D11" i="43"/>
  <c r="D78" i="43"/>
  <c r="D29" i="43"/>
  <c r="D70" i="43"/>
  <c r="D65" i="43"/>
  <c r="D109" i="43"/>
  <c r="D20" i="43"/>
  <c r="D110" i="43"/>
  <c r="D23" i="43"/>
  <c r="D89" i="43"/>
  <c r="D76" i="43"/>
  <c r="D77" i="43"/>
  <c r="D68" i="43"/>
  <c r="D63" i="43"/>
  <c r="D107" i="43"/>
  <c r="D24" i="43"/>
  <c r="D22" i="43"/>
  <c r="D30" i="43"/>
  <c r="D66" i="43"/>
  <c r="D3" i="43"/>
  <c r="D28" i="43"/>
  <c r="D67" i="43"/>
  <c r="D88" i="43"/>
  <c r="Q8" i="11"/>
  <c r="U6" i="11"/>
  <c r="U7" i="11"/>
  <c r="M6" i="11"/>
  <c r="M7" i="11"/>
  <c r="U8" i="11"/>
  <c r="I9" i="11"/>
  <c r="E9" i="11"/>
  <c r="Q6" i="11"/>
  <c r="M9" i="11"/>
  <c r="Q10" i="11"/>
  <c r="I10" i="11"/>
  <c r="M10" i="11"/>
  <c r="I8" i="11"/>
  <c r="E7" i="11"/>
  <c r="U9" i="11"/>
  <c r="E8" i="11"/>
  <c r="I6" i="11"/>
  <c r="Q7" i="11"/>
  <c r="E10" i="11"/>
  <c r="I6" i="10"/>
  <c r="Q10" i="10"/>
  <c r="Q8" i="10"/>
  <c r="U9" i="10"/>
  <c r="E10" i="10"/>
  <c r="E9" i="10"/>
  <c r="U6" i="10"/>
  <c r="I10" i="10"/>
  <c r="G56" i="10"/>
  <c r="K56" i="10" s="1"/>
  <c r="M9" i="10"/>
  <c r="Q7" i="10"/>
  <c r="M6" i="10"/>
  <c r="U8" i="10"/>
  <c r="U7" i="10"/>
  <c r="I8" i="10"/>
  <c r="E7" i="10"/>
  <c r="E8" i="10"/>
  <c r="M7" i="10"/>
  <c r="M10" i="10"/>
  <c r="I9" i="10"/>
  <c r="Q6" i="10"/>
  <c r="BG26" i="44"/>
  <c r="D56" i="47" s="1"/>
  <c r="BG32" i="44"/>
  <c r="D32" i="47" s="1"/>
  <c r="P4" i="45"/>
  <c r="AD4" i="45"/>
  <c r="W4" i="45"/>
  <c r="BG28" i="44"/>
  <c r="D16" i="47" s="1"/>
  <c r="AT9" i="35"/>
  <c r="C9" i="35"/>
  <c r="BG24" i="44"/>
  <c r="D24" i="47" s="1"/>
  <c r="AA4" i="45"/>
  <c r="BG34" i="44"/>
  <c r="D64" i="47" s="1"/>
  <c r="AT7" i="35"/>
  <c r="C7" i="35"/>
  <c r="AT10" i="35"/>
  <c r="C10" i="35"/>
  <c r="BG20" i="44"/>
  <c r="D8" i="47" s="1"/>
  <c r="BG22" i="44"/>
  <c r="D40" i="47" s="1"/>
  <c r="AT6" i="35"/>
  <c r="C6" i="35"/>
  <c r="M4" i="45"/>
  <c r="BG30" i="44"/>
  <c r="D48" i="47" s="1"/>
  <c r="T32" i="48"/>
  <c r="AQ5" i="44" s="1"/>
  <c r="T33" i="48"/>
  <c r="AQ6" i="44" s="1"/>
  <c r="AN6" i="44"/>
  <c r="A5" i="45"/>
  <c r="B16" i="42"/>
  <c r="B16" i="18"/>
  <c r="B15" i="22"/>
  <c r="B14" i="42"/>
  <c r="B15" i="21"/>
  <c r="B15" i="24"/>
  <c r="S1" i="10"/>
  <c r="B16" i="41"/>
  <c r="B14" i="33"/>
  <c r="B17" i="33"/>
  <c r="S1" i="11"/>
  <c r="B14" i="41"/>
  <c r="B14" i="28"/>
  <c r="B15" i="23"/>
  <c r="B15" i="20"/>
  <c r="B16" i="22"/>
  <c r="R1" i="40"/>
  <c r="B16" i="23"/>
  <c r="R1" i="37"/>
  <c r="B15" i="31"/>
  <c r="B14" i="23"/>
  <c r="B16" i="20"/>
  <c r="B15" i="11"/>
  <c r="B15" i="40"/>
  <c r="B14" i="20"/>
  <c r="B17" i="36"/>
  <c r="B17" i="42"/>
  <c r="B14" i="12"/>
  <c r="B16" i="19"/>
  <c r="B15" i="19"/>
  <c r="B17" i="38"/>
  <c r="B16" i="38"/>
  <c r="B15" i="30"/>
  <c r="B14" i="19"/>
  <c r="B15" i="33"/>
  <c r="B15" i="13"/>
  <c r="B15" i="25"/>
  <c r="B14" i="25"/>
  <c r="B17" i="21"/>
  <c r="B16" i="39"/>
  <c r="B14" i="40"/>
  <c r="B17" i="40"/>
  <c r="B17" i="31"/>
  <c r="B16" i="31"/>
  <c r="B15" i="42"/>
  <c r="B17" i="22"/>
  <c r="B17" i="25"/>
  <c r="B14" i="24"/>
  <c r="B15" i="38"/>
  <c r="B14" i="30"/>
  <c r="B16" i="28"/>
  <c r="B17" i="12"/>
  <c r="B16" i="12"/>
  <c r="B14" i="39"/>
  <c r="B16" i="25"/>
  <c r="B17" i="13"/>
  <c r="B16" i="14"/>
  <c r="B15" i="36"/>
  <c r="R1" i="23"/>
  <c r="B14" i="18"/>
  <c r="B17" i="24"/>
  <c r="B15" i="14"/>
  <c r="B17" i="34"/>
  <c r="B17" i="32"/>
  <c r="B17" i="18"/>
  <c r="B16" i="40"/>
  <c r="B14" i="38"/>
  <c r="B14" i="36"/>
  <c r="B16" i="34"/>
  <c r="B14" i="34"/>
  <c r="B17" i="41"/>
  <c r="B15" i="12"/>
  <c r="R1" i="26"/>
  <c r="B14" i="14"/>
  <c r="B15" i="18"/>
  <c r="B17" i="28"/>
  <c r="B16" i="30"/>
  <c r="B14" i="31"/>
  <c r="B17" i="20"/>
  <c r="R1" i="33"/>
  <c r="B17" i="39"/>
  <c r="B17" i="19"/>
  <c r="B16" i="33"/>
  <c r="B14" i="21"/>
  <c r="B15" i="41"/>
  <c r="B16" i="24"/>
  <c r="B17" i="30"/>
  <c r="B17" i="23"/>
  <c r="B17" i="14"/>
  <c r="D128" i="43" l="1"/>
  <c r="D18" i="43"/>
  <c r="D57" i="43"/>
  <c r="D43" i="43"/>
  <c r="D93" i="43"/>
  <c r="D37" i="43"/>
  <c r="D58" i="43"/>
  <c r="D50" i="43"/>
  <c r="D85" i="43"/>
  <c r="D39" i="43"/>
  <c r="D123" i="43"/>
  <c r="D94" i="43"/>
  <c r="D38" i="43"/>
  <c r="D34" i="43"/>
  <c r="D55" i="43"/>
  <c r="D104" i="43"/>
  <c r="D86" i="43"/>
  <c r="D40" i="43"/>
  <c r="D124" i="43"/>
  <c r="D91" i="43"/>
  <c r="D118" i="43"/>
  <c r="D35" i="43"/>
  <c r="D31" i="43"/>
  <c r="D17" i="43"/>
  <c r="D122" i="43"/>
  <c r="D114" i="43"/>
  <c r="D41" i="43"/>
  <c r="D125" i="43"/>
  <c r="D7" i="43"/>
  <c r="D62" i="43"/>
  <c r="D14" i="43"/>
  <c r="D119" i="43"/>
  <c r="D54" i="43"/>
  <c r="D42" i="43"/>
  <c r="D90" i="43"/>
  <c r="D8" i="43"/>
  <c r="D61" i="43"/>
  <c r="D117" i="43"/>
  <c r="D120" i="43"/>
  <c r="D51" i="43"/>
  <c r="D56" i="43"/>
  <c r="D83" i="43"/>
  <c r="D80" i="43"/>
  <c r="D126" i="43"/>
  <c r="D115" i="43"/>
  <c r="D46" i="43"/>
  <c r="D52" i="43"/>
  <c r="D84" i="43"/>
  <c r="D44" i="43"/>
  <c r="D81" i="43"/>
  <c r="D130" i="43"/>
  <c r="D95" i="43"/>
  <c r="D9" i="43"/>
  <c r="D59" i="43"/>
  <c r="D82" i="43"/>
  <c r="D127" i="43"/>
  <c r="D74" i="43"/>
  <c r="D98" i="43"/>
  <c r="D97" i="43"/>
  <c r="D10" i="43"/>
  <c r="D60" i="43"/>
  <c r="D4" i="43"/>
  <c r="D53" i="43"/>
  <c r="D48" i="43"/>
  <c r="D32" i="43"/>
  <c r="D113" i="43"/>
  <c r="D103" i="43"/>
  <c r="D73" i="43"/>
  <c r="D12" i="43"/>
  <c r="D71" i="43"/>
  <c r="D33" i="43"/>
  <c r="D15" i="43"/>
  <c r="D106" i="43"/>
  <c r="D111" i="43"/>
  <c r="D79" i="43"/>
  <c r="D92" i="43"/>
  <c r="D36" i="43"/>
  <c r="D49" i="43"/>
  <c r="D129" i="43"/>
  <c r="D16" i="43"/>
  <c r="D121" i="43"/>
  <c r="D112" i="43"/>
  <c r="B28" i="43"/>
  <c r="A28" i="43"/>
  <c r="B68" i="43"/>
  <c r="A68" i="43"/>
  <c r="A65" i="43"/>
  <c r="B65" i="43"/>
  <c r="A5" i="43"/>
  <c r="B5" i="43"/>
  <c r="A45" i="43"/>
  <c r="B45" i="43"/>
  <c r="A3" i="43"/>
  <c r="B3" i="43"/>
  <c r="A77" i="43"/>
  <c r="B77" i="43"/>
  <c r="B70" i="43"/>
  <c r="A70" i="43"/>
  <c r="B64" i="43"/>
  <c r="A64" i="43"/>
  <c r="A13" i="43"/>
  <c r="B13" i="43"/>
  <c r="B4" i="45"/>
  <c r="B66" i="43"/>
  <c r="A66" i="43"/>
  <c r="B76" i="43"/>
  <c r="A76" i="43"/>
  <c r="A29" i="43"/>
  <c r="B29" i="43"/>
  <c r="A69" i="43"/>
  <c r="B69" i="43"/>
  <c r="A87" i="43"/>
  <c r="B87" i="43"/>
  <c r="B30" i="43"/>
  <c r="A30" i="43"/>
  <c r="A89" i="43"/>
  <c r="B89" i="43"/>
  <c r="B78" i="43"/>
  <c r="A78" i="43"/>
  <c r="A75" i="43"/>
  <c r="B75" i="43"/>
  <c r="B6" i="43"/>
  <c r="A6" i="43"/>
  <c r="B22" i="43"/>
  <c r="A22" i="43"/>
  <c r="A23" i="43"/>
  <c r="B23" i="43"/>
  <c r="A11" i="43"/>
  <c r="B11" i="43"/>
  <c r="A27" i="43"/>
  <c r="B27" i="43"/>
  <c r="B116" i="43"/>
  <c r="A116" i="43"/>
  <c r="B24" i="43"/>
  <c r="A24" i="43"/>
  <c r="B110" i="43"/>
  <c r="A110" i="43"/>
  <c r="A19" i="43"/>
  <c r="B19" i="43"/>
  <c r="B72" i="43"/>
  <c r="A72" i="43"/>
  <c r="A105" i="43"/>
  <c r="B105" i="43"/>
  <c r="B88" i="43"/>
  <c r="A88" i="43"/>
  <c r="A107" i="43"/>
  <c r="B107" i="43"/>
  <c r="B20" i="43"/>
  <c r="A20" i="43"/>
  <c r="A25" i="43"/>
  <c r="B25" i="43"/>
  <c r="A47" i="43"/>
  <c r="B47" i="43"/>
  <c r="A21" i="43"/>
  <c r="B21" i="43"/>
  <c r="A67" i="43"/>
  <c r="B67" i="43"/>
  <c r="A63" i="43"/>
  <c r="B63" i="43"/>
  <c r="A109" i="43"/>
  <c r="B109" i="43"/>
  <c r="B108" i="43"/>
  <c r="A108" i="43"/>
  <c r="B26" i="43"/>
  <c r="A26" i="43"/>
  <c r="B96" i="43"/>
  <c r="A96" i="43"/>
  <c r="B14" i="35"/>
  <c r="B17" i="35"/>
  <c r="R1" i="12"/>
  <c r="B16" i="35"/>
  <c r="B15" i="35"/>
  <c r="D102" i="43" l="1"/>
  <c r="D99" i="43"/>
  <c r="D100" i="43"/>
  <c r="D101" i="43"/>
  <c r="E10" i="12"/>
  <c r="Q7" i="12"/>
  <c r="M10" i="12"/>
  <c r="U9" i="12"/>
  <c r="I10" i="12"/>
  <c r="M9" i="12"/>
  <c r="U8" i="12"/>
  <c r="E8" i="12"/>
  <c r="Q8" i="12"/>
  <c r="I8" i="12"/>
  <c r="E7" i="12"/>
  <c r="I9" i="12"/>
  <c r="E9" i="12"/>
  <c r="U6" i="12"/>
  <c r="U7" i="12"/>
  <c r="Q10" i="12"/>
  <c r="M6" i="12"/>
  <c r="M7" i="12"/>
  <c r="Q6" i="12"/>
  <c r="I6" i="12"/>
  <c r="B16" i="43"/>
  <c r="A16" i="43"/>
  <c r="A15" i="43"/>
  <c r="B15" i="43"/>
  <c r="B48" i="43"/>
  <c r="A48" i="43"/>
  <c r="A127" i="43"/>
  <c r="B127" i="43"/>
  <c r="B84" i="43"/>
  <c r="A84" i="43"/>
  <c r="A51" i="43"/>
  <c r="B51" i="43"/>
  <c r="A119" i="43"/>
  <c r="B119" i="43"/>
  <c r="A17" i="43"/>
  <c r="B17" i="43"/>
  <c r="B104" i="43"/>
  <c r="A104" i="43"/>
  <c r="B50" i="43"/>
  <c r="A50" i="43"/>
  <c r="A129" i="43"/>
  <c r="B129" i="43"/>
  <c r="A33" i="43"/>
  <c r="B33" i="43"/>
  <c r="A53" i="43"/>
  <c r="B53" i="43"/>
  <c r="B82" i="43"/>
  <c r="A82" i="43"/>
  <c r="B52" i="43"/>
  <c r="A52" i="43"/>
  <c r="B120" i="43"/>
  <c r="A120" i="43"/>
  <c r="B14" i="43"/>
  <c r="A14" i="43"/>
  <c r="A31" i="43"/>
  <c r="B31" i="43"/>
  <c r="A55" i="43"/>
  <c r="B55" i="43"/>
  <c r="B58" i="43"/>
  <c r="A58" i="43"/>
  <c r="A49" i="43"/>
  <c r="B49" i="43"/>
  <c r="A71" i="43"/>
  <c r="B71" i="43"/>
  <c r="B4" i="43"/>
  <c r="A4" i="43"/>
  <c r="A59" i="43"/>
  <c r="B59" i="43"/>
  <c r="B46" i="43"/>
  <c r="A46" i="43"/>
  <c r="A117" i="43"/>
  <c r="B117" i="43"/>
  <c r="B62" i="43"/>
  <c r="A62" i="43"/>
  <c r="A35" i="43"/>
  <c r="B35" i="43"/>
  <c r="B34" i="43"/>
  <c r="A34" i="43"/>
  <c r="A37" i="43"/>
  <c r="B37" i="43"/>
  <c r="B36" i="43"/>
  <c r="A36" i="43"/>
  <c r="B12" i="43"/>
  <c r="A12" i="43"/>
  <c r="B60" i="43"/>
  <c r="A60" i="43"/>
  <c r="A9" i="43"/>
  <c r="B9" i="43"/>
  <c r="A115" i="43"/>
  <c r="B115" i="43"/>
  <c r="A61" i="43"/>
  <c r="B61" i="43"/>
  <c r="A7" i="43"/>
  <c r="B7" i="43"/>
  <c r="B118" i="43"/>
  <c r="A118" i="43"/>
  <c r="B38" i="43"/>
  <c r="A38" i="43"/>
  <c r="A93" i="43"/>
  <c r="B93" i="43"/>
  <c r="B92" i="43"/>
  <c r="A92" i="43"/>
  <c r="A73" i="43"/>
  <c r="B73" i="43"/>
  <c r="B10" i="43"/>
  <c r="A10" i="43"/>
  <c r="A95" i="43"/>
  <c r="B95" i="43"/>
  <c r="B126" i="43"/>
  <c r="A126" i="43"/>
  <c r="B8" i="43"/>
  <c r="A8" i="43"/>
  <c r="A125" i="43"/>
  <c r="B125" i="43"/>
  <c r="A91" i="43"/>
  <c r="B91" i="43"/>
  <c r="B94" i="43"/>
  <c r="A94" i="43"/>
  <c r="A43" i="43"/>
  <c r="B43" i="43"/>
  <c r="D3" i="44"/>
  <c r="B3" i="44" s="1"/>
  <c r="D4" i="46" s="1"/>
  <c r="A79" i="43"/>
  <c r="B79" i="43"/>
  <c r="A103" i="43"/>
  <c r="B103" i="43"/>
  <c r="A97" i="43"/>
  <c r="B97" i="43"/>
  <c r="B130" i="43"/>
  <c r="A130" i="43"/>
  <c r="B80" i="43"/>
  <c r="A80" i="43"/>
  <c r="B90" i="43"/>
  <c r="A90" i="43"/>
  <c r="A41" i="43"/>
  <c r="B41" i="43"/>
  <c r="B124" i="43"/>
  <c r="A124" i="43"/>
  <c r="A123" i="43"/>
  <c r="B123" i="43"/>
  <c r="A57" i="43"/>
  <c r="B57" i="43"/>
  <c r="B112" i="43"/>
  <c r="A112" i="43"/>
  <c r="A111" i="43"/>
  <c r="B111" i="43"/>
  <c r="A113" i="43"/>
  <c r="B113" i="43"/>
  <c r="B98" i="43"/>
  <c r="A98" i="43"/>
  <c r="A81" i="43"/>
  <c r="B81" i="43"/>
  <c r="A83" i="43"/>
  <c r="B83" i="43"/>
  <c r="B42" i="43"/>
  <c r="A42" i="43"/>
  <c r="B114" i="43"/>
  <c r="A114" i="43"/>
  <c r="B40" i="43"/>
  <c r="A40" i="43"/>
  <c r="A39" i="43"/>
  <c r="B39" i="43"/>
  <c r="B18" i="43"/>
  <c r="A18" i="43"/>
  <c r="B5" i="45"/>
  <c r="A121" i="43"/>
  <c r="B121" i="43"/>
  <c r="B106" i="43"/>
  <c r="A106" i="43"/>
  <c r="B32" i="43"/>
  <c r="A32" i="43"/>
  <c r="B74" i="43"/>
  <c r="A74" i="43"/>
  <c r="B44" i="43"/>
  <c r="A44" i="43"/>
  <c r="B56" i="43"/>
  <c r="A56" i="43"/>
  <c r="B54" i="43"/>
  <c r="A54" i="43"/>
  <c r="B122" i="43"/>
  <c r="A122" i="43"/>
  <c r="B86" i="43"/>
  <c r="A86" i="43"/>
  <c r="A85" i="43"/>
  <c r="B85" i="43"/>
  <c r="B128" i="43"/>
  <c r="A128" i="43"/>
  <c r="S1" i="12"/>
  <c r="D16" i="44" l="1"/>
  <c r="B16" i="44" s="1"/>
  <c r="D52" i="46" s="1"/>
  <c r="E51" i="46" s="1"/>
  <c r="D15" i="44"/>
  <c r="B15" i="44" s="1"/>
  <c r="D81" i="46" s="1"/>
  <c r="D17" i="44"/>
  <c r="B17" i="44" s="1"/>
  <c r="D17" i="46" s="1"/>
  <c r="G20" i="54" s="1"/>
  <c r="D46" i="44"/>
  <c r="D65" i="44"/>
  <c r="D4" i="44"/>
  <c r="B4" i="44" s="1"/>
  <c r="D129" i="46" s="1"/>
  <c r="D57" i="44"/>
  <c r="D66" i="44"/>
  <c r="D6" i="44"/>
  <c r="B6" i="44" s="1"/>
  <c r="D65" i="46" s="1"/>
  <c r="H63" i="46" s="1"/>
  <c r="E3" i="46"/>
  <c r="H6" i="46"/>
  <c r="G3" i="54"/>
  <c r="D9" i="44"/>
  <c r="B9" i="44" s="1"/>
  <c r="D100" i="46" s="1"/>
  <c r="D28" i="44"/>
  <c r="D37" i="44"/>
  <c r="D42" i="44"/>
  <c r="D32" i="44"/>
  <c r="D33" i="44"/>
  <c r="D43" i="44"/>
  <c r="D18" i="44"/>
  <c r="B18" i="44" s="1"/>
  <c r="D116" i="46" s="1"/>
  <c r="D11" i="44"/>
  <c r="B11" i="44" s="1"/>
  <c r="D113" i="46" s="1"/>
  <c r="D8" i="44"/>
  <c r="B8" i="44" s="1"/>
  <c r="D97" i="46" s="1"/>
  <c r="D20" i="44"/>
  <c r="D26" i="44"/>
  <c r="D44" i="44"/>
  <c r="D59" i="44"/>
  <c r="D64" i="44"/>
  <c r="D27" i="44"/>
  <c r="D19" i="44"/>
  <c r="D45" i="44"/>
  <c r="D34" i="44"/>
  <c r="C4" i="45"/>
  <c r="D36" i="44"/>
  <c r="D23" i="44"/>
  <c r="D47" i="44"/>
  <c r="D49" i="44"/>
  <c r="D56" i="44"/>
  <c r="D41" i="44"/>
  <c r="D48" i="44"/>
  <c r="H54" i="46"/>
  <c r="E15" i="46"/>
  <c r="H15" i="46"/>
  <c r="D54" i="44"/>
  <c r="D10" i="44"/>
  <c r="B10" i="44" s="1"/>
  <c r="D33" i="46" s="1"/>
  <c r="D35" i="44"/>
  <c r="D53" i="44"/>
  <c r="D12" i="44"/>
  <c r="B12" i="44" s="1"/>
  <c r="D20" i="46" s="1"/>
  <c r="E79" i="46"/>
  <c r="H79" i="46"/>
  <c r="D30" i="44"/>
  <c r="D52" i="44"/>
  <c r="D24" i="44"/>
  <c r="D21" i="44"/>
  <c r="D38" i="44"/>
  <c r="D60" i="44"/>
  <c r="D31" i="44"/>
  <c r="E63" i="46"/>
  <c r="D25" i="44"/>
  <c r="D63" i="44"/>
  <c r="D55" i="44"/>
  <c r="D13" i="44"/>
  <c r="B13" i="44" s="1"/>
  <c r="D49" i="46" s="1"/>
  <c r="A101" i="43"/>
  <c r="B101" i="43"/>
  <c r="D62" i="44"/>
  <c r="D50" i="44"/>
  <c r="D58" i="44"/>
  <c r="D61" i="44"/>
  <c r="D22" i="44"/>
  <c r="D7" i="44"/>
  <c r="B7" i="44" s="1"/>
  <c r="D36" i="46" s="1"/>
  <c r="D14" i="44"/>
  <c r="B14" i="44" s="1"/>
  <c r="D84" i="46" s="1"/>
  <c r="D39" i="44"/>
  <c r="D51" i="44"/>
  <c r="B100" i="43"/>
  <c r="A100" i="43"/>
  <c r="A99" i="43"/>
  <c r="B99" i="43"/>
  <c r="D40" i="44"/>
  <c r="H127" i="46"/>
  <c r="E127" i="46"/>
  <c r="D5" i="44"/>
  <c r="B5" i="44" s="1"/>
  <c r="D68" i="46" s="1"/>
  <c r="D29" i="44"/>
  <c r="B102" i="43"/>
  <c r="A102" i="43"/>
  <c r="R1" i="13"/>
  <c r="G176" i="54" l="1"/>
  <c r="Q7" i="13"/>
  <c r="E8" i="13"/>
  <c r="Q8" i="13"/>
  <c r="I8" i="13"/>
  <c r="E7" i="13"/>
  <c r="U6" i="13"/>
  <c r="U7" i="13"/>
  <c r="M6" i="13"/>
  <c r="M7" i="13"/>
  <c r="Q6" i="13"/>
  <c r="I9" i="13"/>
  <c r="E9" i="13"/>
  <c r="I6" i="13"/>
  <c r="Q10" i="13"/>
  <c r="E10" i="13"/>
  <c r="M10" i="13"/>
  <c r="U9" i="13"/>
  <c r="I10" i="13"/>
  <c r="M9" i="13"/>
  <c r="U8" i="13"/>
  <c r="H31" i="46"/>
  <c r="E31" i="46"/>
  <c r="E67" i="46"/>
  <c r="H70" i="46"/>
  <c r="BG15" i="44"/>
  <c r="D41" i="47" s="1"/>
  <c r="L75" i="46"/>
  <c r="BI15" i="44" s="1"/>
  <c r="I77" i="46"/>
  <c r="G144" i="54"/>
  <c r="G142" i="54"/>
  <c r="G170" i="54"/>
  <c r="G169" i="54"/>
  <c r="G148" i="54"/>
  <c r="G187" i="54"/>
  <c r="G154" i="54"/>
  <c r="G36" i="54"/>
  <c r="G67" i="54"/>
  <c r="G180" i="54"/>
  <c r="G156" i="54"/>
  <c r="G132" i="54"/>
  <c r="G24" i="54"/>
  <c r="G157" i="54"/>
  <c r="G131" i="54"/>
  <c r="G49" i="54"/>
  <c r="G87" i="54"/>
  <c r="G129" i="54"/>
  <c r="G109" i="54"/>
  <c r="G145" i="54"/>
  <c r="G119" i="54"/>
  <c r="G88" i="54"/>
  <c r="G141" i="54"/>
  <c r="G59" i="54"/>
  <c r="L58" i="46"/>
  <c r="I53" i="46"/>
  <c r="BG16" i="44"/>
  <c r="D28" i="47" s="1"/>
  <c r="G80" i="54"/>
  <c r="G78" i="54"/>
  <c r="G121" i="54"/>
  <c r="G163" i="54"/>
  <c r="G84" i="54"/>
  <c r="G123" i="54"/>
  <c r="G105" i="54"/>
  <c r="G149" i="54"/>
  <c r="G114" i="54"/>
  <c r="G171" i="54"/>
  <c r="G86" i="54"/>
  <c r="G65" i="54"/>
  <c r="G172" i="54"/>
  <c r="G138" i="54"/>
  <c r="G4" i="54"/>
  <c r="G108" i="54"/>
  <c r="G37" i="54"/>
  <c r="G183" i="54"/>
  <c r="G43" i="54"/>
  <c r="G118" i="54"/>
  <c r="G40" i="54"/>
  <c r="G122" i="54"/>
  <c r="H22" i="46"/>
  <c r="E19" i="46"/>
  <c r="C5" i="45"/>
  <c r="G17" i="54"/>
  <c r="G139" i="54"/>
  <c r="G6" i="54"/>
  <c r="G82" i="54"/>
  <c r="G135" i="54"/>
  <c r="G61" i="54"/>
  <c r="G99" i="54"/>
  <c r="G130" i="54"/>
  <c r="G112" i="54"/>
  <c r="G90" i="54"/>
  <c r="G11" i="54"/>
  <c r="G189" i="54"/>
  <c r="G166" i="54"/>
  <c r="G92" i="54"/>
  <c r="G62" i="54"/>
  <c r="G39" i="54"/>
  <c r="G150" i="54"/>
  <c r="G124" i="54"/>
  <c r="G22" i="54"/>
  <c r="G186" i="54"/>
  <c r="G162" i="54"/>
  <c r="G161" i="54"/>
  <c r="G71" i="54"/>
  <c r="G185" i="54"/>
  <c r="H47" i="46"/>
  <c r="E47" i="46"/>
  <c r="G147" i="54"/>
  <c r="G5" i="54"/>
  <c r="G115" i="54"/>
  <c r="G42" i="54"/>
  <c r="G73" i="54"/>
  <c r="G181" i="54"/>
  <c r="G79" i="54"/>
  <c r="G30" i="54"/>
  <c r="G23" i="54"/>
  <c r="G75" i="54"/>
  <c r="G125" i="54"/>
  <c r="G101" i="54"/>
  <c r="G12" i="54"/>
  <c r="G106" i="54"/>
  <c r="G173" i="54"/>
  <c r="G72" i="54"/>
  <c r="G57" i="54"/>
  <c r="G97" i="54"/>
  <c r="G76" i="54"/>
  <c r="G113" i="54"/>
  <c r="G151" i="54"/>
  <c r="G13" i="54"/>
  <c r="G179" i="54"/>
  <c r="H38" i="46"/>
  <c r="E35" i="46"/>
  <c r="H95" i="46"/>
  <c r="E95" i="46"/>
  <c r="G136" i="54"/>
  <c r="G28" i="54"/>
  <c r="G104" i="54"/>
  <c r="G91" i="54"/>
  <c r="G29" i="54"/>
  <c r="G103" i="54"/>
  <c r="G164" i="54"/>
  <c r="G33" i="54"/>
  <c r="G60" i="54"/>
  <c r="G46" i="54"/>
  <c r="G137" i="54"/>
  <c r="G55" i="54"/>
  <c r="G95" i="54"/>
  <c r="G143" i="54"/>
  <c r="G188" i="54"/>
  <c r="G21" i="54"/>
  <c r="G128" i="54"/>
  <c r="G51" i="54"/>
  <c r="G94" i="54"/>
  <c r="G178" i="54"/>
  <c r="G174" i="54"/>
  <c r="G89" i="54"/>
  <c r="G18" i="54"/>
  <c r="G53" i="54"/>
  <c r="H111" i="46"/>
  <c r="E111" i="46"/>
  <c r="H102" i="46"/>
  <c r="E99" i="46"/>
  <c r="G85" i="54"/>
  <c r="G68" i="54"/>
  <c r="G52" i="54"/>
  <c r="G31" i="54"/>
  <c r="G56" i="54"/>
  <c r="G110" i="54"/>
  <c r="G155" i="54"/>
  <c r="G64" i="54"/>
  <c r="G54" i="54"/>
  <c r="G165" i="54"/>
  <c r="G184" i="54"/>
  <c r="G41" i="54"/>
  <c r="G100" i="54"/>
  <c r="G81" i="54"/>
  <c r="G182" i="54"/>
  <c r="G34" i="54"/>
  <c r="G77" i="54"/>
  <c r="G168" i="54"/>
  <c r="G8" i="54"/>
  <c r="G50" i="54"/>
  <c r="G44" i="54"/>
  <c r="G66" i="54"/>
  <c r="G70" i="54"/>
  <c r="G98" i="54"/>
  <c r="H86" i="46"/>
  <c r="E83" i="46"/>
  <c r="H118" i="46"/>
  <c r="E115" i="46"/>
  <c r="G102" i="54"/>
  <c r="G194" i="54"/>
  <c r="G193" i="54"/>
  <c r="G160" i="54"/>
  <c r="G14" i="54"/>
  <c r="G133" i="54"/>
  <c r="G45" i="54"/>
  <c r="G74" i="54"/>
  <c r="G7" i="54"/>
  <c r="G117" i="54"/>
  <c r="G146" i="54"/>
  <c r="G191" i="54"/>
  <c r="G175" i="54"/>
  <c r="G16" i="54"/>
  <c r="G192" i="54"/>
  <c r="G111" i="54"/>
  <c r="G159" i="54"/>
  <c r="G140" i="54"/>
  <c r="G27" i="54"/>
  <c r="G83" i="54"/>
  <c r="G26" i="54"/>
  <c r="G167" i="54"/>
  <c r="G9" i="54"/>
  <c r="G69" i="54"/>
  <c r="I5" i="46"/>
  <c r="L10" i="46"/>
  <c r="BG3" i="44"/>
  <c r="D4" i="47" s="1"/>
  <c r="BG4" i="44"/>
  <c r="D65" i="47" s="1"/>
  <c r="L123" i="46"/>
  <c r="BI4" i="44" s="1"/>
  <c r="I125" i="46"/>
  <c r="BG6" i="44"/>
  <c r="D33" i="47" s="1"/>
  <c r="L59" i="46"/>
  <c r="BI6" i="44" s="1"/>
  <c r="I61" i="46"/>
  <c r="BG17" i="44"/>
  <c r="D9" i="47" s="1"/>
  <c r="L11" i="46"/>
  <c r="BI17" i="44" s="1"/>
  <c r="I13" i="46"/>
  <c r="G35" i="54"/>
  <c r="G10" i="54"/>
  <c r="G48" i="54"/>
  <c r="G96" i="54"/>
  <c r="G153" i="54"/>
  <c r="G63" i="54"/>
  <c r="G38" i="54"/>
  <c r="G19" i="54"/>
  <c r="G134" i="54"/>
  <c r="G47" i="54"/>
  <c r="G93" i="54"/>
  <c r="G127" i="54"/>
  <c r="G107" i="54"/>
  <c r="G15" i="54"/>
  <c r="G58" i="54"/>
  <c r="G116" i="54"/>
  <c r="G158" i="54"/>
  <c r="G120" i="54"/>
  <c r="G177" i="54"/>
  <c r="G25" i="54"/>
  <c r="G190" i="54"/>
  <c r="G152" i="54"/>
  <c r="G32" i="54"/>
  <c r="G126" i="54"/>
  <c r="S1" i="13"/>
  <c r="E63" i="47" l="1"/>
  <c r="H63" i="47"/>
  <c r="AT4" i="44" s="1"/>
  <c r="D33" i="48" s="1"/>
  <c r="BG13" i="44"/>
  <c r="D25" i="47" s="1"/>
  <c r="L43" i="46"/>
  <c r="BI13" i="44" s="1"/>
  <c r="I45" i="46"/>
  <c r="I69" i="46"/>
  <c r="L74" i="46"/>
  <c r="BG5" i="44"/>
  <c r="D36" i="47" s="1"/>
  <c r="I101" i="46"/>
  <c r="L106" i="46"/>
  <c r="BG9" i="44"/>
  <c r="D52" i="47" s="1"/>
  <c r="D4" i="45"/>
  <c r="H6" i="47"/>
  <c r="E3" i="47"/>
  <c r="H3" i="54"/>
  <c r="H20" i="54"/>
  <c r="E7" i="47"/>
  <c r="H7" i="47"/>
  <c r="AT17" i="44" s="1"/>
  <c r="D5" i="48" s="1"/>
  <c r="P18" i="46"/>
  <c r="M9" i="46"/>
  <c r="BI3" i="44"/>
  <c r="E27" i="47"/>
  <c r="H30" i="47"/>
  <c r="BG11" i="44"/>
  <c r="D57" i="47" s="1"/>
  <c r="I109" i="46"/>
  <c r="L107" i="46"/>
  <c r="BI11" i="44" s="1"/>
  <c r="I21" i="46"/>
  <c r="L26" i="46"/>
  <c r="BG12" i="44"/>
  <c r="D12" i="47" s="1"/>
  <c r="BG10" i="44"/>
  <c r="D17" i="47" s="1"/>
  <c r="I29" i="46"/>
  <c r="L27" i="46"/>
  <c r="BI10" i="44" s="1"/>
  <c r="M57" i="46"/>
  <c r="P51" i="46"/>
  <c r="BK6" i="44" s="1"/>
  <c r="BI16" i="44"/>
  <c r="L122" i="46"/>
  <c r="I117" i="46"/>
  <c r="BG18" i="44"/>
  <c r="D60" i="47" s="1"/>
  <c r="BG8" i="44"/>
  <c r="D49" i="47" s="1"/>
  <c r="L91" i="46"/>
  <c r="BI8" i="44" s="1"/>
  <c r="I93" i="46"/>
  <c r="H31" i="47"/>
  <c r="AT6" i="44" s="1"/>
  <c r="D17" i="48" s="1"/>
  <c r="E31" i="47"/>
  <c r="I85" i="46"/>
  <c r="L90" i="46"/>
  <c r="BG14" i="44"/>
  <c r="D44" i="47" s="1"/>
  <c r="L42" i="46"/>
  <c r="I37" i="46"/>
  <c r="BG7" i="44"/>
  <c r="D20" i="47" s="1"/>
  <c r="E39" i="47"/>
  <c r="H39" i="47"/>
  <c r="AT15" i="44" s="1"/>
  <c r="D21" i="48" s="1"/>
  <c r="R1" i="14"/>
  <c r="H190" i="54" l="1"/>
  <c r="H98" i="54"/>
  <c r="Y10" i="14"/>
  <c r="E11" i="14"/>
  <c r="E10" i="14"/>
  <c r="Q11" i="14"/>
  <c r="Q7" i="14"/>
  <c r="Y8" i="14"/>
  <c r="I10" i="14"/>
  <c r="U6" i="14"/>
  <c r="I11" i="14"/>
  <c r="Y7" i="14"/>
  <c r="Q8" i="14"/>
  <c r="M9" i="14"/>
  <c r="U7" i="14"/>
  <c r="U8" i="14"/>
  <c r="M11" i="14"/>
  <c r="E8" i="14"/>
  <c r="M6" i="14"/>
  <c r="Y6" i="14"/>
  <c r="U11" i="14"/>
  <c r="Y9" i="14"/>
  <c r="M7" i="14"/>
  <c r="Q10" i="14"/>
  <c r="U9" i="14"/>
  <c r="I8" i="14"/>
  <c r="E7" i="14"/>
  <c r="I9" i="14"/>
  <c r="E9" i="14"/>
  <c r="Q6" i="14"/>
  <c r="M10" i="14"/>
  <c r="I6" i="14"/>
  <c r="M25" i="46"/>
  <c r="P19" i="46"/>
  <c r="BK10" i="44" s="1"/>
  <c r="BI12" i="44"/>
  <c r="BK3" i="44"/>
  <c r="H70" i="54"/>
  <c r="H178" i="54"/>
  <c r="H29" i="54"/>
  <c r="H45" i="54"/>
  <c r="H143" i="54"/>
  <c r="H120" i="54"/>
  <c r="H174" i="54"/>
  <c r="H194" i="54"/>
  <c r="H68" i="54"/>
  <c r="H52" i="54"/>
  <c r="H31" i="54"/>
  <c r="H56" i="54"/>
  <c r="H160" i="54"/>
  <c r="H161" i="54"/>
  <c r="H33" i="54"/>
  <c r="H60" i="54"/>
  <c r="H90" i="54"/>
  <c r="H148" i="54"/>
  <c r="H125" i="54"/>
  <c r="H169" i="54"/>
  <c r="H12" i="54"/>
  <c r="H62" i="54"/>
  <c r="H21" i="54"/>
  <c r="H72" i="54"/>
  <c r="H51" i="54"/>
  <c r="H165" i="54"/>
  <c r="H76" i="54"/>
  <c r="H175" i="54"/>
  <c r="E35" i="47"/>
  <c r="H38" i="47"/>
  <c r="M89" i="46"/>
  <c r="P83" i="46"/>
  <c r="BK8" i="44" s="1"/>
  <c r="BI14" i="44"/>
  <c r="M121" i="46"/>
  <c r="P115" i="46"/>
  <c r="BK4" i="44" s="1"/>
  <c r="BI18" i="44"/>
  <c r="H89" i="54"/>
  <c r="H28" i="54"/>
  <c r="H66" i="54"/>
  <c r="H85" i="54"/>
  <c r="H91" i="54"/>
  <c r="H22" i="47"/>
  <c r="E19" i="47"/>
  <c r="H9" i="54"/>
  <c r="H69" i="54"/>
  <c r="H173" i="54"/>
  <c r="H10" i="54"/>
  <c r="H193" i="54"/>
  <c r="H177" i="54"/>
  <c r="H14" i="54"/>
  <c r="H133" i="54"/>
  <c r="H38" i="54"/>
  <c r="H144" i="54"/>
  <c r="H64" i="54"/>
  <c r="H185" i="54"/>
  <c r="H23" i="54"/>
  <c r="H142" i="54"/>
  <c r="H119" i="54"/>
  <c r="H163" i="54"/>
  <c r="H149" i="54"/>
  <c r="H187" i="54"/>
  <c r="H34" i="54"/>
  <c r="H128" i="54"/>
  <c r="H27" i="54"/>
  <c r="H97" i="54"/>
  <c r="H50" i="54"/>
  <c r="H116" i="54"/>
  <c r="M73" i="46"/>
  <c r="P82" i="46"/>
  <c r="BI5" i="44"/>
  <c r="E55" i="47"/>
  <c r="H55" i="47"/>
  <c r="AT11" i="44" s="1"/>
  <c r="D29" i="48" s="1"/>
  <c r="H88" i="54"/>
  <c r="H32" i="54"/>
  <c r="H126" i="54"/>
  <c r="H35" i="54"/>
  <c r="H145" i="54"/>
  <c r="H176" i="54"/>
  <c r="H107" i="54"/>
  <c r="H151" i="54"/>
  <c r="H63" i="54"/>
  <c r="H167" i="54"/>
  <c r="H74" i="54"/>
  <c r="H141" i="54"/>
  <c r="H54" i="54"/>
  <c r="H46" i="54"/>
  <c r="H75" i="54"/>
  <c r="H55" i="54"/>
  <c r="H95" i="54"/>
  <c r="H81" i="54"/>
  <c r="H112" i="54"/>
  <c r="H155" i="54"/>
  <c r="H77" i="54"/>
  <c r="H39" i="54"/>
  <c r="H94" i="54"/>
  <c r="H191" i="54"/>
  <c r="H47" i="47"/>
  <c r="AT8" i="44" s="1"/>
  <c r="D25" i="48" s="1"/>
  <c r="E47" i="47"/>
  <c r="L27" i="47"/>
  <c r="AV6" i="44" s="1"/>
  <c r="I29" i="47"/>
  <c r="AT16" i="44"/>
  <c r="D16" i="48" s="1"/>
  <c r="H40" i="54"/>
  <c r="H122" i="54"/>
  <c r="H59" i="54"/>
  <c r="H159" i="54"/>
  <c r="H78" i="54"/>
  <c r="H48" i="54"/>
  <c r="H96" i="54"/>
  <c r="H84" i="54"/>
  <c r="H123" i="54"/>
  <c r="H108" i="54"/>
  <c r="H19" i="54"/>
  <c r="H7" i="54"/>
  <c r="H179" i="54"/>
  <c r="H146" i="54"/>
  <c r="H137" i="54"/>
  <c r="H41" i="54"/>
  <c r="H164" i="54"/>
  <c r="H192" i="54"/>
  <c r="H188" i="54"/>
  <c r="H138" i="54"/>
  <c r="H129" i="54"/>
  <c r="H171" i="54"/>
  <c r="H8" i="54"/>
  <c r="H26" i="54"/>
  <c r="L10" i="47"/>
  <c r="I5" i="47"/>
  <c r="AT3" i="44"/>
  <c r="D4" i="48" s="1"/>
  <c r="H62" i="47"/>
  <c r="E59" i="47"/>
  <c r="H15" i="47"/>
  <c r="AT10" i="44" s="1"/>
  <c r="D9" i="48" s="1"/>
  <c r="E15" i="47"/>
  <c r="H158" i="54"/>
  <c r="H71" i="54"/>
  <c r="H117" i="54"/>
  <c r="H80" i="54"/>
  <c r="H139" i="54"/>
  <c r="H183" i="54"/>
  <c r="H152" i="54"/>
  <c r="H135" i="54"/>
  <c r="H61" i="54"/>
  <c r="H102" i="54"/>
  <c r="H36" i="54"/>
  <c r="H134" i="54"/>
  <c r="H104" i="54"/>
  <c r="H93" i="54"/>
  <c r="H184" i="54"/>
  <c r="H113" i="54"/>
  <c r="H100" i="54"/>
  <c r="H58" i="54"/>
  <c r="H182" i="54"/>
  <c r="H87" i="54"/>
  <c r="H124" i="54"/>
  <c r="H43" i="54"/>
  <c r="H83" i="54"/>
  <c r="D5" i="45"/>
  <c r="P50" i="46"/>
  <c r="M41" i="46"/>
  <c r="BI7" i="44"/>
  <c r="E11" i="47"/>
  <c r="H14" i="47"/>
  <c r="H157" i="54"/>
  <c r="H13" i="54"/>
  <c r="H53" i="54"/>
  <c r="H17" i="54"/>
  <c r="H5" i="54"/>
  <c r="H6" i="54"/>
  <c r="H82" i="54"/>
  <c r="H140" i="54"/>
  <c r="H111" i="54"/>
  <c r="H99" i="54"/>
  <c r="H147" i="54"/>
  <c r="H67" i="54"/>
  <c r="H47" i="54"/>
  <c r="H153" i="54"/>
  <c r="H127" i="54"/>
  <c r="H110" i="54"/>
  <c r="H16" i="54"/>
  <c r="H131" i="54"/>
  <c r="H181" i="54"/>
  <c r="H37" i="54"/>
  <c r="H121" i="54"/>
  <c r="H172" i="54"/>
  <c r="H25" i="54"/>
  <c r="H189" i="54"/>
  <c r="E51" i="47"/>
  <c r="H54" i="47"/>
  <c r="E23" i="47"/>
  <c r="H23" i="47"/>
  <c r="AT13" i="44" s="1"/>
  <c r="D13" i="48" s="1"/>
  <c r="H118" i="54"/>
  <c r="H42" i="54"/>
  <c r="H73" i="54"/>
  <c r="H44" i="54"/>
  <c r="H101" i="54"/>
  <c r="H130" i="54"/>
  <c r="H170" i="54"/>
  <c r="H180" i="54"/>
  <c r="H86" i="54"/>
  <c r="H132" i="54"/>
  <c r="H154" i="54"/>
  <c r="H15" i="54"/>
  <c r="H114" i="54"/>
  <c r="H49" i="54"/>
  <c r="H156" i="54"/>
  <c r="H57" i="54"/>
  <c r="H166" i="54"/>
  <c r="H106" i="54"/>
  <c r="P114" i="46"/>
  <c r="M105" i="46"/>
  <c r="BI9" i="44"/>
  <c r="E43" i="47"/>
  <c r="H46" i="47"/>
  <c r="H18" i="54"/>
  <c r="H136" i="54"/>
  <c r="H105" i="54"/>
  <c r="H162" i="54"/>
  <c r="H79" i="54"/>
  <c r="H30" i="54"/>
  <c r="H109" i="54"/>
  <c r="H11" i="54"/>
  <c r="H65" i="54"/>
  <c r="H24" i="54"/>
  <c r="H92" i="54"/>
  <c r="H4" i="54"/>
  <c r="H103" i="54"/>
  <c r="H150" i="54"/>
  <c r="H115" i="54"/>
  <c r="H22" i="54"/>
  <c r="H186" i="54"/>
  <c r="H168" i="54"/>
  <c r="S1" i="14"/>
  <c r="T34" i="46" l="1"/>
  <c r="Q17" i="46"/>
  <c r="I53" i="47"/>
  <c r="L58" i="47"/>
  <c r="AT9" i="44"/>
  <c r="D28" i="48" s="1"/>
  <c r="I21" i="47"/>
  <c r="L26" i="47"/>
  <c r="AT7" i="44"/>
  <c r="D12" i="48" s="1"/>
  <c r="I45" i="47"/>
  <c r="L43" i="47"/>
  <c r="AV8" i="44" s="1"/>
  <c r="AT14" i="44"/>
  <c r="D24" i="48" s="1"/>
  <c r="E4" i="45"/>
  <c r="I13" i="47"/>
  <c r="L11" i="47"/>
  <c r="AV10" i="44" s="1"/>
  <c r="AT12" i="44"/>
  <c r="D8" i="48" s="1"/>
  <c r="I61" i="47"/>
  <c r="L59" i="47"/>
  <c r="AV4" i="44" s="1"/>
  <c r="AT18" i="44"/>
  <c r="D32" i="48" s="1"/>
  <c r="Q113" i="46"/>
  <c r="T99" i="46"/>
  <c r="BM4" i="44" s="1"/>
  <c r="BK9" i="44"/>
  <c r="D4" i="49"/>
  <c r="H6" i="48"/>
  <c r="I20" i="54"/>
  <c r="I3" i="54"/>
  <c r="M9" i="47"/>
  <c r="AV3" i="44"/>
  <c r="L42" i="47"/>
  <c r="I37" i="47"/>
  <c r="AT5" i="44"/>
  <c r="D20" i="48" s="1"/>
  <c r="BM3" i="44"/>
  <c r="Q49" i="46"/>
  <c r="T35" i="46"/>
  <c r="BM6" i="44" s="1"/>
  <c r="BK7" i="44"/>
  <c r="D9" i="49"/>
  <c r="H15" i="48"/>
  <c r="AI6" i="44" s="1"/>
  <c r="D9" i="50" s="1"/>
  <c r="Q81" i="46"/>
  <c r="T98" i="46"/>
  <c r="BK5" i="44"/>
  <c r="R1" i="15"/>
  <c r="I131" i="54" l="1"/>
  <c r="I173" i="54"/>
  <c r="P18" i="47"/>
  <c r="I82" i="54"/>
  <c r="I33" i="54"/>
  <c r="I88" i="54"/>
  <c r="I94" i="54"/>
  <c r="I100" i="54"/>
  <c r="I98" i="54"/>
  <c r="I105" i="54"/>
  <c r="I107" i="54"/>
  <c r="I181" i="54"/>
  <c r="I17" i="54"/>
  <c r="I91" i="54"/>
  <c r="I138" i="54"/>
  <c r="I119" i="54"/>
  <c r="I157" i="54"/>
  <c r="I66" i="54"/>
  <c r="I186" i="54"/>
  <c r="I142" i="54"/>
  <c r="I194" i="54"/>
  <c r="I135" i="54"/>
  <c r="I184" i="54"/>
  <c r="I83" i="54"/>
  <c r="I21" i="54"/>
  <c r="I50" i="54"/>
  <c r="I70" i="54"/>
  <c r="I78" i="54"/>
  <c r="I73" i="54"/>
  <c r="I154" i="54"/>
  <c r="I4" i="54"/>
  <c r="I178" i="54"/>
  <c r="I117" i="54"/>
  <c r="I124" i="54"/>
  <c r="I36" i="54"/>
  <c r="I14" i="54"/>
  <c r="I69" i="54"/>
  <c r="I116" i="54"/>
  <c r="I193" i="54"/>
  <c r="I24" i="54"/>
  <c r="I115" i="54"/>
  <c r="I118" i="54"/>
  <c r="I60" i="54"/>
  <c r="U33" i="46"/>
  <c r="I166" i="54"/>
  <c r="I189" i="54"/>
  <c r="I71" i="54"/>
  <c r="I35" i="54"/>
  <c r="I52" i="54"/>
  <c r="I161" i="54"/>
  <c r="I41" i="54"/>
  <c r="I87" i="54"/>
  <c r="I132" i="54"/>
  <c r="I16" i="54"/>
  <c r="I168" i="54"/>
  <c r="I13" i="54"/>
  <c r="I80" i="54"/>
  <c r="I171" i="54"/>
  <c r="I10" i="54"/>
  <c r="I38" i="54"/>
  <c r="X66" i="46"/>
  <c r="X106" i="46"/>
  <c r="M11" i="15"/>
  <c r="U6" i="15"/>
  <c r="U7" i="15"/>
  <c r="Y6" i="15"/>
  <c r="Q10" i="15"/>
  <c r="M6" i="15"/>
  <c r="M7" i="15"/>
  <c r="Q6" i="15"/>
  <c r="E9" i="15"/>
  <c r="U11" i="15"/>
  <c r="Y10" i="15"/>
  <c r="I6" i="15"/>
  <c r="Y7" i="15"/>
  <c r="I11" i="15"/>
  <c r="E11" i="15"/>
  <c r="E10" i="15"/>
  <c r="Q11" i="15"/>
  <c r="Q7" i="15"/>
  <c r="M10" i="15"/>
  <c r="U9" i="15"/>
  <c r="I10" i="15"/>
  <c r="M9" i="15"/>
  <c r="U8" i="15"/>
  <c r="Y8" i="15"/>
  <c r="E8" i="15"/>
  <c r="Y9" i="15"/>
  <c r="Q8" i="15"/>
  <c r="I8" i="15"/>
  <c r="E7" i="15"/>
  <c r="I9" i="15"/>
  <c r="E5" i="45"/>
  <c r="I176" i="54"/>
  <c r="I96" i="54"/>
  <c r="I151" i="54"/>
  <c r="I56" i="54"/>
  <c r="I45" i="54"/>
  <c r="I74" i="54"/>
  <c r="I64" i="54"/>
  <c r="I6" i="54"/>
  <c r="I23" i="54"/>
  <c r="I86" i="54"/>
  <c r="I65" i="54"/>
  <c r="I163" i="54"/>
  <c r="I130" i="54"/>
  <c r="I62" i="54"/>
  <c r="I110" i="54"/>
  <c r="I156" i="54"/>
  <c r="I51" i="54"/>
  <c r="H31" i="48"/>
  <c r="AI4" i="44" s="1"/>
  <c r="D17" i="50" s="1"/>
  <c r="D17" i="49"/>
  <c r="AX3" i="44"/>
  <c r="I12" i="54"/>
  <c r="I191" i="54"/>
  <c r="I103" i="54"/>
  <c r="I9" i="54"/>
  <c r="I59" i="54"/>
  <c r="I22" i="54"/>
  <c r="I145" i="54"/>
  <c r="I183" i="54"/>
  <c r="I44" i="54"/>
  <c r="I84" i="54"/>
  <c r="I133" i="54"/>
  <c r="I160" i="54"/>
  <c r="I19" i="54"/>
  <c r="I7" i="54"/>
  <c r="I54" i="54"/>
  <c r="I101" i="54"/>
  <c r="I11" i="54"/>
  <c r="I125" i="54"/>
  <c r="I81" i="54"/>
  <c r="I187" i="54"/>
  <c r="I39" i="54"/>
  <c r="I150" i="54"/>
  <c r="I27" i="54"/>
  <c r="I32" i="54"/>
  <c r="I63" i="54"/>
  <c r="I167" i="54"/>
  <c r="I147" i="54"/>
  <c r="I28" i="54"/>
  <c r="I179" i="54"/>
  <c r="I146" i="54"/>
  <c r="I143" i="54"/>
  <c r="I55" i="54"/>
  <c r="I95" i="54"/>
  <c r="I192" i="54"/>
  <c r="I112" i="54"/>
  <c r="I109" i="54"/>
  <c r="I72" i="54"/>
  <c r="I113" i="54"/>
  <c r="H14" i="48"/>
  <c r="D8" i="49"/>
  <c r="BO3" i="44"/>
  <c r="BO6" i="44"/>
  <c r="I25" i="54"/>
  <c r="I190" i="54"/>
  <c r="I34" i="54"/>
  <c r="I128" i="54"/>
  <c r="I121" i="54"/>
  <c r="I159" i="54"/>
  <c r="I5" i="54"/>
  <c r="I162" i="54"/>
  <c r="I152" i="54"/>
  <c r="I122" i="54"/>
  <c r="I126" i="54"/>
  <c r="I108" i="54"/>
  <c r="I136" i="54"/>
  <c r="I67" i="54"/>
  <c r="I104" i="54"/>
  <c r="I42" i="54"/>
  <c r="I148" i="54"/>
  <c r="I164" i="54"/>
  <c r="I58" i="54"/>
  <c r="I30" i="54"/>
  <c r="I46" i="54"/>
  <c r="I77" i="54"/>
  <c r="AI3" i="44"/>
  <c r="D4" i="50" s="1"/>
  <c r="D5" i="49"/>
  <c r="H22" i="49" s="1"/>
  <c r="H7" i="48"/>
  <c r="AI10" i="44" s="1"/>
  <c r="D5" i="50" s="1"/>
  <c r="M25" i="47"/>
  <c r="P19" i="47"/>
  <c r="AX6" i="44" s="1"/>
  <c r="AV7" i="44"/>
  <c r="I123" i="54"/>
  <c r="I102" i="54"/>
  <c r="I48" i="54"/>
  <c r="I47" i="54"/>
  <c r="I75" i="54"/>
  <c r="I111" i="54"/>
  <c r="I15" i="54"/>
  <c r="I140" i="54"/>
  <c r="I188" i="54"/>
  <c r="X107" i="46"/>
  <c r="BO5" i="44" s="1"/>
  <c r="X67" i="46"/>
  <c r="BO4" i="44" s="1"/>
  <c r="U97" i="46"/>
  <c r="BM5" i="44"/>
  <c r="H22" i="48"/>
  <c r="D12" i="49"/>
  <c r="I165" i="54"/>
  <c r="I141" i="54"/>
  <c r="I106" i="54"/>
  <c r="I158" i="54"/>
  <c r="I53" i="54"/>
  <c r="I8" i="54"/>
  <c r="I68" i="54"/>
  <c r="I177" i="54"/>
  <c r="I40" i="54"/>
  <c r="I18" i="54"/>
  <c r="I61" i="54"/>
  <c r="I99" i="54"/>
  <c r="I79" i="54"/>
  <c r="I170" i="54"/>
  <c r="I180" i="54"/>
  <c r="I93" i="54"/>
  <c r="I137" i="54"/>
  <c r="I92" i="54"/>
  <c r="I134" i="54"/>
  <c r="I182" i="54"/>
  <c r="I155" i="54"/>
  <c r="I129" i="54"/>
  <c r="H30" i="48"/>
  <c r="D16" i="49"/>
  <c r="P51" i="47"/>
  <c r="AX4" i="44" s="1"/>
  <c r="M57" i="47"/>
  <c r="AV9" i="44"/>
  <c r="M41" i="47"/>
  <c r="P50" i="47"/>
  <c r="AV5" i="44"/>
  <c r="I97" i="54"/>
  <c r="I76" i="54"/>
  <c r="I175" i="54"/>
  <c r="I89" i="54"/>
  <c r="I120" i="54"/>
  <c r="I174" i="54"/>
  <c r="I85" i="54"/>
  <c r="I26" i="54"/>
  <c r="I172" i="54"/>
  <c r="I31" i="54"/>
  <c r="I29" i="54"/>
  <c r="I43" i="54"/>
  <c r="I144" i="54"/>
  <c r="I139" i="54"/>
  <c r="I185" i="54"/>
  <c r="I90" i="54"/>
  <c r="I153" i="54"/>
  <c r="I127" i="54"/>
  <c r="I169" i="54"/>
  <c r="I149" i="54"/>
  <c r="I114" i="54"/>
  <c r="I49" i="54"/>
  <c r="I37" i="54"/>
  <c r="I57" i="54"/>
  <c r="H23" i="48"/>
  <c r="AI8" i="44" s="1"/>
  <c r="D13" i="50" s="1"/>
  <c r="D13" i="49"/>
  <c r="S1" i="15"/>
  <c r="H6" i="49" l="1"/>
  <c r="L10" i="48"/>
  <c r="Y105" i="46"/>
  <c r="H31" i="49"/>
  <c r="H15" i="49"/>
  <c r="H30" i="49"/>
  <c r="H14" i="49"/>
  <c r="I5" i="48"/>
  <c r="L27" i="48"/>
  <c r="AK4" i="44" s="1"/>
  <c r="AI9" i="44"/>
  <c r="D16" i="50" s="1"/>
  <c r="L26" i="48"/>
  <c r="AI5" i="44"/>
  <c r="D12" i="50" s="1"/>
  <c r="J130" i="54" s="1"/>
  <c r="Y65" i="46"/>
  <c r="F4" i="45"/>
  <c r="H7" i="49"/>
  <c r="L10" i="49" s="1"/>
  <c r="H23" i="49"/>
  <c r="L34" i="49" s="1"/>
  <c r="P34" i="49" s="1"/>
  <c r="AE18" i="44" s="1"/>
  <c r="I18" i="44" s="1"/>
  <c r="B16" i="53" s="1"/>
  <c r="L11" i="48"/>
  <c r="AK6" i="44" s="1"/>
  <c r="I13" i="48"/>
  <c r="AI7" i="44"/>
  <c r="D8" i="50" s="1"/>
  <c r="T34" i="47"/>
  <c r="Q49" i="47"/>
  <c r="T35" i="47"/>
  <c r="AZ4" i="44" s="1"/>
  <c r="T57" i="47"/>
  <c r="AX5" i="44"/>
  <c r="T56" i="47"/>
  <c r="D4" i="51"/>
  <c r="H6" i="50"/>
  <c r="J177" i="54"/>
  <c r="J58" i="54"/>
  <c r="J20" i="54"/>
  <c r="J55" i="54"/>
  <c r="J125" i="54"/>
  <c r="J93" i="54"/>
  <c r="J157" i="54"/>
  <c r="J14" i="54"/>
  <c r="J175" i="54"/>
  <c r="J60" i="54"/>
  <c r="J48" i="54"/>
  <c r="J193" i="54"/>
  <c r="J139" i="54"/>
  <c r="J79" i="54"/>
  <c r="J10" i="54"/>
  <c r="J136" i="54"/>
  <c r="J108" i="54"/>
  <c r="J160" i="54"/>
  <c r="J45" i="54"/>
  <c r="J61" i="54"/>
  <c r="J189" i="54"/>
  <c r="J63" i="54"/>
  <c r="J191" i="54"/>
  <c r="J29" i="54"/>
  <c r="J73" i="54"/>
  <c r="J18" i="54"/>
  <c r="J91" i="54"/>
  <c r="J155" i="54"/>
  <c r="J40" i="54"/>
  <c r="J82" i="54"/>
  <c r="J105" i="54"/>
  <c r="J44" i="54"/>
  <c r="J176" i="54"/>
  <c r="J26" i="54"/>
  <c r="J68" i="54"/>
  <c r="J178" i="54"/>
  <c r="J194" i="54"/>
  <c r="J85" i="54"/>
  <c r="J8" i="54"/>
  <c r="J80" i="54"/>
  <c r="J22" i="54"/>
  <c r="J169" i="54"/>
  <c r="J174" i="54"/>
  <c r="J98" i="54"/>
  <c r="J124" i="54"/>
  <c r="J59" i="54"/>
  <c r="J187" i="54"/>
  <c r="J69" i="54"/>
  <c r="J120" i="54"/>
  <c r="J70" i="54"/>
  <c r="J142" i="54"/>
  <c r="J9" i="54"/>
  <c r="J148" i="54"/>
  <c r="J66" i="54"/>
  <c r="J150" i="54"/>
  <c r="J89" i="54"/>
  <c r="J100" i="54"/>
  <c r="J34" i="54"/>
  <c r="J88" i="54"/>
  <c r="J103" i="54"/>
  <c r="J116" i="54"/>
  <c r="J168" i="54"/>
  <c r="J4" i="54"/>
  <c r="J50" i="54"/>
  <c r="J76" i="54"/>
  <c r="J186" i="54"/>
  <c r="J141" i="54"/>
  <c r="J3" i="54"/>
  <c r="J147" i="54"/>
  <c r="J12" i="54"/>
  <c r="J138" i="54"/>
  <c r="J144" i="54"/>
  <c r="J94" i="54"/>
  <c r="J97" i="54"/>
  <c r="J166" i="54"/>
  <c r="J172" i="54"/>
  <c r="J43" i="54"/>
  <c r="J167" i="54"/>
  <c r="J24" i="54"/>
  <c r="J39" i="54"/>
  <c r="J51" i="54"/>
  <c r="J179" i="54"/>
  <c r="J57" i="54"/>
  <c r="J185" i="54"/>
  <c r="J119" i="54"/>
  <c r="J129" i="54"/>
  <c r="J77" i="54"/>
  <c r="J72" i="54"/>
  <c r="J156" i="54"/>
  <c r="J37" i="54"/>
  <c r="J87" i="54"/>
  <c r="J151" i="54"/>
  <c r="J146" i="54"/>
  <c r="J152" i="54"/>
  <c r="J46" i="54"/>
  <c r="Q17" i="47"/>
  <c r="L26" i="49"/>
  <c r="P27" i="49" s="1"/>
  <c r="AE15" i="44" s="1"/>
  <c r="I15" i="44" s="1"/>
  <c r="B15" i="53" s="1"/>
  <c r="M9" i="48"/>
  <c r="P32" i="48"/>
  <c r="P18" i="48"/>
  <c r="AK3" i="44"/>
  <c r="R1" i="16"/>
  <c r="J19" i="54" l="1"/>
  <c r="J170" i="54"/>
  <c r="J184" i="54"/>
  <c r="J140" i="54"/>
  <c r="J131" i="54"/>
  <c r="J104" i="54"/>
  <c r="J183" i="54"/>
  <c r="J188" i="54"/>
  <c r="J135" i="54"/>
  <c r="J171" i="54"/>
  <c r="J33" i="54"/>
  <c r="J90" i="54"/>
  <c r="J154" i="54"/>
  <c r="J164" i="54"/>
  <c r="J182" i="54"/>
  <c r="J86" i="54"/>
  <c r="J38" i="54"/>
  <c r="J134" i="54"/>
  <c r="J65" i="54"/>
  <c r="J15" i="54"/>
  <c r="J49" i="54"/>
  <c r="J30" i="54"/>
  <c r="J27" i="54"/>
  <c r="J16" i="54"/>
  <c r="J83" i="54"/>
  <c r="J190" i="54"/>
  <c r="J158" i="54"/>
  <c r="J128" i="54"/>
  <c r="J181" i="54"/>
  <c r="J17" i="54"/>
  <c r="J118" i="54"/>
  <c r="J32" i="54"/>
  <c r="J126" i="54"/>
  <c r="J102" i="54"/>
  <c r="J28" i="54"/>
  <c r="J47" i="54"/>
  <c r="J11" i="54"/>
  <c r="J107" i="54"/>
  <c r="J92" i="54"/>
  <c r="J114" i="54"/>
  <c r="J21" i="54"/>
  <c r="J132" i="54"/>
  <c r="J113" i="54"/>
  <c r="J161" i="54"/>
  <c r="J25" i="54"/>
  <c r="J106" i="54"/>
  <c r="J153" i="54"/>
  <c r="J13" i="54"/>
  <c r="J53" i="54"/>
  <c r="J149" i="54"/>
  <c r="J162" i="54"/>
  <c r="J122" i="54"/>
  <c r="J123" i="54"/>
  <c r="J99" i="54"/>
  <c r="J67" i="54"/>
  <c r="J180" i="54"/>
  <c r="J143" i="54"/>
  <c r="J110" i="54"/>
  <c r="J36" i="54"/>
  <c r="J62" i="54"/>
  <c r="J23" i="54"/>
  <c r="J127" i="54"/>
  <c r="J173" i="54"/>
  <c r="J145" i="54"/>
  <c r="U11" i="16"/>
  <c r="Y10" i="16"/>
  <c r="I6" i="16"/>
  <c r="M11" i="16"/>
  <c r="U6" i="16"/>
  <c r="E11" i="16"/>
  <c r="E10" i="16"/>
  <c r="Q11" i="16"/>
  <c r="M6" i="16"/>
  <c r="I10" i="16"/>
  <c r="E9" i="16"/>
  <c r="M9" i="16"/>
  <c r="U8" i="16"/>
  <c r="I11" i="16"/>
  <c r="I8" i="16"/>
  <c r="E8" i="16"/>
  <c r="Y9" i="16"/>
  <c r="M10" i="16"/>
  <c r="Q8" i="16"/>
  <c r="E7" i="16"/>
  <c r="I9" i="16"/>
  <c r="U9" i="16"/>
  <c r="U7" i="16"/>
  <c r="Y7" i="16"/>
  <c r="Y6" i="16"/>
  <c r="Y8" i="16"/>
  <c r="M7" i="16"/>
  <c r="Q7" i="16"/>
  <c r="Q10" i="16"/>
  <c r="Q6" i="16"/>
  <c r="P10" i="49"/>
  <c r="AE12" i="44" s="1"/>
  <c r="I12" i="44" s="1"/>
  <c r="B10" i="53" s="1"/>
  <c r="AM3" i="44"/>
  <c r="J71" i="54"/>
  <c r="J121" i="54"/>
  <c r="J163" i="54"/>
  <c r="J78" i="54"/>
  <c r="J52" i="54"/>
  <c r="J31" i="54"/>
  <c r="J56" i="54"/>
  <c r="J117" i="54"/>
  <c r="J165" i="54"/>
  <c r="J64" i="54"/>
  <c r="J6" i="54"/>
  <c r="J101" i="54"/>
  <c r="J75" i="54"/>
  <c r="J41" i="54"/>
  <c r="J159" i="54"/>
  <c r="J81" i="54"/>
  <c r="J112" i="54"/>
  <c r="L18" i="49"/>
  <c r="P19" i="49" s="1"/>
  <c r="AE13" i="44" s="1"/>
  <c r="I13" i="44" s="1"/>
  <c r="B13" i="53" s="1"/>
  <c r="D5" i="51"/>
  <c r="H12" i="51" s="1"/>
  <c r="L13" i="51" s="1"/>
  <c r="S10" i="44" s="1"/>
  <c r="I10" i="44" s="1"/>
  <c r="B9" i="53" s="1"/>
  <c r="H7" i="50"/>
  <c r="W6" i="44" s="1"/>
  <c r="D5" i="52" s="1"/>
  <c r="M25" i="48"/>
  <c r="P33" i="48"/>
  <c r="AM5" i="44" s="1"/>
  <c r="P19" i="48"/>
  <c r="AM4" i="44" s="1"/>
  <c r="AK5" i="44"/>
  <c r="W3" i="44"/>
  <c r="D4" i="52" s="1"/>
  <c r="AM6" i="44"/>
  <c r="J115" i="54"/>
  <c r="J35" i="54"/>
  <c r="J5" i="54"/>
  <c r="J96" i="54"/>
  <c r="J84" i="54"/>
  <c r="J133" i="54"/>
  <c r="J109" i="54"/>
  <c r="J74" i="54"/>
  <c r="J7" i="54"/>
  <c r="J54" i="54"/>
  <c r="J42" i="54"/>
  <c r="J137" i="54"/>
  <c r="J111" i="54"/>
  <c r="J95" i="54"/>
  <c r="J192" i="54"/>
  <c r="D9" i="51"/>
  <c r="H15" i="50"/>
  <c r="W4" i="44" s="1"/>
  <c r="D9" i="52" s="1"/>
  <c r="U55" i="47"/>
  <c r="AZ6" i="44"/>
  <c r="AZ5" i="44"/>
  <c r="X57" i="47"/>
  <c r="BD6" i="44" s="1"/>
  <c r="L19" i="49"/>
  <c r="P18" i="49" s="1"/>
  <c r="AE14" i="44" s="1"/>
  <c r="I14" i="44" s="1"/>
  <c r="B12" i="53" s="1"/>
  <c r="L11" i="49"/>
  <c r="P11" i="49" s="1"/>
  <c r="AE11" i="44" s="1"/>
  <c r="I11" i="44" s="1"/>
  <c r="B11" i="53" s="1"/>
  <c r="F5" i="45"/>
  <c r="L27" i="49"/>
  <c r="P26" i="49" s="1"/>
  <c r="AE16" i="44" s="1"/>
  <c r="I16" i="44" s="1"/>
  <c r="B14" i="53" s="1"/>
  <c r="L35" i="49"/>
  <c r="P35" i="49" s="1"/>
  <c r="AE17" i="44" s="1"/>
  <c r="I17" i="44" s="1"/>
  <c r="B17" i="53" s="1"/>
  <c r="U33" i="47"/>
  <c r="AZ3" i="44"/>
  <c r="H14" i="50"/>
  <c r="D8" i="51"/>
  <c r="S1" i="16"/>
  <c r="Q31" i="48" l="1"/>
  <c r="M9" i="49"/>
  <c r="H16" i="52"/>
  <c r="H6" i="52"/>
  <c r="E3" i="52"/>
  <c r="K3" i="54"/>
  <c r="K38" i="54"/>
  <c r="L20" i="50"/>
  <c r="H13" i="51"/>
  <c r="L12" i="51" s="1"/>
  <c r="S9" i="44" s="1"/>
  <c r="I9" i="44" s="1"/>
  <c r="B8" i="53" s="1"/>
  <c r="H7" i="51"/>
  <c r="L7" i="51" s="1"/>
  <c r="S8" i="44" s="1"/>
  <c r="I8" i="44" s="1"/>
  <c r="B7" i="53" s="1"/>
  <c r="G4" i="45"/>
  <c r="L10" i="50"/>
  <c r="L21" i="50"/>
  <c r="L11" i="50"/>
  <c r="W5" i="44"/>
  <c r="D8" i="52" s="1"/>
  <c r="K111" i="54" s="1"/>
  <c r="H6" i="51"/>
  <c r="L6" i="51" s="1"/>
  <c r="S7" i="44" s="1"/>
  <c r="I7" i="44" s="1"/>
  <c r="B6" i="53" s="1"/>
  <c r="Q17" i="48"/>
  <c r="R1" i="17"/>
  <c r="K54" i="54" l="1"/>
  <c r="K9" i="54"/>
  <c r="K169" i="54"/>
  <c r="K161" i="54"/>
  <c r="K147" i="54"/>
  <c r="K96" i="54"/>
  <c r="K143" i="54"/>
  <c r="K37" i="54"/>
  <c r="K168" i="54"/>
  <c r="K95" i="54"/>
  <c r="K159" i="54"/>
  <c r="K64" i="54"/>
  <c r="K140" i="54"/>
  <c r="K164" i="54"/>
  <c r="K109" i="54"/>
  <c r="K194" i="54"/>
  <c r="K86" i="54"/>
  <c r="K189" i="54"/>
  <c r="K114" i="54"/>
  <c r="K59" i="54"/>
  <c r="K167" i="54"/>
  <c r="K112" i="54"/>
  <c r="K57" i="54"/>
  <c r="K35" i="54"/>
  <c r="K48" i="54"/>
  <c r="K91" i="54"/>
  <c r="K125" i="54"/>
  <c r="K36" i="54"/>
  <c r="K90" i="54"/>
  <c r="K130" i="54"/>
  <c r="K21" i="54"/>
  <c r="K62" i="54"/>
  <c r="K73" i="54"/>
  <c r="K132" i="54"/>
  <c r="K78" i="54"/>
  <c r="U6" i="17"/>
  <c r="U7" i="17"/>
  <c r="Y6" i="17"/>
  <c r="Q10" i="17"/>
  <c r="E10" i="17"/>
  <c r="M11" i="17"/>
  <c r="I9" i="17"/>
  <c r="M6" i="17"/>
  <c r="M7" i="17"/>
  <c r="Q6" i="17"/>
  <c r="Q11" i="17"/>
  <c r="U11" i="17"/>
  <c r="Y10" i="17"/>
  <c r="I6" i="17"/>
  <c r="Y7" i="17"/>
  <c r="I11" i="17"/>
  <c r="Q7" i="17"/>
  <c r="Q8" i="17"/>
  <c r="E11" i="17"/>
  <c r="E7" i="17"/>
  <c r="M10" i="17"/>
  <c r="M9" i="17"/>
  <c r="E9" i="17"/>
  <c r="U9" i="17"/>
  <c r="I10" i="17"/>
  <c r="U8" i="17"/>
  <c r="I8" i="17"/>
  <c r="Y8" i="17"/>
  <c r="E8" i="17"/>
  <c r="Y9" i="17"/>
  <c r="L16" i="52"/>
  <c r="P5" i="44" s="1"/>
  <c r="I5" i="44" s="1"/>
  <c r="B4" i="53" s="1"/>
  <c r="K99" i="54"/>
  <c r="K46" i="54"/>
  <c r="G5" i="45"/>
  <c r="K20" i="54"/>
  <c r="K81" i="54"/>
  <c r="K60" i="54"/>
  <c r="K152" i="54"/>
  <c r="K184" i="54"/>
  <c r="K51" i="54"/>
  <c r="K16" i="54"/>
  <c r="K25" i="54"/>
  <c r="K188" i="54"/>
  <c r="K155" i="54"/>
  <c r="K128" i="54"/>
  <c r="K121" i="54"/>
  <c r="K94" i="54"/>
  <c r="K186" i="54"/>
  <c r="K44" i="54"/>
  <c r="K157" i="54"/>
  <c r="K70" i="54"/>
  <c r="K117" i="54"/>
  <c r="K80" i="54"/>
  <c r="K7" i="54"/>
  <c r="K104" i="54"/>
  <c r="K101" i="54"/>
  <c r="K75" i="54"/>
  <c r="K55" i="54"/>
  <c r="K27" i="54"/>
  <c r="K97" i="54"/>
  <c r="K182" i="54"/>
  <c r="K153" i="54"/>
  <c r="K71" i="54"/>
  <c r="K115" i="54"/>
  <c r="K8" i="54"/>
  <c r="K76" i="54"/>
  <c r="K172" i="54"/>
  <c r="K66" i="54"/>
  <c r="K133" i="54"/>
  <c r="K98" i="54"/>
  <c r="K19" i="54"/>
  <c r="K28" i="54"/>
  <c r="K47" i="54"/>
  <c r="K82" i="54"/>
  <c r="K137" i="54"/>
  <c r="K41" i="54"/>
  <c r="K180" i="54"/>
  <c r="K146" i="54"/>
  <c r="K129" i="54"/>
  <c r="K113" i="54"/>
  <c r="K144" i="54"/>
  <c r="K192" i="54"/>
  <c r="K116" i="54"/>
  <c r="K89" i="54"/>
  <c r="K13" i="54"/>
  <c r="K181" i="54"/>
  <c r="K17" i="54"/>
  <c r="K50" i="54"/>
  <c r="K105" i="54"/>
  <c r="K32" i="54"/>
  <c r="K191" i="54"/>
  <c r="K45" i="54"/>
  <c r="K136" i="54"/>
  <c r="K67" i="54"/>
  <c r="K52" i="54"/>
  <c r="K42" i="54"/>
  <c r="K56" i="54"/>
  <c r="K162" i="54"/>
  <c r="P20" i="50"/>
  <c r="Y6" i="44"/>
  <c r="K15" i="54"/>
  <c r="K134" i="54"/>
  <c r="K49" i="54"/>
  <c r="K151" i="54"/>
  <c r="K170" i="54"/>
  <c r="K160" i="54"/>
  <c r="K138" i="54"/>
  <c r="K141" i="54"/>
  <c r="K154" i="54"/>
  <c r="K150" i="54"/>
  <c r="K120" i="54"/>
  <c r="K53" i="54"/>
  <c r="K156" i="54"/>
  <c r="K26" i="54"/>
  <c r="K166" i="54"/>
  <c r="K122" i="54"/>
  <c r="K63" i="54"/>
  <c r="K173" i="54"/>
  <c r="K10" i="54"/>
  <c r="K68" i="54"/>
  <c r="K177" i="54"/>
  <c r="K14" i="54"/>
  <c r="K178" i="54"/>
  <c r="P21" i="50"/>
  <c r="Y5" i="44"/>
  <c r="H7" i="52"/>
  <c r="E7" i="52"/>
  <c r="H17" i="52"/>
  <c r="L17" i="52" s="1"/>
  <c r="P6" i="44" s="1"/>
  <c r="I6" i="44" s="1"/>
  <c r="B5" i="53" s="1"/>
  <c r="K110" i="54"/>
  <c r="K74" i="54"/>
  <c r="K131" i="54"/>
  <c r="K39" i="54"/>
  <c r="K87" i="54"/>
  <c r="K119" i="54"/>
  <c r="K24" i="54"/>
  <c r="K92" i="54"/>
  <c r="K58" i="54"/>
  <c r="K103" i="54"/>
  <c r="K72" i="54"/>
  <c r="K69" i="54"/>
  <c r="K171" i="54"/>
  <c r="K149" i="54"/>
  <c r="K190" i="54"/>
  <c r="K88" i="54"/>
  <c r="K135" i="54"/>
  <c r="K126" i="54"/>
  <c r="K108" i="54"/>
  <c r="K79" i="54"/>
  <c r="K193" i="54"/>
  <c r="K174" i="54"/>
  <c r="K93" i="54"/>
  <c r="K127" i="54"/>
  <c r="P11" i="50"/>
  <c r="AA4" i="44" s="1"/>
  <c r="Y4" i="44"/>
  <c r="K185" i="54"/>
  <c r="K43" i="54"/>
  <c r="K12" i="54"/>
  <c r="K4" i="54"/>
  <c r="K34" i="54"/>
  <c r="K148" i="54"/>
  <c r="K187" i="54"/>
  <c r="K22" i="54"/>
  <c r="K85" i="54"/>
  <c r="K118" i="54"/>
  <c r="K40" i="54"/>
  <c r="K18" i="54"/>
  <c r="K123" i="54"/>
  <c r="K102" i="54"/>
  <c r="K33" i="54"/>
  <c r="K176" i="54"/>
  <c r="K107" i="54"/>
  <c r="K11" i="54"/>
  <c r="K65" i="54"/>
  <c r="I5" i="52"/>
  <c r="L3" i="44"/>
  <c r="L6" i="52"/>
  <c r="N3" i="44" s="1"/>
  <c r="I3" i="44" s="1"/>
  <c r="B2" i="53" s="1"/>
  <c r="P10" i="50"/>
  <c r="AA3" i="44" s="1"/>
  <c r="Y3" i="44"/>
  <c r="K145" i="54"/>
  <c r="K30" i="54"/>
  <c r="K77" i="54"/>
  <c r="K179" i="54"/>
  <c r="K163" i="54"/>
  <c r="K83" i="54"/>
  <c r="K106" i="54"/>
  <c r="K100" i="54"/>
  <c r="K142" i="54"/>
  <c r="K124" i="54"/>
  <c r="K165" i="54"/>
  <c r="K5" i="54"/>
  <c r="K175" i="54"/>
  <c r="K31" i="54"/>
  <c r="K29" i="54"/>
  <c r="K61" i="54"/>
  <c r="K158" i="54"/>
  <c r="K139" i="54"/>
  <c r="K6" i="54"/>
  <c r="K23" i="54"/>
  <c r="K84" i="54"/>
  <c r="K183" i="54"/>
  <c r="S1" i="17"/>
  <c r="F3" i="54" l="1"/>
  <c r="E3" i="54" s="1"/>
  <c r="AH11" i="6" s="1"/>
  <c r="L4" i="44"/>
  <c r="L7" i="52"/>
  <c r="N4" i="44" s="1"/>
  <c r="I4" i="44" s="1"/>
  <c r="B3" i="53" s="1"/>
  <c r="F52" i="54" s="1"/>
  <c r="I15" i="52"/>
  <c r="AA6" i="44"/>
  <c r="AC6" i="44"/>
  <c r="AA5" i="44"/>
  <c r="AC5" i="44"/>
  <c r="H4" i="45"/>
  <c r="R1" i="18"/>
  <c r="Y9" i="18" l="1"/>
  <c r="M6" i="18"/>
  <c r="M7" i="18"/>
  <c r="Q6" i="18"/>
  <c r="I9" i="18"/>
  <c r="E9" i="18"/>
  <c r="U11" i="18"/>
  <c r="Y10" i="18"/>
  <c r="I6" i="18"/>
  <c r="U8" i="18"/>
  <c r="Q10" i="18"/>
  <c r="I11" i="18"/>
  <c r="E11" i="18"/>
  <c r="E10" i="18"/>
  <c r="M10" i="18"/>
  <c r="M9" i="18"/>
  <c r="Y7" i="18"/>
  <c r="U9" i="18"/>
  <c r="I10" i="18"/>
  <c r="Q11" i="18"/>
  <c r="Q7" i="18"/>
  <c r="Y8" i="18"/>
  <c r="E8" i="18"/>
  <c r="Q8" i="18"/>
  <c r="I8" i="18"/>
  <c r="E7" i="18"/>
  <c r="M11" i="18"/>
  <c r="U6" i="18"/>
  <c r="U7" i="18"/>
  <c r="Y6" i="18"/>
  <c r="F65" i="54"/>
  <c r="F140" i="54"/>
  <c r="F127" i="54"/>
  <c r="F12" i="54"/>
  <c r="E12" i="54" s="1"/>
  <c r="F39" i="54"/>
  <c r="E39" i="54" s="1"/>
  <c r="F187" i="54"/>
  <c r="F22" i="54"/>
  <c r="E22" i="54" s="1"/>
  <c r="H5" i="45"/>
  <c r="F82" i="54"/>
  <c r="F84" i="54"/>
  <c r="F123" i="54"/>
  <c r="F45" i="54"/>
  <c r="E45" i="54" s="1"/>
  <c r="F36" i="54"/>
  <c r="E36" i="54" s="1"/>
  <c r="F134" i="54"/>
  <c r="F180" i="54"/>
  <c r="F161" i="54"/>
  <c r="F132" i="54"/>
  <c r="F107" i="54"/>
  <c r="F83" i="54"/>
  <c r="F188" i="54"/>
  <c r="F154" i="54"/>
  <c r="F150" i="54"/>
  <c r="F59" i="54"/>
  <c r="F94" i="54"/>
  <c r="F186" i="54"/>
  <c r="F44" i="54"/>
  <c r="E44" i="54" s="1"/>
  <c r="F91" i="54"/>
  <c r="F18" i="54"/>
  <c r="E18" i="54" s="1"/>
  <c r="AH26" i="6" s="1"/>
  <c r="F168" i="54"/>
  <c r="F158" i="54"/>
  <c r="F10" i="54"/>
  <c r="E10" i="54" s="1"/>
  <c r="AH18" i="6" s="1"/>
  <c r="F68" i="54"/>
  <c r="F75" i="54"/>
  <c r="F176" i="54"/>
  <c r="F149" i="54"/>
  <c r="F160" i="54"/>
  <c r="F87" i="54"/>
  <c r="F125" i="54"/>
  <c r="F24" i="54"/>
  <c r="E24" i="54" s="1"/>
  <c r="F143" i="54"/>
  <c r="F182" i="54"/>
  <c r="F169" i="54"/>
  <c r="F72" i="54"/>
  <c r="F124" i="54"/>
  <c r="F155" i="54"/>
  <c r="F76" i="54"/>
  <c r="F172" i="54"/>
  <c r="F151" i="54"/>
  <c r="F73" i="54"/>
  <c r="F98" i="54"/>
  <c r="F144" i="54"/>
  <c r="F79" i="54"/>
  <c r="F193" i="54"/>
  <c r="F148" i="54"/>
  <c r="F19" i="54"/>
  <c r="E19" i="54" s="1"/>
  <c r="F146" i="54"/>
  <c r="F159" i="54"/>
  <c r="F38" i="54"/>
  <c r="E38" i="54" s="1"/>
  <c r="AH46" i="6" s="1"/>
  <c r="F114" i="54"/>
  <c r="F42" i="54"/>
  <c r="E42" i="54" s="1"/>
  <c r="AH50" i="6" s="1"/>
  <c r="F135" i="54"/>
  <c r="F183" i="54"/>
  <c r="F105" i="54"/>
  <c r="F130" i="54"/>
  <c r="F112" i="54"/>
  <c r="F90" i="54"/>
  <c r="F86" i="54"/>
  <c r="F170" i="54"/>
  <c r="F16" i="54"/>
  <c r="E16" i="54" s="1"/>
  <c r="F192" i="54"/>
  <c r="F111" i="54"/>
  <c r="F163" i="54"/>
  <c r="F128" i="54"/>
  <c r="F181" i="54"/>
  <c r="F8" i="54"/>
  <c r="E8" i="54" s="1"/>
  <c r="AH16" i="6" s="1"/>
  <c r="F50" i="54"/>
  <c r="F166" i="54"/>
  <c r="F66" i="54"/>
  <c r="F70" i="54"/>
  <c r="F175" i="54"/>
  <c r="F80" i="54"/>
  <c r="F142" i="54"/>
  <c r="F48" i="54"/>
  <c r="F31" i="54"/>
  <c r="E31" i="54" s="1"/>
  <c r="AH39" i="6" s="1"/>
  <c r="F29" i="54"/>
  <c r="E29" i="54" s="1"/>
  <c r="F55" i="54"/>
  <c r="F99" i="54"/>
  <c r="F33" i="54"/>
  <c r="E33" i="54" s="1"/>
  <c r="F30" i="54"/>
  <c r="E30" i="54" s="1"/>
  <c r="AH38" i="6" s="1"/>
  <c r="F167" i="54"/>
  <c r="F11" i="54"/>
  <c r="E11" i="54" s="1"/>
  <c r="F185" i="54"/>
  <c r="F97" i="54"/>
  <c r="F58" i="54"/>
  <c r="F116" i="54"/>
  <c r="F21" i="54"/>
  <c r="E21" i="54" s="1"/>
  <c r="F71" i="54"/>
  <c r="F53" i="54"/>
  <c r="F156" i="54"/>
  <c r="F26" i="54"/>
  <c r="E26" i="54" s="1"/>
  <c r="F152" i="54"/>
  <c r="F9" i="54"/>
  <c r="E9" i="54" s="1"/>
  <c r="F191" i="54"/>
  <c r="F171" i="54"/>
  <c r="F157" i="54"/>
  <c r="F78" i="54"/>
  <c r="F121" i="54"/>
  <c r="F14" i="54"/>
  <c r="E14" i="54" s="1"/>
  <c r="AH22" i="6" s="1"/>
  <c r="F56" i="54"/>
  <c r="F162" i="54"/>
  <c r="F20" i="54"/>
  <c r="E20" i="54" s="1"/>
  <c r="AH28" i="6" s="1"/>
  <c r="F81" i="54"/>
  <c r="F60" i="54"/>
  <c r="F23" i="54"/>
  <c r="E23" i="54" s="1"/>
  <c r="F77" i="54"/>
  <c r="F57" i="54"/>
  <c r="F15" i="54"/>
  <c r="E15" i="54" s="1"/>
  <c r="F131" i="54"/>
  <c r="F49" i="54"/>
  <c r="F34" i="54"/>
  <c r="E34" i="54" s="1"/>
  <c r="F120" i="54"/>
  <c r="F27" i="54"/>
  <c r="E27" i="54" s="1"/>
  <c r="AH35" i="6" s="1"/>
  <c r="F25" i="54"/>
  <c r="E25" i="54" s="1"/>
  <c r="AH33" i="6" s="1"/>
  <c r="F190" i="54"/>
  <c r="F88" i="54"/>
  <c r="F32" i="54"/>
  <c r="E32" i="54" s="1"/>
  <c r="F63" i="54"/>
  <c r="F103" i="54"/>
  <c r="F17" i="54"/>
  <c r="E17" i="54" s="1"/>
  <c r="F139" i="54"/>
  <c r="F6" i="54"/>
  <c r="E6" i="54" s="1"/>
  <c r="AH14" i="6" s="1"/>
  <c r="F93" i="54"/>
  <c r="F133" i="54"/>
  <c r="F177" i="54"/>
  <c r="F95" i="54"/>
  <c r="F64" i="54"/>
  <c r="F54" i="54"/>
  <c r="F46" i="54"/>
  <c r="E46" i="54" s="1"/>
  <c r="F137" i="54"/>
  <c r="F179" i="54"/>
  <c r="F138" i="54"/>
  <c r="F4" i="54"/>
  <c r="E4" i="54" s="1"/>
  <c r="AH12" i="6" s="1"/>
  <c r="F174" i="54"/>
  <c r="F164" i="54"/>
  <c r="F69" i="54"/>
  <c r="F109" i="54"/>
  <c r="F85" i="54"/>
  <c r="F119" i="54"/>
  <c r="F165" i="54"/>
  <c r="F141" i="54"/>
  <c r="F126" i="54"/>
  <c r="F108" i="54"/>
  <c r="F147" i="54"/>
  <c r="F5" i="54"/>
  <c r="E5" i="54" s="1"/>
  <c r="AH13" i="6" s="1"/>
  <c r="F115" i="54"/>
  <c r="F153" i="54"/>
  <c r="F178" i="54"/>
  <c r="F173" i="54"/>
  <c r="F74" i="54"/>
  <c r="F7" i="54"/>
  <c r="E7" i="54" s="1"/>
  <c r="AH15" i="6" s="1"/>
  <c r="F117" i="54"/>
  <c r="F101" i="54"/>
  <c r="F184" i="54"/>
  <c r="F51" i="54"/>
  <c r="F92" i="54"/>
  <c r="F62" i="54"/>
  <c r="F96" i="54"/>
  <c r="F37" i="54"/>
  <c r="E37" i="54" s="1"/>
  <c r="F129" i="54"/>
  <c r="F43" i="54"/>
  <c r="E43" i="54" s="1"/>
  <c r="F145" i="54"/>
  <c r="F118" i="54"/>
  <c r="F40" i="54"/>
  <c r="E40" i="54" s="1"/>
  <c r="AH48" i="6" s="1"/>
  <c r="F122" i="54"/>
  <c r="F189" i="54"/>
  <c r="F102" i="54"/>
  <c r="F136" i="54"/>
  <c r="F28" i="54"/>
  <c r="E28" i="54" s="1"/>
  <c r="AH36" i="6" s="1"/>
  <c r="F104" i="54"/>
  <c r="F110" i="54"/>
  <c r="F47" i="54"/>
  <c r="E47" i="54" s="1"/>
  <c r="F41" i="54"/>
  <c r="E41" i="54" s="1"/>
  <c r="AH49" i="6" s="1"/>
  <c r="F106" i="54"/>
  <c r="F89" i="54"/>
  <c r="A5" i="61"/>
  <c r="AJ11" i="6"/>
  <c r="AI11" i="6"/>
  <c r="AK11" i="6"/>
  <c r="F113" i="54"/>
  <c r="F100" i="54"/>
  <c r="F13" i="54"/>
  <c r="E13" i="54" s="1"/>
  <c r="AH21" i="6" s="1"/>
  <c r="F61" i="54"/>
  <c r="F35" i="54"/>
  <c r="E35" i="54" s="1"/>
  <c r="F194" i="54"/>
  <c r="F67" i="54"/>
  <c r="S1" i="18"/>
  <c r="G5" i="61" l="1"/>
  <c r="H5" i="61"/>
  <c r="I5" i="61"/>
  <c r="A105" i="61"/>
  <c r="AK36" i="6"/>
  <c r="AJ36" i="6"/>
  <c r="AI36" i="6"/>
  <c r="A13" i="61"/>
  <c r="AK13" i="6"/>
  <c r="AJ13" i="6"/>
  <c r="AI13" i="6"/>
  <c r="A101" i="61"/>
  <c r="AK35" i="6"/>
  <c r="AJ35" i="6"/>
  <c r="AI35" i="6"/>
  <c r="A145" i="61"/>
  <c r="AK46" i="6"/>
  <c r="AJ46" i="6"/>
  <c r="AI46" i="6"/>
  <c r="A21" i="61"/>
  <c r="AK15" i="6"/>
  <c r="AJ15" i="6"/>
  <c r="AI15" i="6"/>
  <c r="I4" i="45"/>
  <c r="A113" i="61"/>
  <c r="AK38" i="6"/>
  <c r="AJ38" i="6"/>
  <c r="AI38" i="6"/>
  <c r="A33" i="61"/>
  <c r="AK18" i="6"/>
  <c r="AJ18" i="6"/>
  <c r="AI18" i="6"/>
  <c r="A45" i="61"/>
  <c r="AI21" i="6"/>
  <c r="AK21" i="6"/>
  <c r="AJ21" i="6"/>
  <c r="A73" i="61"/>
  <c r="AK28" i="6"/>
  <c r="AJ28" i="6"/>
  <c r="AI28" i="6"/>
  <c r="A157" i="61"/>
  <c r="AK49" i="6"/>
  <c r="AJ49" i="6"/>
  <c r="AI49" i="6"/>
  <c r="A9" i="61"/>
  <c r="AI12" i="6"/>
  <c r="AK12" i="6"/>
  <c r="AJ12" i="6"/>
  <c r="A153" i="61"/>
  <c r="AI48" i="6"/>
  <c r="AK48" i="6"/>
  <c r="AJ48" i="6"/>
  <c r="A49" i="61"/>
  <c r="AK22" i="6"/>
  <c r="AJ22" i="6"/>
  <c r="AI22" i="6"/>
  <c r="A117" i="61"/>
  <c r="AK39" i="6"/>
  <c r="AJ39" i="6"/>
  <c r="AI39" i="6"/>
  <c r="A161" i="61"/>
  <c r="AK50" i="6"/>
  <c r="AJ50" i="6"/>
  <c r="AI50" i="6"/>
  <c r="A65" i="61"/>
  <c r="AK26" i="6"/>
  <c r="AJ26" i="6"/>
  <c r="AI26" i="6"/>
  <c r="A17" i="61"/>
  <c r="AK14" i="6"/>
  <c r="AI14" i="6"/>
  <c r="AJ14" i="6"/>
  <c r="A93" i="61"/>
  <c r="AK33" i="6"/>
  <c r="AJ33" i="6"/>
  <c r="AI33" i="6"/>
  <c r="A25" i="61"/>
  <c r="AK16" i="6"/>
  <c r="AJ16" i="6"/>
  <c r="AI16" i="6"/>
  <c r="R1" i="19"/>
  <c r="I145" i="61" l="1"/>
  <c r="H145" i="61"/>
  <c r="G145" i="61"/>
  <c r="H13" i="61"/>
  <c r="G13" i="61"/>
  <c r="I13" i="61"/>
  <c r="I25" i="61"/>
  <c r="H25" i="61"/>
  <c r="G25" i="61"/>
  <c r="I17" i="61"/>
  <c r="H17" i="61"/>
  <c r="G17" i="61"/>
  <c r="I161" i="61"/>
  <c r="H161" i="61"/>
  <c r="G161" i="61"/>
  <c r="I49" i="61"/>
  <c r="G49" i="61"/>
  <c r="H49" i="61"/>
  <c r="I9" i="61"/>
  <c r="H9" i="61"/>
  <c r="G9" i="61"/>
  <c r="I73" i="61"/>
  <c r="G73" i="61"/>
  <c r="H73" i="61"/>
  <c r="I33" i="61"/>
  <c r="H33" i="61"/>
  <c r="G33" i="61"/>
  <c r="I21" i="61"/>
  <c r="H21" i="61"/>
  <c r="G21" i="61"/>
  <c r="I101" i="61"/>
  <c r="H101" i="61"/>
  <c r="G101" i="61"/>
  <c r="H105" i="61"/>
  <c r="G105" i="61"/>
  <c r="I105" i="61"/>
  <c r="I93" i="61"/>
  <c r="H93" i="61"/>
  <c r="G93" i="61"/>
  <c r="I65" i="61"/>
  <c r="G65" i="61"/>
  <c r="H65" i="61"/>
  <c r="I117" i="61"/>
  <c r="H117" i="61"/>
  <c r="G117" i="61"/>
  <c r="I153" i="61"/>
  <c r="H153" i="61"/>
  <c r="G153" i="61"/>
  <c r="H157" i="61"/>
  <c r="G157" i="61"/>
  <c r="I157" i="61"/>
  <c r="I45" i="61"/>
  <c r="H45" i="61"/>
  <c r="G45" i="61"/>
  <c r="H113" i="61"/>
  <c r="G113" i="61"/>
  <c r="I113"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5" authorId="0" shapeId="0" xr:uid="{00000000-0006-0000-0000-000001000000}">
      <text>
        <r>
          <rPr>
            <sz val="8"/>
            <color rgb="FF000000"/>
            <rFont val="Comic Sans MS"/>
            <scheme val="minor"/>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3C00-000001000000}">
      <text>
        <r>
          <rPr>
            <sz val="8"/>
            <color rgb="FF000000"/>
            <rFont val="Comic Sans MS"/>
            <scheme val="minor"/>
          </rPr>
          <t>tento údaj určuje pořadí týmu v turnaji - pozor na přesné vyplnění, aby nedošlo k omylům!!!</t>
        </r>
      </text>
    </comment>
    <comment ref="B4" authorId="0" shapeId="0" xr:uid="{00000000-0006-0000-3C00-000002000000}">
      <text>
        <r>
          <rPr>
            <sz val="8"/>
            <color rgb="FF000000"/>
            <rFont val="Comic Sans MS"/>
            <scheme val="minor"/>
          </rPr>
          <t>Číslo hráčské licence / prázdné</t>
        </r>
      </text>
    </comment>
    <comment ref="C4" authorId="0" shapeId="0" xr:uid="{00000000-0006-0000-3C00-000003000000}">
      <text>
        <r>
          <rPr>
            <sz val="8"/>
            <color rgb="FF000000"/>
            <rFont val="Comic Sans MS"/>
            <scheme val="minor"/>
          </rPr>
          <t>Příjmení hráče</t>
        </r>
      </text>
    </comment>
    <comment ref="D4" authorId="0" shapeId="0" xr:uid="{00000000-0006-0000-3C00-000004000000}">
      <text>
        <r>
          <rPr>
            <sz val="8"/>
            <color rgb="FF000000"/>
            <rFont val="Comic Sans MS"/>
            <scheme val="minor"/>
          </rPr>
          <t>Jméno hráče (s případným rozlišením ml., st.)</t>
        </r>
      </text>
    </comment>
    <comment ref="E4" authorId="0" shapeId="0" xr:uid="{00000000-0006-0000-3C00-000005000000}">
      <text>
        <r>
          <rPr>
            <sz val="8"/>
            <color rgb="FF000000"/>
            <rFont val="Comic Sans MS"/>
            <scheme val="minor"/>
          </rPr>
          <t>Název klubu (viz Seznam klubů)</t>
        </r>
      </text>
    </comment>
    <comment ref="F4" authorId="0" shapeId="0" xr:uid="{00000000-0006-0000-3C00-000006000000}">
      <text>
        <r>
          <rPr>
            <sz val="8"/>
            <color rgb="FF000000"/>
            <rFont val="Comic Sans MS"/>
            <scheme val="minor"/>
          </rPr>
          <t>Cizinci se již nesledují</t>
        </r>
      </text>
    </comment>
    <comment ref="G4" authorId="0" shapeId="0" xr:uid="{00000000-0006-0000-3C00-000007000000}">
      <text>
        <r>
          <rPr>
            <sz val="8"/>
            <color rgb="FF000000"/>
            <rFont val="Comic Sans MS"/>
            <scheme val="minor"/>
          </rPr>
          <t xml:space="preserve">Bonus za třídu turnaje </t>
        </r>
      </text>
    </comment>
    <comment ref="H4" authorId="0" shapeId="0" xr:uid="{00000000-0006-0000-3C00-000008000000}">
      <text>
        <r>
          <rPr>
            <sz val="8"/>
            <color rgb="FF000000"/>
            <rFont val="Comic Sans MS"/>
            <scheme val="minor"/>
          </rPr>
          <t>Body za umístění</t>
        </r>
      </text>
    </comment>
    <comment ref="I4" authorId="0" shapeId="0" xr:uid="{00000000-0006-0000-3C00-000009000000}">
      <text>
        <r>
          <rPr>
            <sz val="8"/>
            <color rgb="FF000000"/>
            <rFont val="Comic Sans MS"/>
            <scheme val="minor"/>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00000000-0006-0000-0200-000001000000}">
      <text>
        <r>
          <rPr>
            <sz val="8"/>
            <color rgb="FF000000"/>
            <rFont val="Comic Sans MS"/>
            <scheme val="minor"/>
          </rPr>
          <t>Regiony: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 authorId="0" shapeId="0" xr:uid="{00000000-0006-0000-0500-000001000000}">
      <text>
        <r>
          <rPr>
            <sz val="8"/>
            <color rgb="FF000000"/>
            <rFont val="Comic Sans MS"/>
            <scheme val="minor"/>
          </rPr>
          <t>Je potřeba spočítat spuštěním makra na listu Kvalita turnaje</t>
        </r>
      </text>
    </comment>
    <comment ref="S1" authorId="0" shapeId="0" xr:uid="{00000000-0006-0000-0500-000002000000}">
      <text>
        <r>
          <rPr>
            <sz val="8"/>
            <color rgb="FF000000"/>
            <rFont val="Comic Sans MS"/>
            <scheme val="minor"/>
          </rPr>
          <t>Je potřeba spočítat spuštěním makra na listu Kvalita turnaje</t>
        </r>
      </text>
    </comment>
    <comment ref="M2" authorId="0" shapeId="0" xr:uid="{00000000-0006-0000-0500-000003000000}">
      <text>
        <r>
          <rPr>
            <sz val="8"/>
            <color rgb="FF000000"/>
            <rFont val="Comic Sans MS"/>
            <scheme val="minor"/>
          </rPr>
          <t xml:space="preserve">   - Regional
P - Prestige
S - SuperPrestige
M - MČR
F - finále MČR</t>
        </r>
      </text>
    </comment>
    <comment ref="N2" authorId="0" shapeId="0" xr:uid="{00000000-0006-0000-0500-000004000000}">
      <text>
        <r>
          <rPr>
            <sz val="8"/>
            <color rgb="FF000000"/>
            <rFont val="Comic Sans MS"/>
            <scheme val="minor"/>
          </rPr>
          <t xml:space="preserve">   - Regional
P - Prestige
S - SuperPrestige
M - MČR
F - finále MČR</t>
        </r>
      </text>
    </comment>
    <comment ref="N3" authorId="0" shapeId="0" xr:uid="{00000000-0006-0000-0500-000005000000}">
      <text>
        <r>
          <rPr>
            <sz val="8"/>
            <color rgb="FF000000"/>
            <rFont val="Comic Sans MS"/>
            <scheme val="minor"/>
          </rPr>
          <t>Pokud chceme, aby postup byl do plného pavouka KO, dáme do této buňky hodnotu ANO.
Jinak bude pavouk KO děravý = nulté eliminační kolo
V případě počtu týmů = mocnina dvou jsou obě varianty shodné.</t>
        </r>
      </text>
    </comment>
    <comment ref="R4" authorId="0" shapeId="0" xr:uid="{00000000-0006-0000-0500-000006000000}">
      <text>
        <r>
          <rPr>
            <sz val="8"/>
            <color rgb="FF000000"/>
            <rFont val="Comic Sans MS"/>
            <scheme val="minor"/>
          </rPr>
          <t xml:space="preserve">Počet kol turnaje pro výpočet POSTUPOVÝCH BODŮ
</t>
        </r>
      </text>
    </comment>
    <comment ref="M6" authorId="0" shapeId="0" xr:uid="{00000000-0006-0000-0500-000007000000}">
      <text>
        <r>
          <rPr>
            <sz val="8"/>
            <color rgb="FF000000"/>
            <rFont val="Comic Sans MS"/>
            <scheme val="minor"/>
          </rPr>
          <t xml:space="preserve">Vypočte se - odečtením 1 od hodnoty v buňce pod
</t>
        </r>
      </text>
    </comment>
    <comment ref="N6" authorId="0" shapeId="0" xr:uid="{00000000-0006-0000-0500-000008000000}">
      <text>
        <r>
          <rPr>
            <sz val="8"/>
            <color rgb="FF000000"/>
            <rFont val="Comic Sans MS"/>
            <scheme val="minor"/>
          </rPr>
          <t>Počet skupin se dopočte na základě hodnoty (viz buňka pod)</t>
        </r>
      </text>
    </comment>
    <comment ref="M7" authorId="0" shapeId="0" xr:uid="{00000000-0006-0000-0500-000009000000}">
      <text>
        <r>
          <rPr>
            <sz val="8"/>
            <color rgb="FF000000"/>
            <rFont val="Comic Sans MS"/>
            <scheme val="minor"/>
          </rPr>
          <t>Do této buňky lze zapsat ručně počet týmů ve skupině (MAX)
 v rozmezí 3-6
(pokud nevyhovuje přednastavené)
Údaj v buňce nad se dopočte</t>
        </r>
      </text>
    </comment>
    <comment ref="N7" authorId="0" shapeId="0" xr:uid="{00000000-0006-0000-0500-00000A000000}">
      <text>
        <r>
          <rPr>
            <sz val="8"/>
            <color rgb="FF000000"/>
            <rFont val="Comic Sans MS"/>
            <scheme val="minor"/>
          </rPr>
          <t xml:space="preserve">Počet skupin lze nastavit ručně 
(pokud nevyhovuje přednastavené)
(počet skupin v buňce nad se dopočte)
</t>
        </r>
      </text>
    </comment>
    <comment ref="U8" authorId="0" shapeId="0" xr:uid="{00000000-0006-0000-0500-00000B000000}">
      <text>
        <r>
          <rPr>
            <sz val="8"/>
            <color rgb="FF000000"/>
            <rFont val="Comic Sans MS"/>
            <scheme val="minor"/>
          </rPr>
          <t>Když zde nic není, tak se v názvu týmu neobjeví číslo nasazení.</t>
        </r>
      </text>
    </comment>
    <comment ref="A9" authorId="0" shapeId="0" xr:uid="{00000000-0006-0000-0500-00000C000000}">
      <text>
        <r>
          <rPr>
            <sz val="8"/>
            <color rgb="FF000000"/>
            <rFont val="Comic Sans MS"/>
            <scheme val="minor"/>
          </rPr>
          <t xml:space="preserve">Počet řádek v listu Internet kde nejsou týmy hráčů/ včetně záhlaví  (=hlavička turnaje)
</t>
        </r>
      </text>
    </comment>
    <comment ref="G10" authorId="0" shapeId="0" xr:uid="{00000000-0006-0000-0500-00000D000000}">
      <text>
        <r>
          <rPr>
            <sz val="8"/>
            <color rgb="FF000000"/>
            <rFont val="Comic Sans MS"/>
            <scheme val="minor"/>
          </rPr>
          <t>Kontrola správnosti.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POZOR: k týmům, které nejsou OK se chováme jako by nebyly!!!</t>
        </r>
      </text>
    </comment>
    <comment ref="H10" authorId="0" shapeId="0" xr:uid="{00000000-0006-0000-0500-00000E000000}">
      <text>
        <r>
          <rPr>
            <sz val="8"/>
            <color rgb="FF000000"/>
            <rFont val="Comic Sans MS"/>
            <scheme val="minor"/>
          </rPr>
          <t>Pořadí nasazení týmu do turnaje (povinně se nasazují dva týmy do skupiny)</t>
        </r>
      </text>
    </comment>
    <comment ref="I10" authorId="0" shapeId="0" xr:uid="{00000000-0006-0000-0500-00000F000000}">
      <text>
        <r>
          <rPr>
            <sz val="8"/>
            <color rgb="FF000000"/>
            <rFont val="Comic Sans MS"/>
            <scheme val="minor"/>
          </rPr>
          <t xml:space="preserve">Číslo hráčské licence.
Na základě tohoto čísla se vyhledají údaje Příjmení, Jméno, Klub, CŽ a BH a automaticky se doplní. 
U hráčů bez platné licence zůstává  políčko prázdné a políčka Příjmení, Jméno se musí vyplnit.
</t>
        </r>
      </text>
    </comment>
    <comment ref="J10" authorId="0" shapeId="0" xr:uid="{00000000-0006-0000-0500-000010000000}">
      <text>
        <r>
          <rPr>
            <sz val="8"/>
            <color rgb="FF000000"/>
            <rFont val="Comic Sans MS"/>
            <scheme val="minor"/>
          </rPr>
          <t>Příjmení hráče.
Doplní se automaticky, pokud je v poli LICENCE uvedeno číslo platné licence ČAPEK.
U hráčů bez licence nebo u cizinců je třeba vyplnit.</t>
        </r>
      </text>
    </comment>
    <comment ref="K10" authorId="0" shapeId="0" xr:uid="{00000000-0006-0000-0500-000011000000}">
      <text>
        <r>
          <rPr>
            <sz val="8"/>
            <color rgb="FF000000"/>
            <rFont val="Comic Sans MS"/>
            <scheme val="minor"/>
          </rPr>
          <t>Jméno hráče.
Doplní se automaticky, pokud je v poli LICENCE uvedeno číslo platné licence ČAPEK.
U hráčů bez licence nebo u cizinců je třeba vyplnit.</t>
        </r>
      </text>
    </comment>
    <comment ref="L10" authorId="0" shapeId="0" xr:uid="{00000000-0006-0000-0500-000012000000}">
      <text>
        <r>
          <rPr>
            <sz val="8"/>
            <color rgb="FF000000"/>
            <rFont val="Comic Sans MS"/>
            <scheme val="minor"/>
          </rPr>
          <t xml:space="preserve">Název mateřského klubu hráče - viz Seznam klubů ČAPEK (doplní se automaticky, pokud má hráč licenci) </t>
        </r>
      </text>
    </comment>
    <comment ref="M10" authorId="0" shapeId="0" xr:uid="{00000000-0006-0000-0500-000013000000}">
      <text>
        <r>
          <rPr>
            <sz val="8"/>
            <color rgb="FF000000"/>
            <rFont val="Comic Sans MS"/>
            <scheme val="minor"/>
          </rPr>
          <t>Pořadí hráče na aktuálním žebříčku ČAPEK (doplní se automaticky)</t>
        </r>
      </text>
    </comment>
    <comment ref="N10" authorId="0" shapeId="0" xr:uid="{00000000-0006-0000-0500-000014000000}">
      <text>
        <r>
          <rPr>
            <sz val="8"/>
            <color rgb="FF000000"/>
            <rFont val="Comic Sans MS"/>
            <scheme val="minor"/>
          </rPr>
          <t>BH hráče z  aktuálního žebříčku ČAPEK (doplní se automaticky)</t>
        </r>
      </text>
    </comment>
    <comment ref="O10" authorId="0" shapeId="0" xr:uid="{00000000-0006-0000-0500-000015000000}">
      <text>
        <r>
          <rPr>
            <sz val="8"/>
            <color rgb="FF000000"/>
            <rFont val="Comic Sans MS"/>
            <scheme val="minor"/>
          </rPr>
          <t xml:space="preserve">Číslo hráčské licence.
Na základě tohoto čísla se vyhledají údaje Příjmení, Jméno, Klub, CŽ a BH a automaticky se doplní. 
U hráčů bez platné licence zůstává  políčko prázdné a políčka Příjmení, Jméno se musí vyplnit.
</t>
        </r>
      </text>
    </comment>
    <comment ref="P10" authorId="0" shapeId="0" xr:uid="{00000000-0006-0000-0500-000016000000}">
      <text>
        <r>
          <rPr>
            <sz val="8"/>
            <color rgb="FF000000"/>
            <rFont val="Comic Sans MS"/>
            <scheme val="minor"/>
          </rPr>
          <t>Jméno hráče.
Doplní se automaticky, pokud je v poli LICENCE uvedeno číslo platné licence ČAPEK.
U hráčů bez licence nebo u cizinců je třeba vyplnit.</t>
        </r>
      </text>
    </comment>
    <comment ref="Q10" authorId="0" shapeId="0" xr:uid="{00000000-0006-0000-0500-000017000000}">
      <text>
        <r>
          <rPr>
            <sz val="8"/>
            <color rgb="FF000000"/>
            <rFont val="Comic Sans MS"/>
            <scheme val="minor"/>
          </rPr>
          <t>Jméno hráče.
Doplní se automaticky, pokud je v poli LICENCE uvedeno číslo platné licence ČAPEK.
U hráčů bez licence nebo u cizinců je třeba vyplnit.</t>
        </r>
      </text>
    </comment>
    <comment ref="R10" authorId="0" shapeId="0" xr:uid="{00000000-0006-0000-0500-000018000000}">
      <text>
        <r>
          <rPr>
            <sz val="8"/>
            <color rgb="FF000000"/>
            <rFont val="Comic Sans MS"/>
            <scheme val="minor"/>
          </rPr>
          <t xml:space="preserve">Název mateřského klubu hráče - viz Seznam klubů ČAPEK (doplní se automaticky, pokud má hráč licenci) </t>
        </r>
      </text>
    </comment>
    <comment ref="S10" authorId="0" shapeId="0" xr:uid="{00000000-0006-0000-0500-000019000000}">
      <text>
        <r>
          <rPr>
            <sz val="8"/>
            <color rgb="FF000000"/>
            <rFont val="Comic Sans MS"/>
            <scheme val="minor"/>
          </rPr>
          <t>Pořadí hráče na aktuálním žebříčku ČAPEK (doplní se automaticky)</t>
        </r>
      </text>
    </comment>
    <comment ref="T10" authorId="0" shapeId="0" xr:uid="{00000000-0006-0000-0500-00001A000000}">
      <text>
        <r>
          <rPr>
            <sz val="8"/>
            <color rgb="FF000000"/>
            <rFont val="Comic Sans MS"/>
            <scheme val="minor"/>
          </rPr>
          <t>BH hráče z  aktuálního žebříčku ČAPEK (doplní se automaticky)</t>
        </r>
      </text>
    </comment>
    <comment ref="U10" authorId="0" shapeId="0" xr:uid="{00000000-0006-0000-0500-00001B000000}">
      <text>
        <r>
          <rPr>
            <sz val="8"/>
            <color rgb="FF000000"/>
            <rFont val="Comic Sans MS"/>
            <scheme val="minor"/>
          </rPr>
          <t xml:space="preserve">Číslo hráčské licence.
Na základě tohoto čísla se vyhledají údaje Příjmení, Jméno, Klub, CŽ a BH a automaticky se doplní. 
U hráčů bez platné licence zůstává  políčko prázdné a políčka Příjmení, Jméno se musí vyplnit.
</t>
        </r>
      </text>
    </comment>
    <comment ref="V10" authorId="0" shapeId="0" xr:uid="{00000000-0006-0000-0500-00001C000000}">
      <text>
        <r>
          <rPr>
            <sz val="8"/>
            <color rgb="FF000000"/>
            <rFont val="Comic Sans MS"/>
            <scheme val="minor"/>
          </rPr>
          <t>Příjmení hráče.
Doplní se automaticky, pokud je v poli LICENCE uvedeno číslo platné licence ČAPEK.
U hráčů bez licence nebo u cizinců je třeba vyplnit.</t>
        </r>
      </text>
    </comment>
    <comment ref="W10" authorId="0" shapeId="0" xr:uid="{00000000-0006-0000-0500-00001D000000}">
      <text>
        <r>
          <rPr>
            <sz val="8"/>
            <color rgb="FF000000"/>
            <rFont val="Comic Sans MS"/>
            <scheme val="minor"/>
          </rPr>
          <t>Jméno hráče.
Doplní se automaticky, pokud je v poli LICENCE uvedeno číslo platné licence ČAPEK.
U hráčů bez licence nebo u cizinců je třeba vyplnit.</t>
        </r>
      </text>
    </comment>
    <comment ref="X10" authorId="0" shapeId="0" xr:uid="{00000000-0006-0000-0500-00001E000000}">
      <text>
        <r>
          <rPr>
            <sz val="8"/>
            <color rgb="FF000000"/>
            <rFont val="Comic Sans MS"/>
            <scheme val="minor"/>
          </rPr>
          <t xml:space="preserve">Název mateřského klubu hráče - viz Seznam klubů ČAPEK (doplní se automaticky, pokud má hráč licenci) </t>
        </r>
      </text>
    </comment>
    <comment ref="Y10" authorId="0" shapeId="0" xr:uid="{00000000-0006-0000-0500-00001F000000}">
      <text>
        <r>
          <rPr>
            <sz val="8"/>
            <color rgb="FF000000"/>
            <rFont val="Comic Sans MS"/>
            <scheme val="minor"/>
          </rPr>
          <t>Pořadí hráče na aktuálním žebříčku ČAPEK (doplní se automaticky)</t>
        </r>
      </text>
    </comment>
    <comment ref="Z10" authorId="0" shapeId="0" xr:uid="{00000000-0006-0000-0500-000020000000}">
      <text>
        <r>
          <rPr>
            <sz val="8"/>
            <color rgb="FF000000"/>
            <rFont val="Comic Sans MS"/>
            <scheme val="minor"/>
          </rPr>
          <t>BH hráče z  aktuálního žebříčku ČAPEK (doplní se automaticky)</t>
        </r>
      </text>
    </comment>
    <comment ref="AA10" authorId="0" shapeId="0" xr:uid="{00000000-0006-0000-0500-000021000000}">
      <text>
        <r>
          <rPr>
            <sz val="8"/>
            <color rgb="FF000000"/>
            <rFont val="Comic Sans MS"/>
            <scheme val="minor"/>
          </rPr>
          <t xml:space="preserve">Číslo hráčské licence.
Na základě tohoto čísla se vyhledají údaje Příjmení, Jméno, Klub, CŽ a BH a automaticky se doplní. 
U hráčů bez platné licence zůstává  políčko prázdné a políčka Příjmení, Jméno se musí vyplnit.
</t>
        </r>
      </text>
    </comment>
    <comment ref="AB10" authorId="0" shapeId="0" xr:uid="{00000000-0006-0000-0500-000022000000}">
      <text>
        <r>
          <rPr>
            <sz val="8"/>
            <color rgb="FF000000"/>
            <rFont val="Comic Sans MS"/>
            <scheme val="minor"/>
          </rPr>
          <t>Příjmení hráče.
Doplní se automaticky, pokud je v poli LICENCE uvedeno číslo platné licence ČAPEK.
U hráčů bez licence nebo u cizinců je třeba vyplnit.</t>
        </r>
      </text>
    </comment>
    <comment ref="AC10" authorId="0" shapeId="0" xr:uid="{00000000-0006-0000-0500-000023000000}">
      <text>
        <r>
          <rPr>
            <sz val="8"/>
            <color rgb="FF000000"/>
            <rFont val="Comic Sans MS"/>
            <scheme val="minor"/>
          </rPr>
          <t>Jméno hráče.
Doplní se automaticky, pokud je v poli LICENCE uvedeno číslo platné licence ČAPEK.
U hráčů bez licence nebo u cizinců je třeba vyplnit.</t>
        </r>
      </text>
    </comment>
    <comment ref="AD10" authorId="0" shapeId="0" xr:uid="{00000000-0006-0000-0500-000024000000}">
      <text>
        <r>
          <rPr>
            <sz val="8"/>
            <color rgb="FF000000"/>
            <rFont val="Comic Sans MS"/>
            <scheme val="minor"/>
          </rPr>
          <t xml:space="preserve">Název mateřského klubu hráče - viz Seznam klubů ČAPEK (doplní se automaticky, pokud má hráč licenci) </t>
        </r>
      </text>
    </comment>
    <comment ref="AE10" authorId="0" shapeId="0" xr:uid="{00000000-0006-0000-0500-000025000000}">
      <text>
        <r>
          <rPr>
            <sz val="8"/>
            <color rgb="FF000000"/>
            <rFont val="Comic Sans MS"/>
            <scheme val="minor"/>
          </rPr>
          <t>Pořadí hráče na aktuálním žebříčku ČAPEK (doplní se automaticky)</t>
        </r>
      </text>
    </comment>
    <comment ref="AF10" authorId="0" shapeId="0" xr:uid="{00000000-0006-0000-0500-000026000000}">
      <text>
        <r>
          <rPr>
            <sz val="8"/>
            <color rgb="FF000000"/>
            <rFont val="Comic Sans MS"/>
            <scheme val="minor"/>
          </rPr>
          <t>BH hráče z  aktuálního žebříčku ČAPEK (doplní se automaticky)</t>
        </r>
      </text>
    </comment>
    <comment ref="AI10" authorId="0" shapeId="0" xr:uid="{00000000-0006-0000-0500-000027000000}">
      <text>
        <r>
          <rPr>
            <sz val="8"/>
            <color rgb="FF000000"/>
            <rFont val="Comic Sans MS"/>
            <scheme val="minor"/>
          </rPr>
          <t>Body za turnaj:
=postupové body * kvalita turnaje +bonus</t>
        </r>
      </text>
    </comment>
    <comment ref="AJ10" authorId="0" shapeId="0" xr:uid="{00000000-0006-0000-0500-000028000000}">
      <text>
        <r>
          <rPr>
            <sz val="8"/>
            <color rgb="FF000000"/>
            <rFont val="Comic Sans MS"/>
            <scheme val="minor"/>
          </rPr>
          <t>Bonus body za turnaj 
(viz třída turnaje)</t>
        </r>
      </text>
    </comment>
    <comment ref="AK10" authorId="0" shapeId="0" xr:uid="{00000000-0006-0000-0500-000029000000}">
      <text>
        <r>
          <rPr>
            <sz val="8"/>
            <color rgb="FF000000"/>
            <rFont val="Comic Sans MS"/>
            <scheme val="minor"/>
          </rPr>
          <t>Postupové body v turnaji</t>
        </r>
      </text>
    </comment>
    <comment ref="AL10" authorId="0" shapeId="0" xr:uid="{00000000-0006-0000-0500-00002A000000}">
      <text>
        <r>
          <rPr>
            <sz val="8"/>
            <color rgb="FF000000"/>
            <rFont val="Comic Sans MS"/>
            <scheme val="minor"/>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1" authorId="0" shapeId="0" xr:uid="{00000000-0006-0000-0600-000001000000}">
      <text>
        <r>
          <rPr>
            <sz val="8"/>
            <color rgb="FF000000"/>
            <rFont val="Comic Sans MS"/>
            <scheme val="minor"/>
          </rPr>
          <t xml:space="preserve">Kvalita turnaje =
průměr síly 16-ti nejlepších hráčů
</t>
        </r>
      </text>
    </comment>
    <comment ref="F3" authorId="0" shapeId="0" xr:uid="{00000000-0006-0000-0600-000002000000}">
      <text>
        <r>
          <rPr>
            <sz val="8"/>
            <color rgb="FF000000"/>
            <rFont val="Comic Sans MS"/>
            <scheme val="minor"/>
          </rPr>
          <t>Součet síly 16-ti nejlepších hráčů na turnaji (po stisku tlačítka Vypočti KVALITU turnaje)</t>
        </r>
      </text>
    </comment>
    <comment ref="A4" authorId="0" shapeId="0" xr:uid="{00000000-0006-0000-0600-000003000000}">
      <text>
        <r>
          <rPr>
            <sz val="8"/>
            <color rgb="FF000000"/>
            <rFont val="Comic Sans MS"/>
            <scheme val="minor"/>
          </rPr>
          <t>Číslo hráčské licence / prázdné</t>
        </r>
      </text>
    </comment>
    <comment ref="B4" authorId="0" shapeId="0" xr:uid="{00000000-0006-0000-0600-000004000000}">
      <text>
        <r>
          <rPr>
            <sz val="8"/>
            <color rgb="FF000000"/>
            <rFont val="Comic Sans MS"/>
            <scheme val="minor"/>
          </rPr>
          <t>Příjmení hráče</t>
        </r>
      </text>
    </comment>
    <comment ref="C4" authorId="0" shapeId="0" xr:uid="{00000000-0006-0000-0600-000005000000}">
      <text>
        <r>
          <rPr>
            <sz val="8"/>
            <color rgb="FF000000"/>
            <rFont val="Comic Sans MS"/>
            <scheme val="minor"/>
          </rPr>
          <t>Jméno hráče (s případným rozlišením ml., st.)</t>
        </r>
      </text>
    </comment>
    <comment ref="D4" authorId="0" shapeId="0" xr:uid="{00000000-0006-0000-0600-000006000000}">
      <text>
        <r>
          <rPr>
            <sz val="8"/>
            <color rgb="FF000000"/>
            <rFont val="Comic Sans MS"/>
            <scheme val="minor"/>
          </rPr>
          <t>Název klubu (viz Seznam klubů)</t>
        </r>
      </text>
    </comment>
    <comment ref="E4" authorId="0" shapeId="0" xr:uid="{00000000-0006-0000-0600-000007000000}">
      <text>
        <r>
          <rPr>
            <sz val="8"/>
            <color rgb="FF000000"/>
            <rFont val="Comic Sans MS"/>
            <scheme val="minor"/>
          </rPr>
          <t>Pořadí na žebříčku</t>
        </r>
      </text>
    </comment>
    <comment ref="F4" authorId="0" shapeId="0" xr:uid="{00000000-0006-0000-0600-000008000000}">
      <text>
        <r>
          <rPr>
            <sz val="8"/>
            <color rgb="FF000000"/>
            <rFont val="Comic Sans MS"/>
            <scheme val="minor"/>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900-000001000000}">
      <text>
        <r>
          <rPr>
            <sz val="8"/>
            <color rgb="FF000000"/>
            <rFont val="Comic Sans MS"/>
            <scheme val="minor"/>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2B00-000001000000}">
      <text>
        <r>
          <rPr>
            <sz val="8"/>
            <color rgb="FF000000"/>
            <rFont val="Comic Sans MS"/>
            <scheme val="minor"/>
          </rPr>
          <t>Pro sudý počet skupin se ve druhé polovině postupujících obrací sudý s lichým. 
Důvodem je, aby se nepotkaly týmy ze stejné skupiny ve stejné větvi pavouka.</t>
        </r>
      </text>
    </comment>
    <comment ref="F1" authorId="0" shapeId="0" xr:uid="{00000000-0006-0000-2B00-000002000000}">
      <text>
        <r>
          <rPr>
            <sz val="8"/>
            <color rgb="FF000000"/>
            <rFont val="Comic Sans MS"/>
            <scheme val="minor"/>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2C00-000001000000}">
      <text>
        <r>
          <rPr>
            <sz val="8"/>
            <color rgb="FF000000"/>
            <rFont val="Comic Sans MS"/>
            <scheme val="minor"/>
          </rPr>
          <t>Počet týmů ve skupině</t>
        </r>
      </text>
    </comment>
    <comment ref="A3" authorId="0" shapeId="0" xr:uid="{00000000-0006-0000-2C00-000002000000}">
      <text>
        <r>
          <rPr>
            <sz val="8"/>
            <color rgb="FF000000"/>
            <rFont val="Comic Sans MS"/>
            <scheme val="minor"/>
          </rPr>
          <t>Počet hřišť pro skupinu</t>
        </r>
      </text>
    </comment>
    <comment ref="A4" authorId="0" shapeId="0" xr:uid="{00000000-0006-0000-2C00-000003000000}">
      <text>
        <r>
          <rPr>
            <sz val="8"/>
            <color rgb="FF000000"/>
            <rFont val="Comic Sans MS"/>
            <scheme val="minor"/>
          </rPr>
          <t>Hřiště OD</t>
        </r>
      </text>
    </comment>
    <comment ref="A5" authorId="0" shapeId="0" xr:uid="{00000000-0006-0000-2C00-000004000000}">
      <text>
        <r>
          <rPr>
            <sz val="8"/>
            <color rgb="FF000000"/>
            <rFont val="Comic Sans MS"/>
            <scheme val="minor"/>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N1" authorId="0" shapeId="0" xr:uid="{00000000-0006-0000-3500-000001000000}">
      <text>
        <r>
          <rPr>
            <sz val="8"/>
            <color rgb="FF000000"/>
            <rFont val="Comic Sans MS"/>
            <scheme val="minor"/>
          </rPr>
          <t>V této buňce se zapíše počet týmů ve skupině (od)
   např. 3</t>
        </r>
      </text>
    </comment>
    <comment ref="O1" authorId="0" shapeId="0" xr:uid="{00000000-0006-0000-3500-000002000000}">
      <text>
        <r>
          <rPr>
            <sz val="8"/>
            <color rgb="FF000000"/>
            <rFont val="Comic Sans MS"/>
            <scheme val="minor"/>
          </rPr>
          <t>V této buňce se zapíše počet týmů ve skupině (do)
   např. 4</t>
        </r>
      </text>
    </comment>
    <comment ref="M2" authorId="0" shapeId="0" xr:uid="{00000000-0006-0000-3500-000003000000}">
      <text>
        <r>
          <rPr>
            <sz val="8"/>
            <color rgb="FF000000"/>
            <rFont val="Comic Sans MS"/>
            <scheme val="minor"/>
          </rPr>
          <t>Celkem skupin</t>
        </r>
      </text>
    </comment>
    <comment ref="N2" authorId="0" shapeId="0" xr:uid="{00000000-0006-0000-3500-000004000000}">
      <text>
        <r>
          <rPr>
            <sz val="8"/>
            <color rgb="FF000000"/>
            <rFont val="Comic Sans MS"/>
            <scheme val="minor"/>
          </rPr>
          <t>Počet</t>
        </r>
      </text>
    </comment>
    <comment ref="O2" authorId="0" shapeId="0" xr:uid="{00000000-0006-0000-3500-000005000000}">
      <text>
        <r>
          <rPr>
            <sz val="8"/>
            <color rgb="FF000000"/>
            <rFont val="Comic Sans MS"/>
            <scheme val="minor"/>
          </rPr>
          <t xml:space="preserve">Počet
</t>
        </r>
      </text>
    </comment>
    <comment ref="P2" authorId="0" shapeId="0" xr:uid="{00000000-0006-0000-3500-000006000000}">
      <text>
        <r>
          <rPr>
            <sz val="8"/>
            <color rgb="FF000000"/>
            <rFont val="Comic Sans MS"/>
            <scheme val="minor"/>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K1" authorId="0" shapeId="0" xr:uid="{00000000-0006-0000-3800-000001000000}">
      <text>
        <r>
          <rPr>
            <sz val="8"/>
            <color rgb="FF000000"/>
            <rFont val="Comic Sans MS"/>
            <scheme val="minor"/>
          </rPr>
          <t>Je potřeba spočítat spuštěním makra na listu Kvalita turnaje</t>
        </r>
      </text>
    </comment>
    <comment ref="L1" authorId="0" shapeId="0" xr:uid="{00000000-0006-0000-3800-000002000000}">
      <text>
        <r>
          <rPr>
            <sz val="8"/>
            <color rgb="FF000000"/>
            <rFont val="Comic Sans MS"/>
            <scheme val="minor"/>
          </rPr>
          <t>Je potřeba spočítat spuštěním makra na listu Kvalita turnaje</t>
        </r>
      </text>
    </comment>
  </commentList>
</comments>
</file>

<file path=xl/sharedStrings.xml><?xml version="1.0" encoding="utf-8"?>
<sst xmlns="http://schemas.openxmlformats.org/spreadsheetml/2006/main" count="9779" uniqueCount="1953">
  <si>
    <t>INSTRUKCE</t>
  </si>
  <si>
    <t>"Každý s každým"</t>
  </si>
  <si>
    <t xml:space="preserve">Tento program je vytvořen pro </t>
  </si>
  <si>
    <r>
      <rPr>
        <b/>
        <sz val="8"/>
        <color rgb="FFFF0000"/>
        <rFont val="Comic Sans MS"/>
      </rPr>
      <t xml:space="preserve">vedení celého turnaje (až do konce), kterého se zúčastní </t>
    </r>
    <r>
      <rPr>
        <u/>
        <sz val="14"/>
        <color rgb="FF0066CC"/>
        <rFont val="Comic Sans MS"/>
      </rPr>
      <t>12 až 192 týmů</t>
    </r>
    <r>
      <rPr>
        <b/>
        <sz val="8"/>
        <color rgb="FFFF0000"/>
        <rFont val="Comic Sans MS"/>
      </rPr>
      <t xml:space="preserve"> </t>
    </r>
  </si>
  <si>
    <t>hrou ve tří až šestičlenných základních skupinách "Každý s každým" a dále pak KO</t>
  </si>
  <si>
    <t>a předání výsledků turnaje v předepsané elektronické podobě</t>
  </si>
  <si>
    <t>Soubor lze zálohovat stiskem tlačítka Zálohování souboru na listu Start.listina.</t>
  </si>
  <si>
    <t>Program pro vedení turnaje je možné parametrizovat (viz instrukce dále),</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</si>
  <si>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</si>
  <si>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</si>
  <si>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</si>
  <si>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Program přináší možnost </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</si>
  <si>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</si>
  <si>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</si>
  <si>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</si>
  <si>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</si>
  <si>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</si>
  <si>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Je připravena varianta tohoto programu pro hru na "Dvě prohry" ve 3-4 členných skupinách (Turnaj2P.xls)</t>
  </si>
  <si>
    <t>Je připravena varianta tohoto programu pro hru "švýcarským způsobem" (losovaným v koších)</t>
  </si>
  <si>
    <t>Tímto systémem se povinně hraje  MČR žen a regionální kola MČR trojic</t>
  </si>
  <si>
    <t>Údaje se vyplňují do listů: Start.listina, Sk.A až ...Sk.AF, KO.., Dohrávka_5-8 a Dohrávka_9-16</t>
  </si>
  <si>
    <t>Vyplňují se</t>
  </si>
  <si>
    <t>Žlutá pole</t>
  </si>
  <si>
    <t xml:space="preserve">Obsah ostatních polí a listů (včetně skrytých) je automaticky aktualizován programem a pro uživatele je uzamčen !  </t>
  </si>
  <si>
    <t>Využití programu, pokud chcete pouze předat výsledky (turnaj je veden ručně):</t>
  </si>
  <si>
    <t>1)</t>
  </si>
  <si>
    <r>
      <rPr>
        <sz val="8"/>
        <color theme="1"/>
        <rFont val="Comic Sans MS"/>
      </rPr>
      <t xml:space="preserve">pracuje se jen s listem </t>
    </r>
    <r>
      <rPr>
        <b/>
        <sz val="8"/>
        <color theme="1"/>
        <rFont val="Comic Sans MS"/>
      </rPr>
      <t>Start.listina</t>
    </r>
    <r>
      <rPr>
        <sz val="8"/>
        <color theme="1"/>
        <rFont val="Comic Sans MS"/>
      </rPr>
      <t>. Startovní listina je zároveň Výsledkovou listinou</t>
    </r>
  </si>
  <si>
    <t>2)</t>
  </si>
  <si>
    <t>musí se vyplnit Start.listina - pokyny jsou uvedeny níže (musí zde být uvedeny všechny týmy, přihlášené do turnaje)</t>
  </si>
  <si>
    <t xml:space="preserve">3) </t>
  </si>
  <si>
    <t xml:space="preserve">výsledné pořadí jednotlivých týmů se zapíše do listu Start.listina do kolonky Konečné pořadí (je vpravo na konci) </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</si>
  <si>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</si>
  <si>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</si>
  <si>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</si>
  <si>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soubor s výsledky je třeba pojmenovat vysledkyxxxxx.XLS (xxxxx je číslo turnaje), jinak nelze výsledky automaticky zpracovat (nerozpozná se)</t>
  </si>
  <si>
    <t>Prosíme zasílejte soubor pokud možno v komprimované podobě (z důvodu velikosti)!</t>
  </si>
  <si>
    <t xml:space="preserve">Chronologický postup práce při vedení celého turnaje je následující: </t>
  </si>
  <si>
    <r>
      <rPr>
        <sz val="8"/>
        <color theme="1"/>
        <rFont val="Comic Sans MS"/>
      </rPr>
      <t xml:space="preserve">a) vyplnění </t>
    </r>
    <r>
      <rPr>
        <b/>
        <sz val="8"/>
        <color theme="1"/>
        <rFont val="Comic Sans MS"/>
      </rPr>
      <t>Start.listiny přímo</t>
    </r>
    <r>
      <rPr>
        <sz val="8"/>
        <color theme="1"/>
        <rFont val="Comic Sans MS"/>
      </rPr>
      <t xml:space="preserve"> z přihlášek na </t>
    </r>
    <r>
      <rPr>
        <b/>
        <sz val="8"/>
        <color theme="1"/>
        <rFont val="Comic Sans MS"/>
      </rPr>
      <t>internetu</t>
    </r>
  </si>
  <si>
    <t xml:space="preserve"> - </t>
  </si>
  <si>
    <t>Týmy přihlášené přes internet lze do tohoto souboru před turnajem přenést.   Stačí provést následující:</t>
  </si>
  <si>
    <r>
      <rPr>
        <sz val="8"/>
        <color theme="1"/>
        <rFont val="Comic Sans MS"/>
      </rPr>
      <t xml:space="preserve">1) v seznamu nahlášených družstev </t>
    </r>
    <r>
      <rPr>
        <b/>
        <sz val="8"/>
        <color theme="1"/>
        <rFont val="Comic Sans MS"/>
      </rPr>
      <t>na internetu</t>
    </r>
    <r>
      <rPr>
        <sz val="8"/>
        <color theme="1"/>
        <rFont val="Comic Sans MS"/>
      </rPr>
      <t xml:space="preserve"> zvolit </t>
    </r>
    <r>
      <rPr>
        <b/>
        <sz val="8"/>
        <color theme="1"/>
        <rFont val="Comic Sans MS"/>
      </rPr>
      <t>Úpravy: - Vybrat vše</t>
    </r>
    <r>
      <rPr>
        <sz val="8"/>
        <color theme="1"/>
        <rFont val="Comic Sans MS"/>
      </rPr>
      <t xml:space="preserve"> (klávesová zkratka Ctrl-A)</t>
    </r>
  </si>
  <si>
    <r>
      <rPr>
        <sz val="8"/>
        <color theme="1"/>
        <rFont val="Comic Sans MS"/>
      </rPr>
      <t xml:space="preserve">2) v seznamu nahlášených družstev </t>
    </r>
    <r>
      <rPr>
        <b/>
        <sz val="8"/>
        <color theme="1"/>
        <rFont val="Comic Sans MS"/>
      </rPr>
      <t>na internetu</t>
    </r>
    <r>
      <rPr>
        <sz val="8"/>
        <color theme="1"/>
        <rFont val="Comic Sans MS"/>
      </rPr>
      <t xml:space="preserve"> zvolit </t>
    </r>
    <r>
      <rPr>
        <b/>
        <sz val="8"/>
        <color theme="1"/>
        <rFont val="Comic Sans MS"/>
      </rPr>
      <t>Úpravy: - Kopírovat</t>
    </r>
    <r>
      <rPr>
        <sz val="8"/>
        <color theme="1"/>
        <rFont val="Comic Sans MS"/>
      </rPr>
      <t xml:space="preserve"> (klávesová zkratka Ctrl-C)</t>
    </r>
  </si>
  <si>
    <r>
      <rPr>
        <sz val="8"/>
        <color theme="1"/>
        <rFont val="Comic Sans MS"/>
      </rPr>
      <t xml:space="preserve">3) v tomto programu myší kliknout na list Internet a zde kliknout na první buňku vlevo nahoře (označená </t>
    </r>
    <r>
      <rPr>
        <b/>
        <sz val="8"/>
        <color theme="1"/>
        <rFont val="Comic Sans MS"/>
      </rPr>
      <t>A1</t>
    </r>
    <r>
      <rPr>
        <sz val="8"/>
        <color theme="1"/>
        <rFont val="Comic Sans MS"/>
      </rPr>
      <t>)</t>
    </r>
  </si>
  <si>
    <r>
      <rPr>
        <sz val="8"/>
        <color theme="1"/>
        <rFont val="Comic Sans MS"/>
      </rPr>
      <t xml:space="preserve">4) zvolit </t>
    </r>
    <r>
      <rPr>
        <b/>
        <sz val="8"/>
        <color theme="1"/>
        <rFont val="Comic Sans MS"/>
      </rPr>
      <t>Úpravy: - Vložit</t>
    </r>
    <r>
      <rPr>
        <sz val="8"/>
        <color theme="1"/>
        <rFont val="Comic Sans MS"/>
      </rPr>
      <t xml:space="preserve"> (klávesová zkratka Ctrl-V)</t>
    </r>
  </si>
  <si>
    <t>Tímto budou přenesena data z internetu do Startovní listiny (zároveň bude nastaveno i číslo turnaje)</t>
  </si>
  <si>
    <r>
      <rPr>
        <b/>
        <sz val="8"/>
        <color rgb="FFFF0000"/>
        <rFont val="Comic Sans MS"/>
      </rPr>
      <t>Úpravy Startovní listiny</t>
    </r>
    <r>
      <rPr>
        <sz val="8"/>
        <color rgb="FFFF0000"/>
        <rFont val="Comic Sans MS"/>
      </rPr>
      <t xml:space="preserve"> pak lze provádět postupem uvedeným níže nebo také </t>
    </r>
    <r>
      <rPr>
        <b/>
        <sz val="8"/>
        <color rgb="FFFF0000"/>
        <rFont val="Comic Sans MS"/>
      </rPr>
      <t>přímo na listu Internet (doporučeno)</t>
    </r>
  </si>
  <si>
    <t>Po nasazení turnaje (viz tlačítko "Nasadit týmy do turnaje" už lze opravovat jen přímo ve Startovní listině)</t>
  </si>
  <si>
    <r>
      <rPr>
        <sz val="8"/>
        <color theme="1"/>
        <rFont val="Comic Sans MS"/>
      </rPr>
      <t xml:space="preserve">b) vyplnění </t>
    </r>
    <r>
      <rPr>
        <b/>
        <sz val="8"/>
        <color theme="1"/>
        <rFont val="Comic Sans MS"/>
      </rPr>
      <t>Start.listiny ručně</t>
    </r>
    <r>
      <rPr>
        <sz val="8"/>
        <color theme="1"/>
        <rFont val="Comic Sans MS"/>
      </rPr>
      <t xml:space="preserve"> zápisem do Startovní listiny</t>
    </r>
  </si>
  <si>
    <t>na listu Start.listina se vyplní číslo turnaje podle Termínové listiny (to lze nalézt na listu Turnaje)</t>
  </si>
  <si>
    <t>automaticky se podle Termínové listiny doplní informace o turnaji</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</si>
  <si>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</si>
  <si>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</si>
  <si>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pokud hráč nemá českou licenci, zapíše se jeho jméno</t>
  </si>
  <si>
    <t>tým musí být kompletní, jinak se červeně rozsvítí kontrola - viz sloupeček OK</t>
  </si>
  <si>
    <t>(nekompletní tým je  při nasazení vyřazen; červeně  ve sloupečku OK jsou vyznačeny také duplicity licencí hráčů)</t>
  </si>
  <si>
    <t>zrušení zapsaného týmu ze startovní listiny se provede vymazáním licencí  (nesmí se odstranit celý řádek nebo smazat vzorečky - program by potom nefungoval !!!)</t>
  </si>
  <si>
    <t>po prezentaci všech týmů je na listu Start.listina zřejmé, kolik je týmů celkem</t>
  </si>
  <si>
    <t>program navrhuje počet a velikost skupin podle parametru Plný pavouk , pokud se uvede ANO, povede to na plného pavouka, NE (nebo nic) povede na děravého pavouka</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</si>
  <si>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</si>
  <si>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</si>
  <si>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na listu Start.listina lze přestavit i vypočtenou třídu turnaje (P-Prestige, S-Superprestige, M-MČR) pro účely výpočtu bodů za umístění</t>
  </si>
  <si>
    <t>pokud je potřeba, aby ze skupin postupoval jiný počet týmů než 2 (obvyklý počet), lze to ovlivnit číslem v buňce U7</t>
  </si>
  <si>
    <r>
      <rPr>
        <sz val="8"/>
        <color theme="1"/>
        <rFont val="Comic Sans MS"/>
      </rPr>
      <t xml:space="preserve">c) po ukončení prezentace se na listu Start.listina stiskne tlačítko </t>
    </r>
    <r>
      <rPr>
        <b/>
        <sz val="8"/>
        <color theme="1"/>
        <rFont val="Comic Sans MS"/>
      </rPr>
      <t>Nasadit týmy do turnaje</t>
    </r>
    <r>
      <rPr>
        <sz val="8"/>
        <color theme="1"/>
        <rFont val="Comic Sans MS"/>
      </rPr>
      <t xml:space="preserve"> </t>
    </r>
  </si>
  <si>
    <t>týmy se zařadí do skupin a  zároveň je vypočtena Kvalita turnaje a jestli jde o turnaj Prestige (všechny týmy jsou nasazeny až do konce)</t>
  </si>
  <si>
    <r>
      <rPr>
        <sz val="8"/>
        <color theme="1"/>
        <rFont val="Comic Sans MS"/>
      </rPr>
      <t xml:space="preserve">pokud chcete, aby byly nasazeny jen první dva týmy ve skupinách a zbylé byly dolosovány, stiskněte tlačítko </t>
    </r>
    <r>
      <rPr>
        <b/>
        <sz val="8"/>
        <color theme="1"/>
        <rFont val="Comic Sans MS"/>
      </rPr>
      <t>Zbylé týmy dolosovat</t>
    </r>
    <r>
      <rPr>
        <sz val="8"/>
        <color theme="1"/>
        <rFont val="Comic Sans MS"/>
      </rPr>
      <t xml:space="preserve"> (losování využívá generátor náh.čísel)</t>
    </r>
  </si>
  <si>
    <t>(při účasti více zahraničních týmů se doporučuje ponechat týmy nasazené až do konce, protože tak dojde k rovnoměrnému rozvrstvení zahr. účastníků)</t>
  </si>
  <si>
    <r>
      <rPr>
        <sz val="8"/>
        <color theme="1"/>
        <rFont val="Comic Sans MS"/>
      </rPr>
      <t xml:space="preserve">pro hru je vždy nutné vytisknout každou skupinu na zvláštní papír, k tomu slouží list </t>
    </r>
    <r>
      <rPr>
        <b/>
        <sz val="8"/>
        <color theme="1"/>
        <rFont val="Comic Sans MS"/>
      </rPr>
      <t>Tisk_skupin</t>
    </r>
  </si>
  <si>
    <t>(do políčka C1 uvedeme označení skupiny, list vytiskneme - a to provedeme pro všechny skupiny)</t>
  </si>
  <si>
    <r>
      <rPr>
        <sz val="8"/>
        <color theme="1"/>
        <rFont val="Comic Sans MS"/>
      </rPr>
      <t xml:space="preserve">list </t>
    </r>
    <r>
      <rPr>
        <b/>
        <sz val="8"/>
        <color theme="1"/>
        <rFont val="Comic Sans MS"/>
      </rPr>
      <t>Skupiny</t>
    </r>
    <r>
      <rPr>
        <sz val="8"/>
        <color theme="1"/>
        <rFont val="Comic Sans MS"/>
      </rPr>
      <t xml:space="preserve"> je vhodné na začátku turnaje rovněž vytisknout, protože se vytiskne rychle a dává dobrý přehled kdo je v jaké skupině</t>
    </r>
  </si>
  <si>
    <t xml:space="preserve">pro zápis výsledků hry v jednotlivých skupinách slouží jednotlivé listy skupin </t>
  </si>
  <si>
    <t>d) do jednotlivých listů Skupin se postupně do žlutých polí zapisují výsledky jednotlivých zápasů</t>
  </si>
  <si>
    <t>výsledek zápasu se zapisuje jako přesné skóre (skóre hraje roli při počítání pořadí ve skupině)</t>
  </si>
  <si>
    <t>pořadí zápasu (o které kolo zápasů ve skupině jde) a hřiště, na kterém se má hrát je zobrazeno přímo v herní tabulce skupiny</t>
  </si>
  <si>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</si>
  <si>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</si>
  <si>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</si>
  <si>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přechod do pavouka KO lze udělat i ručně - zapsáním týmů do nultého kola pavouka příslušného KO (např. když je turnaj hrán Švýcarem)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</si>
  <si>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</si>
  <si>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</si>
  <si>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výsledek zápasu se zapisuje jako skóre (stačí sice zadat jen jedničku pro vítěze a nulu pro poraženého, ale lepší informace je vyplňovat přesné skóre)</t>
  </si>
  <si>
    <t>automaticky podle výsledku tým buď postupuje nebo nepostupuje do dalšího kola KO nebo úplně vypadává, případně postupuje do dohrávky</t>
  </si>
  <si>
    <t>f) na listu Dohrávka_5-8 se postupně do žlutých polí vyplňují výsledky jednotlivých zápasů (pokud se dohrává o 5-8)</t>
  </si>
  <si>
    <t>g) na listu Dohrávka_9-16 se postupně do žlutých polí vyplňují výsledky jednotlivých zápasů  (pokud se dohrává o 9-16)</t>
  </si>
  <si>
    <r>
      <rPr>
        <sz val="8"/>
        <color theme="1"/>
        <rFont val="Comic Sans MS"/>
      </rPr>
      <t xml:space="preserve">h) po skončení všech zápasů a po jejich zapsání je na listu </t>
    </r>
    <r>
      <rPr>
        <b/>
        <sz val="8"/>
        <color theme="1"/>
        <rFont val="Comic Sans MS"/>
      </rPr>
      <t>Konečné pořadí_1_16</t>
    </r>
    <r>
      <rPr>
        <sz val="8"/>
        <color theme="1"/>
        <rFont val="Comic Sans MS"/>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</si>
  <si>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</si>
  <si>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</si>
  <si>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</si>
  <si>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</si>
  <si>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</si>
  <si>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</si>
  <si>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</si>
  <si>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 xml:space="preserve">povolit makra (jinak nebudou makra fungovat) - je to pod volbou Nástroje - Makro - Zabezpečení </t>
  </si>
  <si>
    <t>červený trojúhelníček značí, že na buňce je komentář / vysvětlivka     (zastavením myši na buňce se zobrazí)</t>
  </si>
  <si>
    <t>příklad komentáře</t>
  </si>
  <si>
    <t>pokud není do turnaje zavedeno alespoň 12 týmů tak nelze používat parametr Plný pavouk</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</si>
  <si>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</si>
  <si>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</si>
  <si>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</si>
  <si>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</si>
  <si>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</si>
  <si>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</si>
  <si>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</si>
  <si>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důležitých a vhodných okamžicích uložte soubor (nejlépe pod jiným jménem), aby jste se měli k čemu vrátit v případě potřeby</t>
  </si>
  <si>
    <t>akce provedené makry (přes tlačítka) většinou nejdou vrátit zpět !</t>
  </si>
  <si>
    <t>#N/A znamená, že nastala chyba a je nutno ji odstranit (k číslu licence nenalezen hráč apod.)</t>
  </si>
  <si>
    <t>V případě dotazů se obracejte na autora: Pavel Vlk, tel. 602-692-489</t>
  </si>
  <si>
    <t>Seznam turnajů z Termínové listiny ČAPEK</t>
  </si>
  <si>
    <t>cislo</t>
  </si>
  <si>
    <t>nazev</t>
  </si>
  <si>
    <t>datum</t>
  </si>
  <si>
    <t>misto</t>
  </si>
  <si>
    <t>poradatel</t>
  </si>
  <si>
    <t>system</t>
  </si>
  <si>
    <t>Koule pána hor (juniorský turnaj)</t>
  </si>
  <si>
    <t>21.01.2023</t>
  </si>
  <si>
    <t>Vrchlabí (Divadelní klub)</t>
  </si>
  <si>
    <t>1.KPK Vrchlabí</t>
  </si>
  <si>
    <t>14. Bitva o Terezín</t>
  </si>
  <si>
    <t>28.01.2023</t>
  </si>
  <si>
    <t>Terezín</t>
  </si>
  <si>
    <t>SK Sahara Vědomice</t>
  </si>
  <si>
    <t>15. Bitva o Terezín</t>
  </si>
  <si>
    <t>29.01.2023</t>
  </si>
  <si>
    <t>16. Bitva o Terezín</t>
  </si>
  <si>
    <t>25.02.2023</t>
  </si>
  <si>
    <t>17. Bitva o Terezín</t>
  </si>
  <si>
    <t>26.02.2023</t>
  </si>
  <si>
    <t>Světový den koulí</t>
  </si>
  <si>
    <t>04.03.2023</t>
  </si>
  <si>
    <t>Ořech</t>
  </si>
  <si>
    <t>C.T.P. Club Ořech</t>
  </si>
  <si>
    <t>GEKON - O křišťálovou tašku</t>
  </si>
  <si>
    <t>18.03.2023</t>
  </si>
  <si>
    <t>Loděnice</t>
  </si>
  <si>
    <t>CdP Loděnice</t>
  </si>
  <si>
    <t>Jarní lipnické koule</t>
  </si>
  <si>
    <t>25.03.2023</t>
  </si>
  <si>
    <t>Lipník</t>
  </si>
  <si>
    <t>PC Sokol Lipník</t>
  </si>
  <si>
    <t>Mendel Cup</t>
  </si>
  <si>
    <t>01.04.2023</t>
  </si>
  <si>
    <t>Kulový blesk Olomouc</t>
  </si>
  <si>
    <t>Beraní koule</t>
  </si>
  <si>
    <t>Albrechtice</t>
  </si>
  <si>
    <t>PAK Albrechtice</t>
  </si>
  <si>
    <t>Nakashi Cup</t>
  </si>
  <si>
    <t>08.04.2023</t>
  </si>
  <si>
    <t>Košonek bratří Vavrovičů</t>
  </si>
  <si>
    <t>15.04.2023</t>
  </si>
  <si>
    <t>MČR 55+</t>
  </si>
  <si>
    <t>Stolín</t>
  </si>
  <si>
    <t>PEK Stolín</t>
  </si>
  <si>
    <t>27. Prvomájové koule Barona Prášila</t>
  </si>
  <si>
    <t>22.04.2023</t>
  </si>
  <si>
    <t>Prestige Litovel</t>
  </si>
  <si>
    <t>Litovel</t>
  </si>
  <si>
    <t>KLIP Litovel</t>
  </si>
  <si>
    <t>Turnaj Piráta Morgana</t>
  </si>
  <si>
    <t>23.04.2023</t>
  </si>
  <si>
    <t>MČR klubů 1. kolo</t>
  </si>
  <si>
    <t>29.04.2023</t>
  </si>
  <si>
    <t>Memory Cup</t>
  </si>
  <si>
    <t>Orlová</t>
  </si>
  <si>
    <t>TOP - ORLOVÁ</t>
  </si>
  <si>
    <t>Prvomájový lipnický turnaj</t>
  </si>
  <si>
    <t>30.04.2023</t>
  </si>
  <si>
    <t>Starostovo jarní koulení</t>
  </si>
  <si>
    <t>06.05.2023</t>
  </si>
  <si>
    <t>Cheb</t>
  </si>
  <si>
    <t>PC Egrensis</t>
  </si>
  <si>
    <t>Kvalifikace na MS 2023 2X2 ženy</t>
  </si>
  <si>
    <t>Kvalifikace na MS 2023 2X2 muži</t>
  </si>
  <si>
    <t>Prvomájové koulení</t>
  </si>
  <si>
    <t>Hranice</t>
  </si>
  <si>
    <t>SKP Hranice VI-Valšovice</t>
  </si>
  <si>
    <t>MČR klubů 2. kolo</t>
  </si>
  <si>
    <t>08.05.2023</t>
  </si>
  <si>
    <t>PozorKap</t>
  </si>
  <si>
    <t>13.05.2023</t>
  </si>
  <si>
    <t>Pozorka</t>
  </si>
  <si>
    <t>PPA POZORKA</t>
  </si>
  <si>
    <t>Chateau Náměšť</t>
  </si>
  <si>
    <t>Náměšť na Hané</t>
  </si>
  <si>
    <t>Koulení na Staré hoře</t>
  </si>
  <si>
    <t>20.05.2023</t>
  </si>
  <si>
    <t>Mokrá - Horákov</t>
  </si>
  <si>
    <t>BePeC 2016</t>
  </si>
  <si>
    <t>Centrope Česko</t>
  </si>
  <si>
    <t>Liblice</t>
  </si>
  <si>
    <t>VARAN</t>
  </si>
  <si>
    <t>MČR Mix</t>
  </si>
  <si>
    <t>27.05.2023</t>
  </si>
  <si>
    <t>Hrochův týnec</t>
  </si>
  <si>
    <t>CHRUPEK Chrudim</t>
  </si>
  <si>
    <t>Albrechtický kahan</t>
  </si>
  <si>
    <t>MČR muži, kvalifikace, 3x3</t>
  </si>
  <si>
    <t>03.06.2023</t>
  </si>
  <si>
    <t>Polouveský májový turnaj</t>
  </si>
  <si>
    <t>Polouvsí</t>
  </si>
  <si>
    <t>PK Polouvsí</t>
  </si>
  <si>
    <t>Saharský pohár 2023</t>
  </si>
  <si>
    <t>Vědomice</t>
  </si>
  <si>
    <t>Junior Polouvsí</t>
  </si>
  <si>
    <t>04.06.2023</t>
  </si>
  <si>
    <t>Centrope Rakousko</t>
  </si>
  <si>
    <t>10.06.2023</t>
  </si>
  <si>
    <t>Rakousko</t>
  </si>
  <si>
    <t>Bunkr Cup</t>
  </si>
  <si>
    <t>Mokrá -Horákov</t>
  </si>
  <si>
    <t>Memoriál CdP</t>
  </si>
  <si>
    <t>Stolínský Křečák, memoriál Jaroslava Smoly</t>
  </si>
  <si>
    <t>Turnaj Juniorů a Espoirs</t>
  </si>
  <si>
    <t>11.06.2023</t>
  </si>
  <si>
    <t>MČR 3X3</t>
  </si>
  <si>
    <t>17.06.2023</t>
  </si>
  <si>
    <t>Neuvedeno</t>
  </si>
  <si>
    <t>Centrope Maďarsko</t>
  </si>
  <si>
    <t>24.06.2023</t>
  </si>
  <si>
    <t>Maďarsko</t>
  </si>
  <si>
    <t>MČR žen Veveří</t>
  </si>
  <si>
    <t>Brno</t>
  </si>
  <si>
    <t>Carreau Brno</t>
  </si>
  <si>
    <t>MČR jednotlivců</t>
  </si>
  <si>
    <t>01.07.2023</t>
  </si>
  <si>
    <t>MČR střelba na přesnost</t>
  </si>
  <si>
    <t>02.07.2023</t>
  </si>
  <si>
    <t>Krakonošovy koule</t>
  </si>
  <si>
    <t>08.07.2023</t>
  </si>
  <si>
    <t>Vrchlabí</t>
  </si>
  <si>
    <t>1. KPK Vrchlabí</t>
  </si>
  <si>
    <t>XXVII. Kolovská Koule</t>
  </si>
  <si>
    <t>Kolová</t>
  </si>
  <si>
    <t>PC Kolová</t>
  </si>
  <si>
    <t>VC pivovaru Litovel</t>
  </si>
  <si>
    <t>Brno-Slatina</t>
  </si>
  <si>
    <t>SLOPE Brno</t>
  </si>
  <si>
    <t>Krumsínská HRODA XXIV. ročník</t>
  </si>
  <si>
    <t>15.07.2023</t>
  </si>
  <si>
    <t>Krumsín</t>
  </si>
  <si>
    <t>HRODE KRUMSÍN</t>
  </si>
  <si>
    <t>GP Mariánské lázně</t>
  </si>
  <si>
    <t>Mariánské lázně</t>
  </si>
  <si>
    <t>PK Mariánské Lázně</t>
  </si>
  <si>
    <t>Valšovický pohár</t>
  </si>
  <si>
    <t>Hranice VI. - Valšovice</t>
  </si>
  <si>
    <t>MČR</t>
  </si>
  <si>
    <t>22.07.2023</t>
  </si>
  <si>
    <t>Hrochův Týnec</t>
  </si>
  <si>
    <t>Chateau Hrochův Týnec</t>
  </si>
  <si>
    <t>23.07.2023</t>
  </si>
  <si>
    <t>5. Koule Elišky Přemyslovny</t>
  </si>
  <si>
    <t>29.07.2023</t>
  </si>
  <si>
    <t>Nymburk</t>
  </si>
  <si>
    <t>PC Mimo Done</t>
  </si>
  <si>
    <t>Nymburská 0.5</t>
  </si>
  <si>
    <t>30.07.2023</t>
  </si>
  <si>
    <t>MČR klubů 3. kolo</t>
  </si>
  <si>
    <t>05.08.2023</t>
  </si>
  <si>
    <t>MČR juniorů</t>
  </si>
  <si>
    <t>11.08.2023</t>
  </si>
  <si>
    <t>Turnaj generací</t>
  </si>
  <si>
    <t>12.08.2023</t>
  </si>
  <si>
    <t>Mozartovy koule</t>
  </si>
  <si>
    <t>Olomouc</t>
  </si>
  <si>
    <t>GRAND PRIX LABE</t>
  </si>
  <si>
    <t>19.08.2023</t>
  </si>
  <si>
    <t>Centrope Slovensko</t>
  </si>
  <si>
    <t>26.08.2023</t>
  </si>
  <si>
    <t>Slovensko</t>
  </si>
  <si>
    <t>O pohár města Brna - VARS Cup - XX. ročník</t>
  </si>
  <si>
    <t>02.09.2023</t>
  </si>
  <si>
    <t>Centrope Polsko</t>
  </si>
  <si>
    <t>09.09.2023</t>
  </si>
  <si>
    <t>Polsko</t>
  </si>
  <si>
    <t>Orlovský kahan</t>
  </si>
  <si>
    <t>MEVA CUP 2023</t>
  </si>
  <si>
    <t>16.09.2023</t>
  </si>
  <si>
    <t>O pohár Staré hory</t>
  </si>
  <si>
    <t>23.09.2023</t>
  </si>
  <si>
    <t>Lipnické dukáty</t>
  </si>
  <si>
    <t>Rezervace MČR muži ženy</t>
  </si>
  <si>
    <t>28.09.2023</t>
  </si>
  <si>
    <t>Finále MČR klubů</t>
  </si>
  <si>
    <t>30.09.2023</t>
  </si>
  <si>
    <t>Svatováclavské koulení</t>
  </si>
  <si>
    <t>Prestige Loděnice</t>
  </si>
  <si>
    <t>07.10.2023</t>
  </si>
  <si>
    <t>Albrechtický pohár</t>
  </si>
  <si>
    <t>Grand Prix Egrensis</t>
  </si>
  <si>
    <t>Zlaté prasátko</t>
  </si>
  <si>
    <t>14.10.2023</t>
  </si>
  <si>
    <t>Podzimní lipnické koule</t>
  </si>
  <si>
    <t>21.10.2023</t>
  </si>
  <si>
    <t>Polouveský svatomartinský turnaj</t>
  </si>
  <si>
    <t>XXIII. přebor KV a PLZ kraje, XIII. Memorial Mirka Valenty</t>
  </si>
  <si>
    <t>28.10.2023</t>
  </si>
  <si>
    <t>Stolínská úrouňouka</t>
  </si>
  <si>
    <t>Koule z Aurory</t>
  </si>
  <si>
    <t>04.11.2023</t>
  </si>
  <si>
    <t>PCP Lipník</t>
  </si>
  <si>
    <t>28. Přimrzlé koule</t>
  </si>
  <si>
    <t>02.12.2023</t>
  </si>
  <si>
    <t>Seznam klubů ČAPEK</t>
  </si>
  <si>
    <t>(výpis z matriky)</t>
  </si>
  <si>
    <t>Číslo</t>
  </si>
  <si>
    <t>Název klubu</t>
  </si>
  <si>
    <t>Region</t>
  </si>
  <si>
    <t>klubu</t>
  </si>
  <si>
    <t>001</t>
  </si>
  <si>
    <t>1. KPK VRCHLABÍ</t>
  </si>
  <si>
    <t>S</t>
  </si>
  <si>
    <t>002</t>
  </si>
  <si>
    <t>1.STAROBRNĚNSKÝ PK</t>
  </si>
  <si>
    <t>V</t>
  </si>
  <si>
    <t>005</t>
  </si>
  <si>
    <t>C.T.P. CLUB OŘECH</t>
  </si>
  <si>
    <t>Z</t>
  </si>
  <si>
    <t>006</t>
  </si>
  <si>
    <t>CP VARY</t>
  </si>
  <si>
    <t>007</t>
  </si>
  <si>
    <t>PODĚBRADY</t>
  </si>
  <si>
    <t>008</t>
  </si>
  <si>
    <t>DPS</t>
  </si>
  <si>
    <t>010</t>
  </si>
  <si>
    <t>SOP FŇÁKY BRNO</t>
  </si>
  <si>
    <t>011</t>
  </si>
  <si>
    <t>HEJ RUP</t>
  </si>
  <si>
    <t>013</t>
  </si>
  <si>
    <t>HP TŘEBÍČ</t>
  </si>
  <si>
    <t>014</t>
  </si>
  <si>
    <t>015</t>
  </si>
  <si>
    <t>KULOVÝ BLESK</t>
  </si>
  <si>
    <t>016</t>
  </si>
  <si>
    <t>PCBD</t>
  </si>
  <si>
    <t>017</t>
  </si>
  <si>
    <t>019</t>
  </si>
  <si>
    <t>020</t>
  </si>
  <si>
    <t>PC Sokol LIPNÍK</t>
  </si>
  <si>
    <t>021</t>
  </si>
  <si>
    <t>PEK  STOLÍN</t>
  </si>
  <si>
    <t>022</t>
  </si>
  <si>
    <t>PEPEK</t>
  </si>
  <si>
    <t>023</t>
  </si>
  <si>
    <t>ČESKÝ RÁJ</t>
  </si>
  <si>
    <t>024</t>
  </si>
  <si>
    <t>POP PRAHA</t>
  </si>
  <si>
    <t>027</t>
  </si>
  <si>
    <t>SLOPE BRNO</t>
  </si>
  <si>
    <t>028</t>
  </si>
  <si>
    <t>SOKOL STAŘÍČ</t>
  </si>
  <si>
    <t>029</t>
  </si>
  <si>
    <t>TJ SOKOL SLAVKOV</t>
  </si>
  <si>
    <t>030</t>
  </si>
  <si>
    <t>031</t>
  </si>
  <si>
    <t>Varan Karlovy Vary</t>
  </si>
  <si>
    <t>032</t>
  </si>
  <si>
    <t>ŽHAVÉ KOULE Havlíčkův Brod</t>
  </si>
  <si>
    <t>033</t>
  </si>
  <si>
    <t>035</t>
  </si>
  <si>
    <t>OK Běchovice</t>
  </si>
  <si>
    <t>036</t>
  </si>
  <si>
    <t>Lesklé koule - 1.PC Líšnice</t>
  </si>
  <si>
    <t>037</t>
  </si>
  <si>
    <t>APEC Česká Třebová</t>
  </si>
  <si>
    <t>038</t>
  </si>
  <si>
    <t>TJ Sokol Řepy</t>
  </si>
  <si>
    <t>039</t>
  </si>
  <si>
    <t>PC České Budějovice</t>
  </si>
  <si>
    <t>040</t>
  </si>
  <si>
    <t>PC Praha 13</t>
  </si>
  <si>
    <t>041</t>
  </si>
  <si>
    <t>PETANQUE NIŽBOR</t>
  </si>
  <si>
    <t>042</t>
  </si>
  <si>
    <t>PCP LIPNÍK</t>
  </si>
  <si>
    <t>043</t>
  </si>
  <si>
    <t>FRAPECO</t>
  </si>
  <si>
    <t>044</t>
  </si>
  <si>
    <t>Vojnův Městec</t>
  </si>
  <si>
    <t>045</t>
  </si>
  <si>
    <t>FENYX</t>
  </si>
  <si>
    <t>046</t>
  </si>
  <si>
    <t>LES BOULLES HOSTIVAŘ</t>
  </si>
  <si>
    <t>047</t>
  </si>
  <si>
    <t>TJ AGRO CHEB</t>
  </si>
  <si>
    <t>048</t>
  </si>
  <si>
    <t>AURA Havlíčkův Brod</t>
  </si>
  <si>
    <t>049</t>
  </si>
  <si>
    <t>PEKLUBO Bohnice</t>
  </si>
  <si>
    <t>050</t>
  </si>
  <si>
    <t>HODICE</t>
  </si>
  <si>
    <t>051</t>
  </si>
  <si>
    <t>UBU - United Balls of Únětice</t>
  </si>
  <si>
    <t>052</t>
  </si>
  <si>
    <t>PC Sokol Velim</t>
  </si>
  <si>
    <t>053</t>
  </si>
  <si>
    <t>TJ SOKOL Jabkenice</t>
  </si>
  <si>
    <t>054</t>
  </si>
  <si>
    <t>SK SAHARA Vědomice</t>
  </si>
  <si>
    <t>055</t>
  </si>
  <si>
    <t>PK OSIKA</t>
  </si>
  <si>
    <t>056</t>
  </si>
  <si>
    <t>HRANICE VI.-VALŠOVICE</t>
  </si>
  <si>
    <t>Seznam licencovaných hráčů ČAPEK</t>
  </si>
  <si>
    <t>(výpis z matriky, doplněný výsledky ze žebříčku)</t>
  </si>
  <si>
    <t>č.</t>
  </si>
  <si>
    <t>licence</t>
  </si>
  <si>
    <t>prijmeni</t>
  </si>
  <si>
    <t>jmeno</t>
  </si>
  <si>
    <t>kat</t>
  </si>
  <si>
    <t>klub</t>
  </si>
  <si>
    <t>rocnik</t>
  </si>
  <si>
    <t>cz</t>
  </si>
  <si>
    <t>sila</t>
  </si>
  <si>
    <t>body</t>
  </si>
  <si>
    <t>bonusy</t>
  </si>
  <si>
    <t>Adamec</t>
  </si>
  <si>
    <t>Ladislav</t>
  </si>
  <si>
    <t>Adámek</t>
  </si>
  <si>
    <t>Lukáš</t>
  </si>
  <si>
    <t>Anton</t>
  </si>
  <si>
    <t>Lubomír</t>
  </si>
  <si>
    <t>Babej</t>
  </si>
  <si>
    <t>Petr</t>
  </si>
  <si>
    <t>Balík</t>
  </si>
  <si>
    <t>Martin</t>
  </si>
  <si>
    <t>Petank Club Praha</t>
  </si>
  <si>
    <t>Bartoš</t>
  </si>
  <si>
    <t>Josef</t>
  </si>
  <si>
    <t>Bartošová</t>
  </si>
  <si>
    <t>Helena</t>
  </si>
  <si>
    <t>Kristýna</t>
  </si>
  <si>
    <t>Zuzana</t>
  </si>
  <si>
    <t>Bauer</t>
  </si>
  <si>
    <t>Ondřej</t>
  </si>
  <si>
    <t>J</t>
  </si>
  <si>
    <t>PO Chotěboř</t>
  </si>
  <si>
    <t>Bayer</t>
  </si>
  <si>
    <t>Milan</t>
  </si>
  <si>
    <t>UBU Únětice</t>
  </si>
  <si>
    <t>PC AUSTERLITZ 1805</t>
  </si>
  <si>
    <t>Miroslav</t>
  </si>
  <si>
    <t>Tomáš</t>
  </si>
  <si>
    <t>Bayerová</t>
  </si>
  <si>
    <t>Hana</t>
  </si>
  <si>
    <t>Bažant</t>
  </si>
  <si>
    <t>Vladimír</t>
  </si>
  <si>
    <t>PK Sezemice</t>
  </si>
  <si>
    <t>Bačo</t>
  </si>
  <si>
    <t>David</t>
  </si>
  <si>
    <t>Beckhamová</t>
  </si>
  <si>
    <t>Lilly</t>
  </si>
  <si>
    <t>JZ</t>
  </si>
  <si>
    <t>PCFT Sokoleč</t>
  </si>
  <si>
    <t>Sophia</t>
  </si>
  <si>
    <t>Bednářová</t>
  </si>
  <si>
    <t>Jaroslava</t>
  </si>
  <si>
    <t>SENIOR TÝM Praha 1</t>
  </si>
  <si>
    <t>Bejšovec</t>
  </si>
  <si>
    <t>Bejó</t>
  </si>
  <si>
    <t>Emilly</t>
  </si>
  <si>
    <t>PSK Jihlava</t>
  </si>
  <si>
    <t>Bernát</t>
  </si>
  <si>
    <t>Bernátová</t>
  </si>
  <si>
    <t>Zdenka</t>
  </si>
  <si>
    <t>Beránek ml.</t>
  </si>
  <si>
    <t>Beránek st.</t>
  </si>
  <si>
    <t>Beseda</t>
  </si>
  <si>
    <t>Daniel</t>
  </si>
  <si>
    <t>Club Rodamiento</t>
  </si>
  <si>
    <t>Binko</t>
  </si>
  <si>
    <t>Luděk</t>
  </si>
  <si>
    <t>Blaschková</t>
  </si>
  <si>
    <t>Dagmar</t>
  </si>
  <si>
    <t>Blaščák</t>
  </si>
  <si>
    <t>PC Přítkov</t>
  </si>
  <si>
    <t>Blažej</t>
  </si>
  <si>
    <t>1. Starobrněnský PK</t>
  </si>
  <si>
    <t>Blažejová</t>
  </si>
  <si>
    <t>Eva</t>
  </si>
  <si>
    <t>Blažková</t>
  </si>
  <si>
    <t>Marie</t>
  </si>
  <si>
    <t>Bliek</t>
  </si>
  <si>
    <t>Jiří</t>
  </si>
  <si>
    <t>Michael Ray</t>
  </si>
  <si>
    <t>Blieková</t>
  </si>
  <si>
    <t>Alena</t>
  </si>
  <si>
    <t>Borovičková</t>
  </si>
  <si>
    <t>Eliška</t>
  </si>
  <si>
    <t>SKP Kulová osma</t>
  </si>
  <si>
    <t>Borský</t>
  </si>
  <si>
    <t>Matouš</t>
  </si>
  <si>
    <t>Botek</t>
  </si>
  <si>
    <t>Jan</t>
  </si>
  <si>
    <t>P.C.B.D.</t>
  </si>
  <si>
    <t>Boubínová</t>
  </si>
  <si>
    <t>Vendula</t>
  </si>
  <si>
    <t>Boušová</t>
  </si>
  <si>
    <t>Ludmila</t>
  </si>
  <si>
    <t>Boček</t>
  </si>
  <si>
    <t>Jaroslav</t>
  </si>
  <si>
    <t>Bořuta</t>
  </si>
  <si>
    <t>Brabec</t>
  </si>
  <si>
    <t>POP Praha</t>
  </si>
  <si>
    <t>Brandes</t>
  </si>
  <si>
    <t>Michael</t>
  </si>
  <si>
    <t>PC Damníkov</t>
  </si>
  <si>
    <t>Valter</t>
  </si>
  <si>
    <t>Brandýský</t>
  </si>
  <si>
    <t>Braunová</t>
  </si>
  <si>
    <t>Ivana</t>
  </si>
  <si>
    <t>Brevčinský</t>
  </si>
  <si>
    <t>Brichta</t>
  </si>
  <si>
    <t>Brož</t>
  </si>
  <si>
    <t>Dominik</t>
  </si>
  <si>
    <t>Karel</t>
  </si>
  <si>
    <t>SOKOL Staříč</t>
  </si>
  <si>
    <t>Brož ml.</t>
  </si>
  <si>
    <t>Oldřich</t>
  </si>
  <si>
    <t>PK 1293 Vojnův Městec</t>
  </si>
  <si>
    <t>Brávek</t>
  </si>
  <si>
    <t>PK Osika Plzeň</t>
  </si>
  <si>
    <t>Brázda ml.</t>
  </si>
  <si>
    <t>Brázda st.</t>
  </si>
  <si>
    <t>Brůna</t>
  </si>
  <si>
    <t>Renata</t>
  </si>
  <si>
    <t>Bucek</t>
  </si>
  <si>
    <t>Zdeněk</t>
  </si>
  <si>
    <t>Buchta</t>
  </si>
  <si>
    <t>Bukalová</t>
  </si>
  <si>
    <t>Václava</t>
  </si>
  <si>
    <t>Bukovčík</t>
  </si>
  <si>
    <t>Bureš ml.</t>
  </si>
  <si>
    <t>Pavel</t>
  </si>
  <si>
    <t>HAPEK</t>
  </si>
  <si>
    <t>Bureš st.</t>
  </si>
  <si>
    <t>Burešová</t>
  </si>
  <si>
    <t>Anna</t>
  </si>
  <si>
    <t>Jana</t>
  </si>
  <si>
    <t>Bury</t>
  </si>
  <si>
    <t>Radim</t>
  </si>
  <si>
    <t>Bučinský</t>
  </si>
  <si>
    <t>PKT Velký Šanc</t>
  </si>
  <si>
    <t>Bytešník</t>
  </si>
  <si>
    <t>Roman</t>
  </si>
  <si>
    <t>Bytešníková</t>
  </si>
  <si>
    <t>Zlatuše</t>
  </si>
  <si>
    <t>Bílek</t>
  </si>
  <si>
    <t>Rudolf</t>
  </si>
  <si>
    <t>Vojtěch</t>
  </si>
  <si>
    <t>Bílková</t>
  </si>
  <si>
    <t>Blanka</t>
  </si>
  <si>
    <t>Bím</t>
  </si>
  <si>
    <t>Luboš</t>
  </si>
  <si>
    <t>Bímová</t>
  </si>
  <si>
    <t>Březina</t>
  </si>
  <si>
    <t>Březinová</t>
  </si>
  <si>
    <t>HP Třebíč</t>
  </si>
  <si>
    <t>Cakl</t>
  </si>
  <si>
    <t>Chaloupek</t>
  </si>
  <si>
    <t>Chalupa</t>
  </si>
  <si>
    <t>Charvát</t>
  </si>
  <si>
    <t>Chludilová</t>
  </si>
  <si>
    <t>Chmelař</t>
  </si>
  <si>
    <t>Ivo</t>
  </si>
  <si>
    <t>Chmelařová</t>
  </si>
  <si>
    <t>Yvetta</t>
  </si>
  <si>
    <t>Chocholouš</t>
  </si>
  <si>
    <t>Chodúr</t>
  </si>
  <si>
    <t>Peter</t>
  </si>
  <si>
    <t>Chovan</t>
  </si>
  <si>
    <t>Christov</t>
  </si>
  <si>
    <t>Christo</t>
  </si>
  <si>
    <t>SK Pétanque Řepy</t>
  </si>
  <si>
    <t>Christovová</t>
  </si>
  <si>
    <t>Irena</t>
  </si>
  <si>
    <t>Chudoba</t>
  </si>
  <si>
    <t>Jakub</t>
  </si>
  <si>
    <t>Chval</t>
  </si>
  <si>
    <t>Chvátalová</t>
  </si>
  <si>
    <t>Cicutto</t>
  </si>
  <si>
    <t>Romolo</t>
  </si>
  <si>
    <t>Cicuttová</t>
  </si>
  <si>
    <t>Colin</t>
  </si>
  <si>
    <t>Cyril</t>
  </si>
  <si>
    <t>Csibrei</t>
  </si>
  <si>
    <t>Daněk</t>
  </si>
  <si>
    <t>Patrik</t>
  </si>
  <si>
    <t>Defer</t>
  </si>
  <si>
    <t>Thierry</t>
  </si>
  <si>
    <t>Demel</t>
  </si>
  <si>
    <t>Demčík</t>
  </si>
  <si>
    <t>Demčíková</t>
  </si>
  <si>
    <t>Jiřina</t>
  </si>
  <si>
    <t>Dlouhá</t>
  </si>
  <si>
    <t>Dohnal</t>
  </si>
  <si>
    <t>Dolan</t>
  </si>
  <si>
    <t>Dostál</t>
  </si>
  <si>
    <t>Jaromír</t>
  </si>
  <si>
    <t>Doubrava</t>
  </si>
  <si>
    <t>Antonín</t>
  </si>
  <si>
    <t>Douděrová</t>
  </si>
  <si>
    <t>Bohumila</t>
  </si>
  <si>
    <t>Došek</t>
  </si>
  <si>
    <t>Došková</t>
  </si>
  <si>
    <t>Dočyncová</t>
  </si>
  <si>
    <t>Denisa</t>
  </si>
  <si>
    <t>Dočynec</t>
  </si>
  <si>
    <t>Matěj</t>
  </si>
  <si>
    <t>Drmola</t>
  </si>
  <si>
    <t>Michal</t>
  </si>
  <si>
    <t>Drmolová</t>
  </si>
  <si>
    <t>Elena</t>
  </si>
  <si>
    <t>Petra</t>
  </si>
  <si>
    <t>Drásal</t>
  </si>
  <si>
    <t>Dudašková</t>
  </si>
  <si>
    <t>Michaela</t>
  </si>
  <si>
    <t>Dušek</t>
  </si>
  <si>
    <t>Duška</t>
  </si>
  <si>
    <t>Miloš</t>
  </si>
  <si>
    <t>Dušková</t>
  </si>
  <si>
    <t>Alžběta</t>
  </si>
  <si>
    <t>Dušáková</t>
  </si>
  <si>
    <t>Veronika</t>
  </si>
  <si>
    <t>Dvořák</t>
  </si>
  <si>
    <t>Václav</t>
  </si>
  <si>
    <t>PC Sokol PP Hr. Králové</t>
  </si>
  <si>
    <t>Dvořáková</t>
  </si>
  <si>
    <t>Jarmila</t>
  </si>
  <si>
    <t>Taťana</t>
  </si>
  <si>
    <t>Dvořáček</t>
  </si>
  <si>
    <t>Dyba</t>
  </si>
  <si>
    <t>Dalibor</t>
  </si>
  <si>
    <t>Děcká</t>
  </si>
  <si>
    <t>Klára</t>
  </si>
  <si>
    <t>Děcký</t>
  </si>
  <si>
    <t>Dědina</t>
  </si>
  <si>
    <t>Dřevojan</t>
  </si>
  <si>
    <t>Eliáš</t>
  </si>
  <si>
    <t>Filip</t>
  </si>
  <si>
    <t>Fabík</t>
  </si>
  <si>
    <t>Arnošt</t>
  </si>
  <si>
    <t>Fabíková</t>
  </si>
  <si>
    <t>Andrea</t>
  </si>
  <si>
    <t>Silvie</t>
  </si>
  <si>
    <t>Fadrný</t>
  </si>
  <si>
    <t>Fafek</t>
  </si>
  <si>
    <t>Fafková</t>
  </si>
  <si>
    <t>Fajmon</t>
  </si>
  <si>
    <t>František</t>
  </si>
  <si>
    <t>Radovan</t>
  </si>
  <si>
    <t>Fajmonová</t>
  </si>
  <si>
    <t>Faltýnek</t>
  </si>
  <si>
    <t>Faust</t>
  </si>
  <si>
    <t>Sokol Kostomlaty</t>
  </si>
  <si>
    <t>Fedor</t>
  </si>
  <si>
    <t>Felger</t>
  </si>
  <si>
    <t>Felčárek</t>
  </si>
  <si>
    <t>Fereš</t>
  </si>
  <si>
    <t>Ferlay</t>
  </si>
  <si>
    <t>Franck</t>
  </si>
  <si>
    <t>Matyáš</t>
  </si>
  <si>
    <t>Fiedlerová</t>
  </si>
  <si>
    <t>Kamila</t>
  </si>
  <si>
    <t>Fila</t>
  </si>
  <si>
    <t>Fleischer</t>
  </si>
  <si>
    <t>Axel</t>
  </si>
  <si>
    <t>Flek</t>
  </si>
  <si>
    <t>Vratislav</t>
  </si>
  <si>
    <t>Foggia Ondryášová</t>
  </si>
  <si>
    <t>Nika</t>
  </si>
  <si>
    <t>Froněk ml.</t>
  </si>
  <si>
    <t>Froněk st.</t>
  </si>
  <si>
    <t>Froňková</t>
  </si>
  <si>
    <t>Kateřina</t>
  </si>
  <si>
    <t>Fryš</t>
  </si>
  <si>
    <t>Fukal</t>
  </si>
  <si>
    <t>JAPKO</t>
  </si>
  <si>
    <t>Fukalová</t>
  </si>
  <si>
    <t>Šárka</t>
  </si>
  <si>
    <t>Fuksa</t>
  </si>
  <si>
    <t>Fára</t>
  </si>
  <si>
    <t>Jindřich</t>
  </si>
  <si>
    <t>Fárová</t>
  </si>
  <si>
    <t>Fürst</t>
  </si>
  <si>
    <t>Gardáš</t>
  </si>
  <si>
    <t>Orel Řečkovice</t>
  </si>
  <si>
    <t>Gavlas</t>
  </si>
  <si>
    <t>Gavlasová</t>
  </si>
  <si>
    <t>Lucie</t>
  </si>
  <si>
    <t>Gazdíková</t>
  </si>
  <si>
    <t>Geisler</t>
  </si>
  <si>
    <t>Dan</t>
  </si>
  <si>
    <t>Geislerová</t>
  </si>
  <si>
    <t>Glaser</t>
  </si>
  <si>
    <t>Glaserová</t>
  </si>
  <si>
    <t>Danuše</t>
  </si>
  <si>
    <t>Gordonová</t>
  </si>
  <si>
    <t>Květa</t>
  </si>
  <si>
    <t>Gorroňo López</t>
  </si>
  <si>
    <t>Rubi</t>
  </si>
  <si>
    <t>Gratcl</t>
  </si>
  <si>
    <t>Grepl</t>
  </si>
  <si>
    <t>Zbyněk</t>
  </si>
  <si>
    <t>Gruber</t>
  </si>
  <si>
    <t>FENYX Adamov</t>
  </si>
  <si>
    <t>Gruberová</t>
  </si>
  <si>
    <t>Gráfik</t>
  </si>
  <si>
    <t>Gráfiková</t>
  </si>
  <si>
    <t>Marcela</t>
  </si>
  <si>
    <t>Gröschl</t>
  </si>
  <si>
    <t>Gubiš</t>
  </si>
  <si>
    <t>Górski</t>
  </si>
  <si>
    <t>Pawel</t>
  </si>
  <si>
    <t>Habásko</t>
  </si>
  <si>
    <t>HAVAJ CB</t>
  </si>
  <si>
    <t>Habásková</t>
  </si>
  <si>
    <t>Miroslava</t>
  </si>
  <si>
    <t>Hajný</t>
  </si>
  <si>
    <t>Haman</t>
  </si>
  <si>
    <t>Handl</t>
  </si>
  <si>
    <t>Hanuš</t>
  </si>
  <si>
    <t>SPORT Kolín</t>
  </si>
  <si>
    <t>Hanušová</t>
  </si>
  <si>
    <t>Hanzlík</t>
  </si>
  <si>
    <t>Hanák</t>
  </si>
  <si>
    <t>Hanč</t>
  </si>
  <si>
    <t>Hančová</t>
  </si>
  <si>
    <t>Alice</t>
  </si>
  <si>
    <t>Karolína</t>
  </si>
  <si>
    <t>Harašta</t>
  </si>
  <si>
    <t>Hauer</t>
  </si>
  <si>
    <t>Havel</t>
  </si>
  <si>
    <t>Havlová</t>
  </si>
  <si>
    <t>Martina</t>
  </si>
  <si>
    <t>Havlín</t>
  </si>
  <si>
    <t>Adam</t>
  </si>
  <si>
    <t>Havlínová</t>
  </si>
  <si>
    <t>Věra</t>
  </si>
  <si>
    <t>Hašek</t>
  </si>
  <si>
    <t>Hašková</t>
  </si>
  <si>
    <t>Vlastimila</t>
  </si>
  <si>
    <t>Hejl ml.</t>
  </si>
  <si>
    <t>Heller</t>
  </si>
  <si>
    <t>Hendrych</t>
  </si>
  <si>
    <t>Hercoková</t>
  </si>
  <si>
    <t>Milena</t>
  </si>
  <si>
    <t>Hess</t>
  </si>
  <si>
    <t>Larissa</t>
  </si>
  <si>
    <t>Markus</t>
  </si>
  <si>
    <t>Hildenbrand</t>
  </si>
  <si>
    <t>Benjamin</t>
  </si>
  <si>
    <t>Hladký</t>
  </si>
  <si>
    <t>Hladík</t>
  </si>
  <si>
    <t>Hlavatý</t>
  </si>
  <si>
    <t>Hlaváčková</t>
  </si>
  <si>
    <t>Heda</t>
  </si>
  <si>
    <t>Hlucho-Horvát</t>
  </si>
  <si>
    <t>Hnilica</t>
  </si>
  <si>
    <t>Hochmann</t>
  </si>
  <si>
    <t>Hocková</t>
  </si>
  <si>
    <t>Hodboď</t>
  </si>
  <si>
    <t>Hodboďová</t>
  </si>
  <si>
    <t>Romana</t>
  </si>
  <si>
    <t>Hokešová</t>
  </si>
  <si>
    <t>Holba</t>
  </si>
  <si>
    <t>PC Hrabyně</t>
  </si>
  <si>
    <t>Holbová</t>
  </si>
  <si>
    <t>Holec</t>
  </si>
  <si>
    <t>Libor</t>
  </si>
  <si>
    <t>Holenda</t>
  </si>
  <si>
    <t>Holický</t>
  </si>
  <si>
    <t>Holoubek</t>
  </si>
  <si>
    <t>Horák</t>
  </si>
  <si>
    <t>Horáková</t>
  </si>
  <si>
    <t>Iva</t>
  </si>
  <si>
    <t>Horálek</t>
  </si>
  <si>
    <t>Horáček</t>
  </si>
  <si>
    <t>Horáčková</t>
  </si>
  <si>
    <t>Simona</t>
  </si>
  <si>
    <t>Horčica</t>
  </si>
  <si>
    <t>Horčicová</t>
  </si>
  <si>
    <t>Tereza</t>
  </si>
  <si>
    <t>Houška</t>
  </si>
  <si>
    <t>Hošek</t>
  </si>
  <si>
    <t>Vladislav</t>
  </si>
  <si>
    <t>Hošková</t>
  </si>
  <si>
    <t>Stanislava</t>
  </si>
  <si>
    <t>Hrbáček</t>
  </si>
  <si>
    <t>Hrotík</t>
  </si>
  <si>
    <t>Igor</t>
  </si>
  <si>
    <t>Hrušková</t>
  </si>
  <si>
    <t>Beatrice</t>
  </si>
  <si>
    <t>Hudečková</t>
  </si>
  <si>
    <t>Hudos</t>
  </si>
  <si>
    <t>Husák</t>
  </si>
  <si>
    <t>Husáková</t>
  </si>
  <si>
    <t>Huttr</t>
  </si>
  <si>
    <t>PK Svojkovice Brod</t>
  </si>
  <si>
    <t>Hutáková</t>
  </si>
  <si>
    <t>Hvížď</t>
  </si>
  <si>
    <t>Hybler</t>
  </si>
  <si>
    <t>Hykl</t>
  </si>
  <si>
    <t>Spolek Park Grébovka</t>
  </si>
  <si>
    <t>Hyklová</t>
  </si>
  <si>
    <t>Hytych</t>
  </si>
  <si>
    <t>Hájek ml.</t>
  </si>
  <si>
    <t>Hájek st.</t>
  </si>
  <si>
    <t>Hájková</t>
  </si>
  <si>
    <t>Dorota</t>
  </si>
  <si>
    <t>Iveta</t>
  </si>
  <si>
    <t>Bowle 09 Klatovy</t>
  </si>
  <si>
    <t>Hůrka</t>
  </si>
  <si>
    <t>Hůrková</t>
  </si>
  <si>
    <t>Jindra</t>
  </si>
  <si>
    <t>Ilgner</t>
  </si>
  <si>
    <t>Imlauf</t>
  </si>
  <si>
    <t>Iwanuszek</t>
  </si>
  <si>
    <t>Boleslav</t>
  </si>
  <si>
    <t>Jablonský</t>
  </si>
  <si>
    <t>Jakeš</t>
  </si>
  <si>
    <t>Jakubek</t>
  </si>
  <si>
    <t>Janatková</t>
  </si>
  <si>
    <t>Vlasta</t>
  </si>
  <si>
    <t>Janatová</t>
  </si>
  <si>
    <t>Barbora</t>
  </si>
  <si>
    <t>Janeček</t>
  </si>
  <si>
    <t>Robert</t>
  </si>
  <si>
    <t>Jankovský</t>
  </si>
  <si>
    <t>Janoš</t>
  </si>
  <si>
    <t>Janík</t>
  </si>
  <si>
    <t>Janíčková</t>
  </si>
  <si>
    <t>Jarůšek</t>
  </si>
  <si>
    <t>Javůrková</t>
  </si>
  <si>
    <t>Jaworková</t>
  </si>
  <si>
    <t>Monika</t>
  </si>
  <si>
    <t>Jelínek</t>
  </si>
  <si>
    <t>Jelínková</t>
  </si>
  <si>
    <t>Olga</t>
  </si>
  <si>
    <t>Ježek</t>
  </si>
  <si>
    <t>Ježek ml.</t>
  </si>
  <si>
    <t>Ježek st.</t>
  </si>
  <si>
    <t>Ježková</t>
  </si>
  <si>
    <t>Jeřala</t>
  </si>
  <si>
    <t>Jeřalová</t>
  </si>
  <si>
    <t>Jeřábková</t>
  </si>
  <si>
    <t>Jindrová</t>
  </si>
  <si>
    <t>Jirkovský</t>
  </si>
  <si>
    <t>Johnová</t>
  </si>
  <si>
    <t>Jonášová</t>
  </si>
  <si>
    <t>Jitka</t>
  </si>
  <si>
    <t>Josífková</t>
  </si>
  <si>
    <t>Jurišta</t>
  </si>
  <si>
    <t>Kamil</t>
  </si>
  <si>
    <t>Juráň</t>
  </si>
  <si>
    <t>Jurč</t>
  </si>
  <si>
    <t>Kacerovský</t>
  </si>
  <si>
    <t>Kadavá</t>
  </si>
  <si>
    <t>Kalianko</t>
  </si>
  <si>
    <t>Kalábová</t>
  </si>
  <si>
    <t>Kamaryt</t>
  </si>
  <si>
    <t>Kamarád</t>
  </si>
  <si>
    <t>Prokop</t>
  </si>
  <si>
    <t>Kamarádová</t>
  </si>
  <si>
    <t>Kameník</t>
  </si>
  <si>
    <t>Kapeš</t>
  </si>
  <si>
    <t>Kaplánek</t>
  </si>
  <si>
    <t>Karban</t>
  </si>
  <si>
    <t>Karásek</t>
  </si>
  <si>
    <t>Karásková</t>
  </si>
  <si>
    <t>Soňa</t>
  </si>
  <si>
    <t>Kauca</t>
  </si>
  <si>
    <t>Kaucová</t>
  </si>
  <si>
    <t>Kauer</t>
  </si>
  <si>
    <t>Helmut</t>
  </si>
  <si>
    <t>Kašparová</t>
  </si>
  <si>
    <t>Kejíková</t>
  </si>
  <si>
    <t>Teresa</t>
  </si>
  <si>
    <t>Kerner</t>
  </si>
  <si>
    <t>Michala</t>
  </si>
  <si>
    <t>Kholová</t>
  </si>
  <si>
    <t>Zdeňka</t>
  </si>
  <si>
    <t>Kick</t>
  </si>
  <si>
    <t>Sandra</t>
  </si>
  <si>
    <t>Klenner</t>
  </si>
  <si>
    <t>Klouda</t>
  </si>
  <si>
    <t>Aleš</t>
  </si>
  <si>
    <t>Kloudová</t>
  </si>
  <si>
    <t>Klug ml.</t>
  </si>
  <si>
    <t>Klug st.</t>
  </si>
  <si>
    <t>Klugová</t>
  </si>
  <si>
    <t>Klír</t>
  </si>
  <si>
    <t>Kmoch</t>
  </si>
  <si>
    <t>Knespl</t>
  </si>
  <si>
    <t>Knápek</t>
  </si>
  <si>
    <t>Kobr</t>
  </si>
  <si>
    <t>Štěpán</t>
  </si>
  <si>
    <t>Kobrová</t>
  </si>
  <si>
    <t>Kobza</t>
  </si>
  <si>
    <t>Kohoutek</t>
  </si>
  <si>
    <t>Kohutová</t>
  </si>
  <si>
    <t>Kolaříková</t>
  </si>
  <si>
    <t>Jozefína</t>
  </si>
  <si>
    <t>Koláčná</t>
  </si>
  <si>
    <t>Koláčný</t>
  </si>
  <si>
    <t>Konečná</t>
  </si>
  <si>
    <t>Mariana</t>
  </si>
  <si>
    <t>Konečný</t>
  </si>
  <si>
    <t>Jonáš</t>
  </si>
  <si>
    <t>Konig</t>
  </si>
  <si>
    <t>Drahomír</t>
  </si>
  <si>
    <t>Konopová</t>
  </si>
  <si>
    <t>Marta</t>
  </si>
  <si>
    <t>Konopásek</t>
  </si>
  <si>
    <t>Konšel</t>
  </si>
  <si>
    <t>Robin</t>
  </si>
  <si>
    <t>Končel</t>
  </si>
  <si>
    <t>Kopečný</t>
  </si>
  <si>
    <t>Koreš ml.</t>
  </si>
  <si>
    <t>Koreš st.</t>
  </si>
  <si>
    <t>Korešová</t>
  </si>
  <si>
    <t>Korselt</t>
  </si>
  <si>
    <t>Korčáková</t>
  </si>
  <si>
    <t>Kot</t>
  </si>
  <si>
    <t>Kotas</t>
  </si>
  <si>
    <t>Kotlas</t>
  </si>
  <si>
    <t>Kotová</t>
  </si>
  <si>
    <t>Kotúčová</t>
  </si>
  <si>
    <t>Koudelka</t>
  </si>
  <si>
    <t>Koudelková</t>
  </si>
  <si>
    <t>Emílie</t>
  </si>
  <si>
    <t>Magdalena</t>
  </si>
  <si>
    <t>Kozak</t>
  </si>
  <si>
    <t>Kozaková</t>
  </si>
  <si>
    <t>Kozelský</t>
  </si>
  <si>
    <t>Kozák</t>
  </si>
  <si>
    <t>Kozáková</t>
  </si>
  <si>
    <t>Kožený</t>
  </si>
  <si>
    <t>Kočandrle</t>
  </si>
  <si>
    <t>Kočová</t>
  </si>
  <si>
    <t>Koňasová</t>
  </si>
  <si>
    <t>Krajánková</t>
  </si>
  <si>
    <t>Krassa</t>
  </si>
  <si>
    <t>Kratochvíl</t>
  </si>
  <si>
    <t>Slavomír</t>
  </si>
  <si>
    <t>Kratochvílová</t>
  </si>
  <si>
    <t>Anežka</t>
  </si>
  <si>
    <t>Krejčín</t>
  </si>
  <si>
    <t>Leoš</t>
  </si>
  <si>
    <t>Krejčínová</t>
  </si>
  <si>
    <t>Kremlík</t>
  </si>
  <si>
    <t>Krhovská</t>
  </si>
  <si>
    <t>Dana</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</si>
  <si>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</si>
  <si>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</si>
  <si>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</si>
  <si>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</si>
  <si>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</si>
  <si>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</si>
  <si>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</si>
  <si>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</si>
  <si>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</si>
  <si>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</si>
  <si>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</si>
  <si>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</si>
  <si>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</si>
  <si>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</si>
  <si>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</si>
  <si>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</si>
  <si>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</si>
  <si>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Kuklová</t>
  </si>
  <si>
    <t>Kula</t>
  </si>
  <si>
    <t>Kulhánek</t>
  </si>
  <si>
    <t>Kuman</t>
  </si>
  <si>
    <t>Kunc</t>
  </si>
  <si>
    <t>Kunert</t>
  </si>
  <si>
    <t>Kutra</t>
  </si>
  <si>
    <t>Oldřích</t>
  </si>
  <si>
    <t>Kutá</t>
  </si>
  <si>
    <t>Miloslava</t>
  </si>
  <si>
    <t>Kutý</t>
  </si>
  <si>
    <t>Kučera</t>
  </si>
  <si>
    <t>Bohumil</t>
  </si>
  <si>
    <t>Kučerová</t>
  </si>
  <si>
    <t>Kvítek</t>
  </si>
  <si>
    <t>Franjo</t>
  </si>
  <si>
    <t>Kynčl</t>
  </si>
  <si>
    <t>Kyzivát</t>
  </si>
  <si>
    <t>Kára</t>
  </si>
  <si>
    <t>Křížek</t>
  </si>
  <si>
    <t>Evžen</t>
  </si>
  <si>
    <t>Kúřil</t>
  </si>
  <si>
    <t>Lapihuska</t>
  </si>
  <si>
    <t>Lapihuska ml.</t>
  </si>
  <si>
    <t>Lapihuska st.</t>
  </si>
  <si>
    <t>Lazarová</t>
  </si>
  <si>
    <t>Leiský</t>
  </si>
  <si>
    <t>Leander</t>
  </si>
  <si>
    <t>Lelek</t>
  </si>
  <si>
    <t>Bohuslav</t>
  </si>
  <si>
    <t>Lengál</t>
  </si>
  <si>
    <t>Levínský</t>
  </si>
  <si>
    <t>Radek</t>
  </si>
  <si>
    <t>Litvin</t>
  </si>
  <si>
    <t>Vasil</t>
  </si>
  <si>
    <t>Lochman</t>
  </si>
  <si>
    <t>Lopatka</t>
  </si>
  <si>
    <t>Loprais</t>
  </si>
  <si>
    <t>Louda</t>
  </si>
  <si>
    <t>Ludvová Hašková</t>
  </si>
  <si>
    <t>Lukačevič</t>
  </si>
  <si>
    <t>Lukeš</t>
  </si>
  <si>
    <t>PLUK Jablonec</t>
  </si>
  <si>
    <t>Vít</t>
  </si>
  <si>
    <t>Lukášová</t>
  </si>
  <si>
    <t>Mach</t>
  </si>
  <si>
    <t>Malina</t>
  </si>
  <si>
    <t>Mališ</t>
  </si>
  <si>
    <t>Mallat</t>
  </si>
  <si>
    <t>Malá</t>
  </si>
  <si>
    <t>Margita</t>
  </si>
  <si>
    <t>Malínská</t>
  </si>
  <si>
    <t>Malý</t>
  </si>
  <si>
    <t>Mandíková</t>
  </si>
  <si>
    <t>Sylva</t>
  </si>
  <si>
    <t>Manka</t>
  </si>
  <si>
    <t>Heinz</t>
  </si>
  <si>
    <t>Marcián</t>
  </si>
  <si>
    <t>Marešová</t>
  </si>
  <si>
    <t>Marečková</t>
  </si>
  <si>
    <t>Yvonne</t>
  </si>
  <si>
    <t>Marhoul</t>
  </si>
  <si>
    <t>Maršík</t>
  </si>
  <si>
    <t>Matoušek</t>
  </si>
  <si>
    <t>Matuška</t>
  </si>
  <si>
    <t>Mazúr</t>
  </si>
  <si>
    <t>Mazúrová</t>
  </si>
  <si>
    <t>Pavla</t>
  </si>
  <si>
    <t>Mašek</t>
  </si>
  <si>
    <t>Mašková</t>
  </si>
  <si>
    <t>Markéta</t>
  </si>
  <si>
    <t>Maňák</t>
  </si>
  <si>
    <t>Meduna</t>
  </si>
  <si>
    <t>Vilém</t>
  </si>
  <si>
    <t>Medunová</t>
  </si>
  <si>
    <t>Melen</t>
  </si>
  <si>
    <t>Melgr</t>
  </si>
  <si>
    <t>Melich Mallatová</t>
  </si>
  <si>
    <t>Merta</t>
  </si>
  <si>
    <t>Jáchym</t>
  </si>
  <si>
    <t>Mertová</t>
  </si>
  <si>
    <t>Apolena</t>
  </si>
  <si>
    <t>Michalička</t>
  </si>
  <si>
    <t>Michovská</t>
  </si>
  <si>
    <t>Michovský ml.</t>
  </si>
  <si>
    <t>Michovský st.</t>
  </si>
  <si>
    <t>Michálek</t>
  </si>
  <si>
    <t>Michálková</t>
  </si>
  <si>
    <t>Mifka</t>
  </si>
  <si>
    <t>Mikel</t>
  </si>
  <si>
    <t>Mikloš</t>
  </si>
  <si>
    <t>Mikulášková</t>
  </si>
  <si>
    <t>Mikyška</t>
  </si>
  <si>
    <t>Mikyšková</t>
  </si>
  <si>
    <t>Agáta</t>
  </si>
  <si>
    <t>Mikšovský</t>
  </si>
  <si>
    <t>Mimrová</t>
  </si>
  <si>
    <t>Mitkovová</t>
  </si>
  <si>
    <t>Mokoš</t>
  </si>
  <si>
    <t>Moos</t>
  </si>
  <si>
    <t>Dušan</t>
  </si>
  <si>
    <t>Moosová</t>
  </si>
  <si>
    <t>Morávek</t>
  </si>
  <si>
    <t>Motl</t>
  </si>
  <si>
    <t>Motlová</t>
  </si>
  <si>
    <t>Moucha</t>
  </si>
  <si>
    <t>Mrlina</t>
  </si>
  <si>
    <t>Mráz</t>
  </si>
  <si>
    <t>Mrázová</t>
  </si>
  <si>
    <t>Adéla</t>
  </si>
  <si>
    <t>Mrňák</t>
  </si>
  <si>
    <t>Musil</t>
  </si>
  <si>
    <t>Alex</t>
  </si>
  <si>
    <t>Musilová</t>
  </si>
  <si>
    <t>Pavlína</t>
  </si>
  <si>
    <t>Muzikant</t>
  </si>
  <si>
    <t>Mužík</t>
  </si>
  <si>
    <t>Míček</t>
  </si>
  <si>
    <t>Míčková</t>
  </si>
  <si>
    <t>Adriana</t>
  </si>
  <si>
    <t>Müller</t>
  </si>
  <si>
    <t>Müllerová</t>
  </si>
  <si>
    <t>Navalaný</t>
  </si>
  <si>
    <t>Navrátil</t>
  </si>
  <si>
    <t>Navrátilová</t>
  </si>
  <si>
    <t>Nepomucký</t>
  </si>
  <si>
    <t>Netušil</t>
  </si>
  <si>
    <t>Novotná</t>
  </si>
  <si>
    <t>Novotný</t>
  </si>
  <si>
    <t>Novák</t>
  </si>
  <si>
    <t>Boris</t>
  </si>
  <si>
    <t>Nováková</t>
  </si>
  <si>
    <t>Mária</t>
  </si>
  <si>
    <t>Němec</t>
  </si>
  <si>
    <t>Němečková</t>
  </si>
  <si>
    <t>Radomíra</t>
  </si>
  <si>
    <t>Nývlt</t>
  </si>
  <si>
    <t>Olbort</t>
  </si>
  <si>
    <t>Olšar</t>
  </si>
  <si>
    <t>Marek</t>
  </si>
  <si>
    <t>Ondruška</t>
  </si>
  <si>
    <t>Ondryhal</t>
  </si>
  <si>
    <t>Ondryhalová</t>
  </si>
  <si>
    <t>Ondryáš</t>
  </si>
  <si>
    <t>Oujezdský</t>
  </si>
  <si>
    <t>Pacák</t>
  </si>
  <si>
    <t>Palas</t>
  </si>
  <si>
    <t>Palicová</t>
  </si>
  <si>
    <t>Palička</t>
  </si>
  <si>
    <t>Pastorek</t>
  </si>
  <si>
    <t>Patala</t>
  </si>
  <si>
    <t>Patalová</t>
  </si>
  <si>
    <t>Paterová</t>
  </si>
  <si>
    <t>Paták</t>
  </si>
  <si>
    <t>Paulík</t>
  </si>
  <si>
    <t>Pavlík st.</t>
  </si>
  <si>
    <t>Pavlíková</t>
  </si>
  <si>
    <t>Pažout</t>
  </si>
  <si>
    <t>Pechr</t>
  </si>
  <si>
    <t>Pejsar</t>
  </si>
  <si>
    <t>Pellizon</t>
  </si>
  <si>
    <t>Boris Alfred</t>
  </si>
  <si>
    <t>Petrasová</t>
  </si>
  <si>
    <t>Petržela</t>
  </si>
  <si>
    <t>Miloslav</t>
  </si>
  <si>
    <t>Petrželka</t>
  </si>
  <si>
    <t>Petrášová</t>
  </si>
  <si>
    <t>Petura</t>
  </si>
  <si>
    <t>Petříková</t>
  </si>
  <si>
    <t>Pešta</t>
  </si>
  <si>
    <t>Pešťák</t>
  </si>
  <si>
    <t>Pfeiffer</t>
  </si>
  <si>
    <t>Pflimpflová</t>
  </si>
  <si>
    <t>Alexandra</t>
  </si>
  <si>
    <t>Piller</t>
  </si>
  <si>
    <t>Pillerová</t>
  </si>
  <si>
    <t>Pilát</t>
  </si>
  <si>
    <t>Pipta</t>
  </si>
  <si>
    <t>Plachý</t>
  </si>
  <si>
    <t>Plaček</t>
  </si>
  <si>
    <t>Plesník</t>
  </si>
  <si>
    <t>Plucar</t>
  </si>
  <si>
    <t>Podroužková</t>
  </si>
  <si>
    <t>Ingrid</t>
  </si>
  <si>
    <t>Podrábský</t>
  </si>
  <si>
    <t>Pokorná</t>
  </si>
  <si>
    <t>Pokorný</t>
  </si>
  <si>
    <t>Polách</t>
  </si>
  <si>
    <t>Poláchová</t>
  </si>
  <si>
    <t>Pomeje</t>
  </si>
  <si>
    <t>Popelka</t>
  </si>
  <si>
    <t>Pospíšilová</t>
  </si>
  <si>
    <t>Potrošovská</t>
  </si>
  <si>
    <t>Potrošovský</t>
  </si>
  <si>
    <t>Potužák</t>
  </si>
  <si>
    <t>Pořízka</t>
  </si>
  <si>
    <t>Zbyšek</t>
  </si>
  <si>
    <t>Pražáková</t>
  </si>
  <si>
    <t>Prchalová</t>
  </si>
  <si>
    <t>Preuss</t>
  </si>
  <si>
    <t>Preussová</t>
  </si>
  <si>
    <t>Inka</t>
  </si>
  <si>
    <t>Proroková</t>
  </si>
  <si>
    <t>Proseč</t>
  </si>
  <si>
    <t>Prouzová</t>
  </si>
  <si>
    <t>Ptáček</t>
  </si>
  <si>
    <t>Ptáčková</t>
  </si>
  <si>
    <t>Brigita</t>
  </si>
  <si>
    <t>Puhr</t>
  </si>
  <si>
    <t>Pulda</t>
  </si>
  <si>
    <t>Miroš</t>
  </si>
  <si>
    <t>Pánek</t>
  </si>
  <si>
    <t>Pírek</t>
  </si>
  <si>
    <t>Přibyl</t>
  </si>
  <si>
    <t>Přikryl</t>
  </si>
  <si>
    <t>Přikrylová</t>
  </si>
  <si>
    <t>Regina</t>
  </si>
  <si>
    <t>Půža</t>
  </si>
  <si>
    <t>Radechovský</t>
  </si>
  <si>
    <t>Radoušová</t>
  </si>
  <si>
    <t>Rafaj</t>
  </si>
  <si>
    <t>Rakoncza</t>
  </si>
  <si>
    <t>Rambousek</t>
  </si>
  <si>
    <t>Radomil</t>
  </si>
  <si>
    <t>Reinbergrová</t>
  </si>
  <si>
    <t>Rendek</t>
  </si>
  <si>
    <t>Rendeková</t>
  </si>
  <si>
    <t>Rendjambé</t>
  </si>
  <si>
    <t>Amos</t>
  </si>
  <si>
    <t>Rendla</t>
  </si>
  <si>
    <t>Resl</t>
  </si>
  <si>
    <t>Režová</t>
  </si>
  <si>
    <t>Rieger</t>
  </si>
  <si>
    <t>Riegerová</t>
  </si>
  <si>
    <t>Marianna</t>
  </si>
  <si>
    <t>Roger</t>
  </si>
  <si>
    <t>Thomas</t>
  </si>
  <si>
    <t>Rolínek</t>
  </si>
  <si>
    <t>Rousek</t>
  </si>
  <si>
    <t>Simon</t>
  </si>
  <si>
    <t>Rousková</t>
  </si>
  <si>
    <t>Nina</t>
  </si>
  <si>
    <t>Rusek</t>
  </si>
  <si>
    <t>Rusková</t>
  </si>
  <si>
    <t>Rozálie</t>
  </si>
  <si>
    <t>Ruta</t>
  </si>
  <si>
    <t>Samuel</t>
  </si>
  <si>
    <t>Rychtář</t>
  </si>
  <si>
    <t>Rylich</t>
  </si>
  <si>
    <t>Rytíř</t>
  </si>
  <si>
    <t>Růžičková</t>
  </si>
  <si>
    <t>Milada</t>
  </si>
  <si>
    <t>Rückerová</t>
  </si>
  <si>
    <t>Salač</t>
  </si>
  <si>
    <t>Salvová</t>
  </si>
  <si>
    <t>Schejbal</t>
  </si>
  <si>
    <t>Schejbalová</t>
  </si>
  <si>
    <t>Schinzel</t>
  </si>
  <si>
    <t>Schinzelová</t>
  </si>
  <si>
    <t>Schliegsbirová</t>
  </si>
  <si>
    <t>Schneider</t>
  </si>
  <si>
    <t>Sedláčková</t>
  </si>
  <si>
    <t>Hedvika</t>
  </si>
  <si>
    <t>Sekerešová</t>
  </si>
  <si>
    <t>Jindřiška</t>
  </si>
  <si>
    <t>Semeniv</t>
  </si>
  <si>
    <t>Maryana Khrystyna</t>
  </si>
  <si>
    <t>Semotam</t>
  </si>
  <si>
    <t>Semrád</t>
  </si>
  <si>
    <t>Seredová</t>
  </si>
  <si>
    <t>Sionová</t>
  </si>
  <si>
    <t>Lenka</t>
  </si>
  <si>
    <t>Skala</t>
  </si>
  <si>
    <t>Skopal</t>
  </si>
  <si>
    <t>Skřepský</t>
  </si>
  <si>
    <t>Skřivan</t>
  </si>
  <si>
    <t>Slaný</t>
  </si>
  <si>
    <t>Slavíčková</t>
  </si>
  <si>
    <t>Slobodová</t>
  </si>
  <si>
    <t>Slunečko</t>
  </si>
  <si>
    <t>Sládková</t>
  </si>
  <si>
    <t>Smieško</t>
  </si>
  <si>
    <t>Smitek</t>
  </si>
  <si>
    <t>Smola</t>
  </si>
  <si>
    <t>Lumír</t>
  </si>
  <si>
    <t>Sobotka</t>
  </si>
  <si>
    <t>Soldán</t>
  </si>
  <si>
    <t>Sotona</t>
  </si>
  <si>
    <t>Souček</t>
  </si>
  <si>
    <t>Spilka</t>
  </si>
  <si>
    <t>Srnská</t>
  </si>
  <si>
    <t>Srnský</t>
  </si>
  <si>
    <t>Staneková</t>
  </si>
  <si>
    <t>Staněk</t>
  </si>
  <si>
    <t>Steinlauf</t>
  </si>
  <si>
    <t>Stejskal</t>
  </si>
  <si>
    <t>Stephan</t>
  </si>
  <si>
    <t>Stloukal</t>
  </si>
  <si>
    <t>Stoklásek</t>
  </si>
  <si>
    <t>Strouhal</t>
  </si>
  <si>
    <t>Strouhalová</t>
  </si>
  <si>
    <t>Terezie</t>
  </si>
  <si>
    <t>Suchomel</t>
  </si>
  <si>
    <t>Sudoměřický</t>
  </si>
  <si>
    <t>Suková</t>
  </si>
  <si>
    <t>Svoboda</t>
  </si>
  <si>
    <t>Rostislav</t>
  </si>
  <si>
    <t>Svobodová</t>
  </si>
  <si>
    <t>Syrovátka</t>
  </si>
  <si>
    <t>Tauchmanová</t>
  </si>
  <si>
    <t>Radka</t>
  </si>
  <si>
    <t>Tintěra</t>
  </si>
  <si>
    <t>Tintěrová</t>
  </si>
  <si>
    <t>Tkadlecová</t>
  </si>
  <si>
    <t>Tománek</t>
  </si>
  <si>
    <t>Tomášková</t>
  </si>
  <si>
    <t>Topolovský</t>
  </si>
  <si>
    <t>Trier</t>
  </si>
  <si>
    <t>Trmal</t>
  </si>
  <si>
    <t>Trnková</t>
  </si>
  <si>
    <t>Vladimíra</t>
  </si>
  <si>
    <t>Trojak</t>
  </si>
  <si>
    <t>Trudič</t>
  </si>
  <si>
    <t>Trýzna</t>
  </si>
  <si>
    <t>Turek</t>
  </si>
  <si>
    <t>Turoczy</t>
  </si>
  <si>
    <t>Marian</t>
  </si>
  <si>
    <t>Tydlitát</t>
  </si>
  <si>
    <t>Tymeš ml.</t>
  </si>
  <si>
    <t>Tymeš st.</t>
  </si>
  <si>
    <t>Tymešová</t>
  </si>
  <si>
    <t>Tyrol</t>
  </si>
  <si>
    <t>Ulmann</t>
  </si>
  <si>
    <t>Urbanová</t>
  </si>
  <si>
    <t>Bronislava</t>
  </si>
  <si>
    <t>Vacek</t>
  </si>
  <si>
    <t>Vais</t>
  </si>
  <si>
    <t>Vajová</t>
  </si>
  <si>
    <t>Vajčovec</t>
  </si>
  <si>
    <t>Valenz</t>
  </si>
  <si>
    <t>Valenzová</t>
  </si>
  <si>
    <t>Valová</t>
  </si>
  <si>
    <t>Valošek</t>
  </si>
  <si>
    <t>Hugo</t>
  </si>
  <si>
    <t>Valošková</t>
  </si>
  <si>
    <t>Sára</t>
  </si>
  <si>
    <t>Valík</t>
  </si>
  <si>
    <t>Van Den Heuvel</t>
  </si>
  <si>
    <t>Johannes Lambertus</t>
  </si>
  <si>
    <t>Vančurová</t>
  </si>
  <si>
    <t>Vančák</t>
  </si>
  <si>
    <t>Vaníček</t>
  </si>
  <si>
    <t>Vaníčková</t>
  </si>
  <si>
    <t>Vavrovič ml.</t>
  </si>
  <si>
    <t>Vavrovič st.</t>
  </si>
  <si>
    <t>Vašíček</t>
  </si>
  <si>
    <t>Vaňková</t>
  </si>
  <si>
    <t>Zhijing</t>
  </si>
  <si>
    <t>Vedral</t>
  </si>
  <si>
    <t>Vedralová</t>
  </si>
  <si>
    <t>Vejrek</t>
  </si>
  <si>
    <t>Vejvoda</t>
  </si>
  <si>
    <t>Velek</t>
  </si>
  <si>
    <t>Vencl</t>
  </si>
  <si>
    <t>Venclová</t>
  </si>
  <si>
    <t>Vilímová</t>
  </si>
  <si>
    <t>Vinopalová</t>
  </si>
  <si>
    <t>Radomila</t>
  </si>
  <si>
    <t>Vlach</t>
  </si>
  <si>
    <t>Vlasák</t>
  </si>
  <si>
    <t>Vlk</t>
  </si>
  <si>
    <t>Vochoč</t>
  </si>
  <si>
    <t>Vodehnal</t>
  </si>
  <si>
    <t>Vodehnalová</t>
  </si>
  <si>
    <t>Vokrouhlíková</t>
  </si>
  <si>
    <t>Vokurka</t>
  </si>
  <si>
    <t>Voldřichová</t>
  </si>
  <si>
    <t>Volenec</t>
  </si>
  <si>
    <t>Vondrouš</t>
  </si>
  <si>
    <t>Vondrová</t>
  </si>
  <si>
    <t>Vondráčková</t>
  </si>
  <si>
    <t>Vozka</t>
  </si>
  <si>
    <t>Voňka</t>
  </si>
  <si>
    <t>Voříšková</t>
  </si>
  <si>
    <t>Vrzal</t>
  </si>
  <si>
    <t>Radomír</t>
  </si>
  <si>
    <t>Vrána</t>
  </si>
  <si>
    <t>Theodor</t>
  </si>
  <si>
    <t>Vyoral</t>
  </si>
  <si>
    <t>Hynek</t>
  </si>
  <si>
    <t>Vytiska</t>
  </si>
  <si>
    <t>Vytisková ml.</t>
  </si>
  <si>
    <t>Vytisková st.</t>
  </si>
  <si>
    <t>Vávra</t>
  </si>
  <si>
    <t>Vávrová</t>
  </si>
  <si>
    <t>Váňová</t>
  </si>
  <si>
    <t>Vérosta</t>
  </si>
  <si>
    <t>Víchová</t>
  </si>
  <si>
    <t>Výsmeková</t>
  </si>
  <si>
    <t>Watorová</t>
  </si>
  <si>
    <t>Weberová</t>
  </si>
  <si>
    <t>Viktória</t>
  </si>
  <si>
    <t>Wiesner</t>
  </si>
  <si>
    <t>Wünsche</t>
  </si>
  <si>
    <t>Zapletalová</t>
  </si>
  <si>
    <t>Zdobinská</t>
  </si>
  <si>
    <t>Zdobinský</t>
  </si>
  <si>
    <t>Zelenková</t>
  </si>
  <si>
    <t>Zibura</t>
  </si>
  <si>
    <t>Ziegler</t>
  </si>
  <si>
    <t>Jochen</t>
  </si>
  <si>
    <t>Zikmunda</t>
  </si>
  <si>
    <t>Zoubek</t>
  </si>
  <si>
    <t>Henri</t>
  </si>
  <si>
    <t>Zálešák</t>
  </si>
  <si>
    <t>Stanislav</t>
  </si>
  <si>
    <t>Zítková</t>
  </si>
  <si>
    <t>Šamšulová</t>
  </si>
  <si>
    <t>Šatra</t>
  </si>
  <si>
    <t>Šašek</t>
  </si>
  <si>
    <t>Šebek</t>
  </si>
  <si>
    <t>Viktor</t>
  </si>
  <si>
    <t>Šebestová</t>
  </si>
  <si>
    <t>Šedivý</t>
  </si>
  <si>
    <t>Ševčík</t>
  </si>
  <si>
    <t>Šimara</t>
  </si>
  <si>
    <t>Šimek</t>
  </si>
  <si>
    <t>Šimíček</t>
  </si>
  <si>
    <t>Šipr</t>
  </si>
  <si>
    <t>Škobrtal</t>
  </si>
  <si>
    <t>Škopek</t>
  </si>
  <si>
    <t>Škorničková</t>
  </si>
  <si>
    <t>Šlapanský</t>
  </si>
  <si>
    <t>Šorm</t>
  </si>
  <si>
    <t>Šormová</t>
  </si>
  <si>
    <t>Španerová</t>
  </si>
  <si>
    <t>Špitalský</t>
  </si>
  <si>
    <t>Šplechtová</t>
  </si>
  <si>
    <t>Šplíchal</t>
  </si>
  <si>
    <t>Šponer</t>
  </si>
  <si>
    <t>Šrubař</t>
  </si>
  <si>
    <t>Šrubařová</t>
  </si>
  <si>
    <t>Štefanová</t>
  </si>
  <si>
    <t>Šternberg</t>
  </si>
  <si>
    <t>Šternbergová</t>
  </si>
  <si>
    <t>Nikola</t>
  </si>
  <si>
    <t>Štolová</t>
  </si>
  <si>
    <t>Štverková</t>
  </si>
  <si>
    <t>Štěpánek</t>
  </si>
  <si>
    <t>Štěpánková</t>
  </si>
  <si>
    <t>Štěpánová</t>
  </si>
  <si>
    <t>Valerie</t>
  </si>
  <si>
    <t>Šugar</t>
  </si>
  <si>
    <t>Šuk</t>
  </si>
  <si>
    <t>Šulc</t>
  </si>
  <si>
    <t>Šupolíková</t>
  </si>
  <si>
    <t>Šuster</t>
  </si>
  <si>
    <t>Švecová</t>
  </si>
  <si>
    <t>Švimberská</t>
  </si>
  <si>
    <t>Švimberský</t>
  </si>
  <si>
    <t>Šídlová</t>
  </si>
  <si>
    <t>Šíma</t>
  </si>
  <si>
    <t>Žbánek</t>
  </si>
  <si>
    <t>Žiak</t>
  </si>
  <si>
    <t>Židek</t>
  </si>
  <si>
    <t>Židková</t>
  </si>
  <si>
    <t>Žipková</t>
  </si>
  <si>
    <t>Žižka</t>
  </si>
  <si>
    <t>Žáková</t>
  </si>
  <si>
    <t>Naděžda</t>
  </si>
  <si>
    <t>Žárský</t>
  </si>
  <si>
    <t>Žídek</t>
  </si>
  <si>
    <t>Žídková</t>
  </si>
  <si>
    <t>Žůrek</t>
  </si>
  <si>
    <t>Čejpa</t>
  </si>
  <si>
    <t>Čejpová</t>
  </si>
  <si>
    <t>Čermák</t>
  </si>
  <si>
    <t>Čermáková</t>
  </si>
  <si>
    <t>Černý</t>
  </si>
  <si>
    <t>Čihák</t>
  </si>
  <si>
    <t>Čiviš</t>
  </si>
  <si>
    <t>Čtvrtečka</t>
  </si>
  <si>
    <t>Řehoř</t>
  </si>
  <si>
    <t>Řezníček</t>
  </si>
  <si>
    <t>Řezníčková</t>
  </si>
  <si>
    <t>Řezáčová</t>
  </si>
  <si>
    <t>Svatava</t>
  </si>
  <si>
    <t>Řeřucha</t>
  </si>
  <si>
    <t>Říha</t>
  </si>
  <si>
    <t>Zbořilová</t>
  </si>
  <si>
    <t>Michal ml.</t>
  </si>
  <si>
    <t>Zenklová</t>
  </si>
  <si>
    <t>Znamínko</t>
  </si>
  <si>
    <t>ČPK Poděbrady</t>
  </si>
  <si>
    <t>Zábojník</t>
  </si>
  <si>
    <t>Zátka</t>
  </si>
  <si>
    <t>Šeda</t>
  </si>
  <si>
    <t>Šilarová</t>
  </si>
  <si>
    <t>Šildberger</t>
  </si>
  <si>
    <t>Škarda</t>
  </si>
  <si>
    <t>Škarvada</t>
  </si>
  <si>
    <t>Šklíba</t>
  </si>
  <si>
    <t>Luboš St.</t>
  </si>
  <si>
    <t>Šlezarová</t>
  </si>
  <si>
    <t>Šmic</t>
  </si>
  <si>
    <t>Ivan</t>
  </si>
  <si>
    <t>Šnajdrová</t>
  </si>
  <si>
    <t>Špitálský</t>
  </si>
  <si>
    <t>Štol</t>
  </si>
  <si>
    <t>Jasmína</t>
  </si>
  <si>
    <t>Zdeńka</t>
  </si>
  <si>
    <t>Štípek</t>
  </si>
  <si>
    <t>Šupol</t>
  </si>
  <si>
    <t>Čanda</t>
  </si>
  <si>
    <t>Čapková</t>
  </si>
  <si>
    <t>Čarek</t>
  </si>
  <si>
    <t>Wilhelm</t>
  </si>
  <si>
    <t>Černá</t>
  </si>
  <si>
    <t>Červenková</t>
  </si>
  <si>
    <t>Čížek</t>
  </si>
  <si>
    <t>Řezníková</t>
  </si>
  <si>
    <t>Říhová</t>
  </si>
  <si>
    <t xml:space="preserve"> Sem se zkopírují přihlášky z internetu</t>
  </si>
  <si>
    <t>Počet přihlášených týmů: 46</t>
  </si>
  <si>
    <t>prestige</t>
  </si>
  <si>
    <t>TOP KLIP</t>
  </si>
  <si>
    <t>Pořádá KLIP Litovel</t>
  </si>
  <si>
    <t>••• trojice</t>
  </si>
  <si>
    <t xml:space="preserve"> Odtud jdou údaje do Startovní listiny</t>
  </si>
  <si>
    <t xml:space="preserve"> tady se opravují, dokud není ve </t>
  </si>
  <si>
    <t xml:space="preserve"> Startovní listině vše v pořádku</t>
  </si>
  <si>
    <t>Č. licence</t>
  </si>
  <si>
    <t>Příjmení a jméno Odhlásit tým</t>
  </si>
  <si>
    <t>Klub</t>
  </si>
  <si>
    <t>CŽ</t>
  </si>
  <si>
    <t>Síla: 150.375</t>
  </si>
  <si>
    <t>Ivo Michálek</t>
  </si>
  <si>
    <t xml:space="preserve">název týmu se odvozuje </t>
  </si>
  <si>
    <t>Tomáš Michálek</t>
  </si>
  <si>
    <t>od názvu klubu prvního hráče</t>
  </si>
  <si>
    <t>Jan Michálek</t>
  </si>
  <si>
    <t>Síla: 127</t>
  </si>
  <si>
    <t>Vojtěch Lukáš</t>
  </si>
  <si>
    <t>František Kaplánek</t>
  </si>
  <si>
    <t>HRODE Krumsín</t>
  </si>
  <si>
    <t>Jiří Koreš st.</t>
  </si>
  <si>
    <t>Síla: 121.375</t>
  </si>
  <si>
    <t>Miloslava Kutá</t>
  </si>
  <si>
    <t>SKP Hranice VI.-Valšovice</t>
  </si>
  <si>
    <t>Petr Tománek</t>
  </si>
  <si>
    <t>Jiří Ulmann</t>
  </si>
  <si>
    <t>Síla: 114.813</t>
  </si>
  <si>
    <t>Václav Valík</t>
  </si>
  <si>
    <t>Vojtěch Žiak</t>
  </si>
  <si>
    <t>Martin Pírek</t>
  </si>
  <si>
    <t>Síla: 108.439</t>
  </si>
  <si>
    <t>Miroslav Krpec</t>
  </si>
  <si>
    <t>František Krpec</t>
  </si>
  <si>
    <t>Jana Krpcová</t>
  </si>
  <si>
    <t>Síla: 105</t>
  </si>
  <si>
    <t>David Bačo</t>
  </si>
  <si>
    <t>Kamil Jurišta</t>
  </si>
  <si>
    <t>Vladimír Matuška</t>
  </si>
  <si>
    <t>Síla: 102.063</t>
  </si>
  <si>
    <t>Eliška Ptáčková</t>
  </si>
  <si>
    <t>Luboš Ptáček</t>
  </si>
  <si>
    <t>David Faltýnek</t>
  </si>
  <si>
    <t>Síla: 96.329</t>
  </si>
  <si>
    <t>Jiří Grepl</t>
  </si>
  <si>
    <t>Martin Skopal</t>
  </si>
  <si>
    <t>Franck Ferlay</t>
  </si>
  <si>
    <t>Síla: 95.439</t>
  </si>
  <si>
    <t>Romana Hodboďová</t>
  </si>
  <si>
    <t>Kateřina Froňková</t>
  </si>
  <si>
    <t>Jana Michálková</t>
  </si>
  <si>
    <t>Síla: 94.063</t>
  </si>
  <si>
    <t>Pavel Holoubek</t>
  </si>
  <si>
    <t>SKP Řepy</t>
  </si>
  <si>
    <t>Milan Demčík</t>
  </si>
  <si>
    <t>Jiřina Demčíková</t>
  </si>
  <si>
    <t>Síla: 92.361</t>
  </si>
  <si>
    <t>Zbyněk Jakeš</t>
  </si>
  <si>
    <t>Jiří Gratcl</t>
  </si>
  <si>
    <t>Lenka Svobodová</t>
  </si>
  <si>
    <t>Síla: 86.555</t>
  </si>
  <si>
    <t>Leoš Krejčín</t>
  </si>
  <si>
    <t>Jiří Šipr</t>
  </si>
  <si>
    <t>Milena Krejčínová</t>
  </si>
  <si>
    <t>Síla: 83.002</t>
  </si>
  <si>
    <t>Sára Valošková "J"</t>
  </si>
  <si>
    <t>Robin Konšel "E"</t>
  </si>
  <si>
    <t>Vladimír Vašíček</t>
  </si>
  <si>
    <t>Síla: 78.484</t>
  </si>
  <si>
    <t>Jan Bukovčík</t>
  </si>
  <si>
    <t>Jaroslav Ševčík</t>
  </si>
  <si>
    <t>Radomír Žiak</t>
  </si>
  <si>
    <t>Síla: 77.44</t>
  </si>
  <si>
    <t>Pavel Král</t>
  </si>
  <si>
    <t>Pavel Hanák</t>
  </si>
  <si>
    <t>Zdeněk Handl</t>
  </si>
  <si>
    <t>Síla: 74.376</t>
  </si>
  <si>
    <t>Terezie Strouhalová "E"</t>
  </si>
  <si>
    <t>Lukáš Merta</t>
  </si>
  <si>
    <t>Radek Skopal</t>
  </si>
  <si>
    <t>Síla: 72.625</t>
  </si>
  <si>
    <t>Pavel Hodboď</t>
  </si>
  <si>
    <t>Petr Juráň</t>
  </si>
  <si>
    <t>Robert Janeček</t>
  </si>
  <si>
    <t>Síla: 68.657</t>
  </si>
  <si>
    <t>Martin Šternberg</t>
  </si>
  <si>
    <t>Zuzana Malá</t>
  </si>
  <si>
    <t>Nikola Šternbergová "J"</t>
  </si>
  <si>
    <t>Síla: 63.783</t>
  </si>
  <si>
    <t>Pavel Kot</t>
  </si>
  <si>
    <t>Jiřina Kotová</t>
  </si>
  <si>
    <t>Jindřiška Sekerešová "J"</t>
  </si>
  <si>
    <t>Síla: 63.313</t>
  </si>
  <si>
    <t>Tomáš Olbort</t>
  </si>
  <si>
    <t>Franjo Kvítek</t>
  </si>
  <si>
    <t>Petr Janík</t>
  </si>
  <si>
    <t>Síla: 57.255</t>
  </si>
  <si>
    <t>Alena Korešová</t>
  </si>
  <si>
    <t>Michael Brandes "J"</t>
  </si>
  <si>
    <t>Valter Brandes</t>
  </si>
  <si>
    <t>Síla: 57.183</t>
  </si>
  <si>
    <t>Martin Vrzal</t>
  </si>
  <si>
    <t>Zbyněk Grepl</t>
  </si>
  <si>
    <t>Jaroslav Knápek</t>
  </si>
  <si>
    <t>Síla: 56.33</t>
  </si>
  <si>
    <t>Ivana Vávrová</t>
  </si>
  <si>
    <t>PC SOKOL PP Hr. Králové</t>
  </si>
  <si>
    <t>David Kopečný</t>
  </si>
  <si>
    <t>František Malina</t>
  </si>
  <si>
    <t>Síla: 55.844</t>
  </si>
  <si>
    <t>Jakub Rendla</t>
  </si>
  <si>
    <t>Roman Bytešník</t>
  </si>
  <si>
    <t>Boris Alfred Pellizon</t>
  </si>
  <si>
    <t>Síla: 55.131</t>
  </si>
  <si>
    <t>Oldřich Hudos</t>
  </si>
  <si>
    <t>Lubomír Anton</t>
  </si>
  <si>
    <t>Alena Krystková</t>
  </si>
  <si>
    <t>Síla: 47.005</t>
  </si>
  <si>
    <t>Luboš Rusek</t>
  </si>
  <si>
    <t>Kateřina Rusková "J"</t>
  </si>
  <si>
    <t>Rozálie Rusková "J"</t>
  </si>
  <si>
    <t>Síla: 45.924</t>
  </si>
  <si>
    <t>Zdeněk Bucek</t>
  </si>
  <si>
    <t>Josef Bartoš</t>
  </si>
  <si>
    <t>Helena Bartošová</t>
  </si>
  <si>
    <t>Síla: 44.65</t>
  </si>
  <si>
    <t>Yvonne Marečková</t>
  </si>
  <si>
    <t>Lucie Pokorná</t>
  </si>
  <si>
    <t>Kamila Janíčková</t>
  </si>
  <si>
    <t>Síla: 44.035</t>
  </si>
  <si>
    <t>Vladimír Ilgner</t>
  </si>
  <si>
    <t>Jiří Krtička</t>
  </si>
  <si>
    <t>Pavel Strouhal</t>
  </si>
  <si>
    <t>Síla: 42.377</t>
  </si>
  <si>
    <t>Patrik Daněk "E"</t>
  </si>
  <si>
    <t>Michal Štěpánek</t>
  </si>
  <si>
    <t>Robert Paulík</t>
  </si>
  <si>
    <t>Síla: 42.127</t>
  </si>
  <si>
    <t>Pavel Hejl ml.</t>
  </si>
  <si>
    <t>Radek Netušil</t>
  </si>
  <si>
    <t>Tomáš Stoklásek</t>
  </si>
  <si>
    <t>Síla: 39.69</t>
  </si>
  <si>
    <t>Karel Mrlina</t>
  </si>
  <si>
    <t>Lucie Seredová</t>
  </si>
  <si>
    <t>Bronislava Urbanová</t>
  </si>
  <si>
    <t>Síla: 38.628</t>
  </si>
  <si>
    <t>Josef Petrželka</t>
  </si>
  <si>
    <t>Heinz Manka</t>
  </si>
  <si>
    <t>Milan Dřevojan</t>
  </si>
  <si>
    <t>Síla: 37.844</t>
  </si>
  <si>
    <t>Hana Šrubařová</t>
  </si>
  <si>
    <t>David Vérosta</t>
  </si>
  <si>
    <t>Ladislav Kobza</t>
  </si>
  <si>
    <t>Síla: 34.937</t>
  </si>
  <si>
    <t>Hugo Valošek "J"</t>
  </si>
  <si>
    <t>Radim Valošek</t>
  </si>
  <si>
    <t>Petr Kozak</t>
  </si>
  <si>
    <t>Síla: 33.922</t>
  </si>
  <si>
    <t>Michal Drmola</t>
  </si>
  <si>
    <t>David Drmola</t>
  </si>
  <si>
    <t>Miroslav Drmola</t>
  </si>
  <si>
    <t>Síla: 29.44</t>
  </si>
  <si>
    <t>Josef Koudelka</t>
  </si>
  <si>
    <t>Magdalena Koudelková</t>
  </si>
  <si>
    <t>Helena Korčáková</t>
  </si>
  <si>
    <t>Síla: 26.504</t>
  </si>
  <si>
    <t>Ladislav Šimíček</t>
  </si>
  <si>
    <t>Lenka Žídková</t>
  </si>
  <si>
    <t>Jan Csibrei</t>
  </si>
  <si>
    <t>Síla: 25.317</t>
  </si>
  <si>
    <t>Daniel Holba</t>
  </si>
  <si>
    <t>Dana Židková</t>
  </si>
  <si>
    <t>Blanka Kozaková</t>
  </si>
  <si>
    <t>Síla: 24.063</t>
  </si>
  <si>
    <t>Radomíra Němečková</t>
  </si>
  <si>
    <t>Martin Gratcl</t>
  </si>
  <si>
    <t>Zdeněk Šugar</t>
  </si>
  <si>
    <t>Síla: 21.096</t>
  </si>
  <si>
    <t>Eva Blažejová</t>
  </si>
  <si>
    <t>Jana Šamšulová</t>
  </si>
  <si>
    <t>Miroslav Oujezdský</t>
  </si>
  <si>
    <t>Bedřichovický pétanque club 2016</t>
  </si>
  <si>
    <t>Síla: 20.676</t>
  </si>
  <si>
    <t>Oldřích Kutra</t>
  </si>
  <si>
    <t>Antonín Čiviš "J"</t>
  </si>
  <si>
    <t>Veronika Dušáková "J"</t>
  </si>
  <si>
    <t>Síla: 9.626</t>
  </si>
  <si>
    <t>Benjamin Hildenbrand</t>
  </si>
  <si>
    <t>Mariana Konečná</t>
  </si>
  <si>
    <t>Pavel Konečný</t>
  </si>
  <si>
    <t>Síla: 8.907</t>
  </si>
  <si>
    <t>Vladimír Plesník</t>
  </si>
  <si>
    <t>Karel Brož</t>
  </si>
  <si>
    <t>Martin Kozelský</t>
  </si>
  <si>
    <t>Síla: 5.282</t>
  </si>
  <si>
    <t>Zdeněk Potužák</t>
  </si>
  <si>
    <t>Peter Chodúr</t>
  </si>
  <si>
    <t xml:space="preserve"> </t>
  </si>
  <si>
    <t>  </t>
  </si>
  <si>
    <t>KK</t>
  </si>
  <si>
    <t>Startovní / výsledková listina turnaje</t>
  </si>
  <si>
    <t xml:space="preserve">Kvalita turnaje: </t>
  </si>
  <si>
    <t>Poř.č. turnaje</t>
  </si>
  <si>
    <t xml:space="preserve">Třída turnaje: </t>
  </si>
  <si>
    <t xml:space="preserve">Bonusové body: </t>
  </si>
  <si>
    <t>Datum</t>
  </si>
  <si>
    <t xml:space="preserve">Plný pavouk: </t>
  </si>
  <si>
    <t>Ano</t>
  </si>
  <si>
    <t xml:space="preserve">Paušální body: </t>
  </si>
  <si>
    <t>Název</t>
  </si>
  <si>
    <t xml:space="preserve">Kola: </t>
  </si>
  <si>
    <t>Místo</t>
  </si>
  <si>
    <t xml:space="preserve">Časový odhad zákl. sk.: </t>
  </si>
  <si>
    <t>hod.</t>
  </si>
  <si>
    <t xml:space="preserve"> minut / zápas</t>
  </si>
  <si>
    <t>Počet hráčů / tým</t>
  </si>
  <si>
    <t>Počet skupin po :</t>
  </si>
  <si>
    <t xml:space="preserve">Časový odhad KO: </t>
  </si>
  <si>
    <t xml:space="preserve"> číslo prvního hřiště</t>
  </si>
  <si>
    <t>Počet týmů</t>
  </si>
  <si>
    <t>Max. počet týmů ve sk.:</t>
  </si>
  <si>
    <t xml:space="preserve"> skupin celkem</t>
  </si>
  <si>
    <t xml:space="preserve">Do KO postupuje: </t>
  </si>
  <si>
    <t>týmů</t>
  </si>
  <si>
    <t xml:space="preserve">  týmů ze skupiny do KO</t>
  </si>
  <si>
    <t xml:space="preserve">Počet hřišť: </t>
  </si>
  <si>
    <t xml:space="preserve"> uvést číslo nasazení v názvu týmu</t>
  </si>
  <si>
    <t>Hráč č. 1</t>
  </si>
  <si>
    <t xml:space="preserve">      Týmy (hráči)  se vkládají nejlépe přes list Internet</t>
  </si>
  <si>
    <t>Hráč č. 2</t>
  </si>
  <si>
    <t>Hráč č. 3</t>
  </si>
  <si>
    <t>Hráč č. 4</t>
  </si>
  <si>
    <t>náhradník</t>
  </si>
  <si>
    <t>Počet hráčů</t>
  </si>
  <si>
    <t>OK Tým</t>
  </si>
  <si>
    <t>Celkem Síla</t>
  </si>
  <si>
    <t>Celkem CŽ</t>
  </si>
  <si>
    <t>Min. CŽ hráče</t>
  </si>
  <si>
    <t>Klíč nasazení</t>
  </si>
  <si>
    <t>OK</t>
  </si>
  <si>
    <t>Nasazení týmu</t>
  </si>
  <si>
    <t>Licence</t>
  </si>
  <si>
    <t>Příjmení</t>
  </si>
  <si>
    <t>Jméno</t>
  </si>
  <si>
    <t>Síla</t>
  </si>
  <si>
    <t>Jmeno</t>
  </si>
  <si>
    <t>Konečné pořadí</t>
  </si>
  <si>
    <t>Body</t>
  </si>
  <si>
    <t>Bonus</t>
  </si>
  <si>
    <t>Postupové body</t>
  </si>
  <si>
    <t>Název týmu</t>
  </si>
  <si>
    <t>Síla týmu</t>
  </si>
  <si>
    <t>Duplicity H1</t>
  </si>
  <si>
    <t>Duplicity H2</t>
  </si>
  <si>
    <t>Duplicity H3</t>
  </si>
  <si>
    <t>Duplicity H4</t>
  </si>
  <si>
    <t>Duplicita v týmu</t>
  </si>
  <si>
    <t/>
  </si>
  <si>
    <t>KVALITA turnaje</t>
  </si>
  <si>
    <t>Součet síly=</t>
  </si>
  <si>
    <t>Prijmeni</t>
  </si>
  <si>
    <t>Zařazení do základních skupin</t>
  </si>
  <si>
    <t>Skupina</t>
  </si>
  <si>
    <t>Zápis turnaje ČAPEK</t>
  </si>
  <si>
    <t>Zapsal</t>
  </si>
  <si>
    <t>Informace o turnaji:</t>
  </si>
  <si>
    <t>Ředitel turnaje</t>
  </si>
  <si>
    <t>Ing. Josef Popelka</t>
  </si>
  <si>
    <t>Delegát turnaje</t>
  </si>
  <si>
    <t>Hlavní rozhodčí turnaje</t>
  </si>
  <si>
    <t>Petr Škobrtal</t>
  </si>
  <si>
    <t>Pomocní rozhodčí</t>
  </si>
  <si>
    <t>Seznam pořadatelů</t>
  </si>
  <si>
    <t>Popelka, Potužák, Šteiger, Anton, Navrátil, Hudos, Krystková</t>
  </si>
  <si>
    <t>Výše startovného</t>
  </si>
  <si>
    <t>350,- Kč</t>
  </si>
  <si>
    <t>Ceny pro vítěze</t>
  </si>
  <si>
    <t>ano</t>
  </si>
  <si>
    <t>Začátek prezentace</t>
  </si>
  <si>
    <t>Konec prezentace</t>
  </si>
  <si>
    <t>Začátek hry</t>
  </si>
  <si>
    <t>Konec hry</t>
  </si>
  <si>
    <t>Počet použitých hřišť</t>
  </si>
  <si>
    <t>Hra s časovým limitem?</t>
  </si>
  <si>
    <t>Potřeba umělého osvětlení?</t>
  </si>
  <si>
    <t>Jaké bylo počasí</t>
  </si>
  <si>
    <t>Teplo, jasno a slunečno, téměř bezvětří, sucho.</t>
  </si>
  <si>
    <t>Protesty podané na turnaji</t>
  </si>
  <si>
    <t>JURY žádné protesty nemusela řešit.</t>
  </si>
  <si>
    <t>Negativní signály na turnaji</t>
  </si>
  <si>
    <t>Pavel Holoubek během turnaje nevhodnými a hlasitými komentáři rušil hru soupeřů i na vedlejších hřištích. Jeho nevhodné chování vyvrcholilo nesportovním gestem, když po zápase praštil vší silou židlí o lavičku.</t>
  </si>
  <si>
    <t xml:space="preserve">Vyjádření hráče Luboše Ptáčka s přáním, aby se s dotyčným pohovořilo o jeho chování </t>
  </si>
  <si>
    <t>Vyjádření delegáta</t>
  </si>
  <si>
    <t>Oceňuji úsilí pořadatelů při přípravě turnaje ( hřiště, areál,osvětlení, ozvučení, oběd, občerstvení ) Herní systém zvolen dle SŘ i když měl být jasněji definován dříve v propozicích. Ukázalo se, že velká část hráčské základny není na tabulky z našeho systému připravena z hlediska přehlednosti.</t>
  </si>
  <si>
    <t xml:space="preserve">Doporučuji pořadatelům, kteří se chystají použít tento systém si připravit tabulky přehledněji po vzoru Chateau Náměšť, nebo mít aspoň na místě svého nehrajícího zkušeného pořadatele, který bude sám výsledky zapisovat. Pořadatelům bylo ze strany STK povoleno hrát hlavnímu rozhodčímu, </t>
  </si>
  <si>
    <t>za podmínky tří hrajících rozhodčích. Turnaji zkrátka chyběl kvalitní a zkušený řídící. Vyhlašování časového limitu nebylo zvoleno úplně správně z hlediska srozumitelnosti, nedobře vypadalo i uklízecí úsilí pořadatelů při finálových bojích, kdy byli hráči rušeni. Samotné vyhlašování výsledků</t>
  </si>
  <si>
    <t xml:space="preserve">působilo amatérsky a nedůstojně jak vzhledem k hráčům, tak i tradici a kategorii turnaje. Kvituji, že se podařilo pořadatelům udržet turnaj bez alkoholových excesů. Bylo skvělé, že bylo občerstvení dostupné po celou dobu konání turnaje. </t>
  </si>
  <si>
    <t>Skvělá práce při přípravě turnaje, pokulhávalo samotné řízení turnaje na místě. Prestige přeci jen zasluhuje v tomto bodě něco navíc v organizaci.</t>
  </si>
  <si>
    <t>Vyjádření hl.rozhodčího</t>
  </si>
  <si>
    <t>Turnaj proběhl dle propozic turnaje a podle pravidel ČAPEK ČFKS. Plocha všech hřišť byla 
osvětlena stožárovým osvětlením.</t>
  </si>
  <si>
    <t>Vyjádření ředitele turnaje</t>
  </si>
  <si>
    <t>SKUPINA</t>
  </si>
  <si>
    <t>a</t>
  </si>
  <si>
    <t xml:space="preserve">Hra "Každý s každým"        </t>
  </si>
  <si>
    <t>Hřiště</t>
  </si>
  <si>
    <t>Počet hřišť</t>
  </si>
  <si>
    <t>Kriteria pro pořadí</t>
  </si>
  <si>
    <t>Pomocné výpočty</t>
  </si>
  <si>
    <t>při počtu výher</t>
  </si>
  <si>
    <t>Ozn.</t>
  </si>
  <si>
    <t>Kolo</t>
  </si>
  <si>
    <t xml:space="preserve"> Výsledek</t>
  </si>
  <si>
    <t>Hrál</t>
  </si>
  <si>
    <t xml:space="preserve">Výher celkem </t>
  </si>
  <si>
    <t>Výher vzáj.</t>
  </si>
  <si>
    <t>Rozdíl skóre vzáj.</t>
  </si>
  <si>
    <t>Rozdíl skóre celkem</t>
  </si>
  <si>
    <t>Pozit. Body celkem</t>
  </si>
  <si>
    <t>nový zápas</t>
  </si>
  <si>
    <t>Klíč třídění pro pořadí</t>
  </si>
  <si>
    <t>Pořadí</t>
  </si>
  <si>
    <t>Zjištění počtu týmů</t>
  </si>
  <si>
    <t>Počty výher</t>
  </si>
  <si>
    <t>Celkový rozdíl skóre ze všech utkání</t>
  </si>
  <si>
    <t>Celkový počet pozitivních boů</t>
  </si>
  <si>
    <t>Třídění pořadí</t>
  </si>
  <si>
    <t>Výsledek zápasu se zapisuje jako poměr toho kdo je na řádku k tomu kdo je ve sloupci</t>
  </si>
  <si>
    <t>Pořadí pro postup</t>
  </si>
  <si>
    <t>Označení</t>
  </si>
  <si>
    <t>1º</t>
  </si>
  <si>
    <t>2º</t>
  </si>
  <si>
    <t>3º</t>
  </si>
  <si>
    <t>4º</t>
  </si>
  <si>
    <t>Skupina se 4 výhrami</t>
  </si>
  <si>
    <t>uplatnit</t>
  </si>
  <si>
    <t>Skupina se 3 výhrami</t>
  </si>
  <si>
    <t>Skupina se 2 výhrami</t>
  </si>
  <si>
    <t>Skupina s 1 výhrou</t>
  </si>
  <si>
    <t>A</t>
  </si>
  <si>
    <t>B</t>
  </si>
  <si>
    <t>C</t>
  </si>
  <si>
    <t>D</t>
  </si>
  <si>
    <t>E</t>
  </si>
  <si>
    <t>F</t>
  </si>
  <si>
    <t>G</t>
  </si>
  <si>
    <t>H</t>
  </si>
  <si>
    <t>I</t>
  </si>
  <si>
    <t>K</t>
  </si>
  <si>
    <t>L</t>
  </si>
  <si>
    <t>M</t>
  </si>
  <si>
    <t>N</t>
  </si>
  <si>
    <t>O</t>
  </si>
  <si>
    <t>P</t>
  </si>
  <si>
    <t>Q</t>
  </si>
  <si>
    <t>R</t>
  </si>
  <si>
    <t>T</t>
  </si>
  <si>
    <t>U</t>
  </si>
  <si>
    <t>W</t>
  </si>
  <si>
    <t>X</t>
  </si>
  <si>
    <t>Y</t>
  </si>
  <si>
    <t>AA</t>
  </si>
  <si>
    <t>AB</t>
  </si>
  <si>
    <t>AC</t>
  </si>
  <si>
    <t>AD</t>
  </si>
  <si>
    <t>AE</t>
  </si>
  <si>
    <t>AF</t>
  </si>
  <si>
    <t>Výsledky základních skupin</t>
  </si>
  <si>
    <t>Ve    skupině</t>
  </si>
  <si>
    <t>Postupuje</t>
  </si>
  <si>
    <t>Tým</t>
  </si>
  <si>
    <t>Postup do pavouka KO</t>
  </si>
  <si>
    <t>skupin</t>
  </si>
  <si>
    <t>obrátit</t>
  </si>
  <si>
    <t>Pořadí v turnaji</t>
  </si>
  <si>
    <t>Po skupinách postupuje</t>
  </si>
  <si>
    <t>Pořadí ve skupině</t>
  </si>
  <si>
    <t xml:space="preserve"> Po skupinách</t>
  </si>
  <si>
    <t>Obsadil tým</t>
  </si>
  <si>
    <t>KO4</t>
  </si>
  <si>
    <t>3 - 4</t>
  </si>
  <si>
    <t>Dohra 5-8</t>
  </si>
  <si>
    <t>KO8</t>
  </si>
  <si>
    <t>Dohra 9-16</t>
  </si>
  <si>
    <t>KO16</t>
  </si>
  <si>
    <t>KO32</t>
  </si>
  <si>
    <t>KO64</t>
  </si>
  <si>
    <t>první hřiště</t>
  </si>
  <si>
    <t>Losování pro KO</t>
  </si>
  <si>
    <t>skupina</t>
  </si>
  <si>
    <t>pořadí</t>
  </si>
  <si>
    <t>PAVOUK KO</t>
  </si>
  <si>
    <t>SEMIFINÁLE</t>
  </si>
  <si>
    <t>FINÁLE</t>
  </si>
  <si>
    <t>VÍTĚZ</t>
  </si>
  <si>
    <t xml:space="preserve">Hřiště </t>
  </si>
  <si>
    <t>Dohrávka</t>
  </si>
  <si>
    <t>o 3 - 4. Místo</t>
  </si>
  <si>
    <t>Dohrávka 9-16</t>
  </si>
  <si>
    <t>o 9. - 10. místo</t>
  </si>
  <si>
    <t>o 11. - 12. místo</t>
  </si>
  <si>
    <t>o 13. - 16. místo</t>
  </si>
  <si>
    <t>o 13. - 14. místo</t>
  </si>
  <si>
    <t>o 15. - 16. místo</t>
  </si>
  <si>
    <t>19+20+21</t>
  </si>
  <si>
    <t>8+9+10</t>
  </si>
  <si>
    <t>Dohrávka 5-8</t>
  </si>
  <si>
    <t>o 5. - 6. místo</t>
  </si>
  <si>
    <t>o 7. - 8. místo</t>
  </si>
  <si>
    <t>Pomocné výpočty pro zjištění pořadí</t>
  </si>
  <si>
    <t>Pořadí nasazení v turnaji</t>
  </si>
  <si>
    <t>Nasazení ve skupině</t>
  </si>
  <si>
    <t>Výsledné pořadí</t>
  </si>
  <si>
    <t>Pořadí 1-16</t>
  </si>
  <si>
    <t>Celkem</t>
  </si>
  <si>
    <t>Rozpis hry do plného pavouka (podle počtu týmů)</t>
  </si>
  <si>
    <t xml:space="preserve">    pro 1. kolo</t>
  </si>
  <si>
    <t>Týmů na turnaji</t>
  </si>
  <si>
    <t>Skupin</t>
  </si>
  <si>
    <t>SkupinyMAX po  (týmů)</t>
  </si>
  <si>
    <t>Skupin MAX obsazených</t>
  </si>
  <si>
    <t>Zbylých skupin</t>
  </si>
  <si>
    <t>Kontrola</t>
  </si>
  <si>
    <t>Do KO postupuje (týmů)</t>
  </si>
  <si>
    <t>Tabulky pro hru „každý s každým“ s rozpisem hřišť</t>
  </si>
  <si>
    <t>Klíč</t>
  </si>
  <si>
    <t>Soupeři</t>
  </si>
  <si>
    <t>Pro 3 týmy</t>
  </si>
  <si>
    <t>hř.1</t>
  </si>
  <si>
    <t>1.kolo</t>
  </si>
  <si>
    <t>-</t>
  </si>
  <si>
    <t>2.kolo</t>
  </si>
  <si>
    <t>3.kolo</t>
  </si>
  <si>
    <t>Pro 4 týmy</t>
  </si>
  <si>
    <t>hř.2</t>
  </si>
  <si>
    <t>Pro 5 týmů</t>
  </si>
  <si>
    <t>4.kolo</t>
  </si>
  <si>
    <t>5.kolo</t>
  </si>
  <si>
    <t>Pro 6 týmů</t>
  </si>
  <si>
    <t>hř.3</t>
  </si>
  <si>
    <t>BODY za umístění v turnaji</t>
  </si>
  <si>
    <t>Počet kol turnaje</t>
  </si>
  <si>
    <t xml:space="preserve">  Počet týmů</t>
  </si>
  <si>
    <t>Postupové Body</t>
  </si>
  <si>
    <t>minus [kola]</t>
  </si>
  <si>
    <t>plus [zlomek]</t>
  </si>
  <si>
    <t>Body za turnaj</t>
  </si>
  <si>
    <t>PK =</t>
  </si>
  <si>
    <t>Tabulka BONUSOVÝCH BODŮ</t>
  </si>
  <si>
    <t>Třída turnaje</t>
  </si>
  <si>
    <t>Tabulka PAUŠÁLNÍCH BODŮ</t>
  </si>
  <si>
    <t>Paušální body</t>
  </si>
  <si>
    <t>Tabulka POČTU KOL (PK) turnaje podle počtu týmů v turnaji</t>
  </si>
  <si>
    <t>Počet týmů od</t>
  </si>
  <si>
    <t>Počet týmů do (včetně)</t>
  </si>
  <si>
    <t>Počet kol</t>
  </si>
  <si>
    <t>Počet týmů =</t>
  </si>
  <si>
    <t>Výsledková listina turnaje</t>
  </si>
  <si>
    <t xml:space="preserve">  Kvalita</t>
  </si>
  <si>
    <t>Poradi</t>
  </si>
  <si>
    <t xml:space="preserve">Delegát a JURY plnili svou funkci. Pro turnaj bylo použito 25 hřišť. Kvituji s povděkem příto-
mnost delegáta 30 min před zahájením prezentace soutěžících. Kapitáni mnoha vítězných týmů 
nezapisovali do výsledkové listiny výsledek svých zápasů.
Provoz bufetu bez omezení byl zajišťován do 22:30 hodin. Osobně chci poděkovat Jirkovi Korešovi, Tomáši Michálkovi a především Ivošovi Michálkovi.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</si>
</sst>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76">
    <font>
      <sz val="8"/>
      <color rgb="FF000000"/>
      <name val="Comic Sans MS"/>
      <scheme val="minor"/>
    </font>
    <font>
      <b/>
      <u/>
      <sz val="10"/>
      <color theme="1"/>
      <name val="Comic Sans MS"/>
    </font>
    <font>
      <sz val="8"/>
      <name val="Comic Sans MS"/>
    </font>
    <font>
      <sz val="16"/>
      <color theme="1"/>
      <name val="Comic Sans MS"/>
    </font>
    <font>
      <b/>
      <sz val="8"/>
      <color theme="1"/>
      <name val="Comic Sans MS"/>
    </font>
    <font>
      <sz val="8"/>
      <color theme="1"/>
      <name val="Comic Sans MS"/>
    </font>
    <font>
      <b/>
      <sz val="8"/>
      <color rgb="FFFF0000"/>
      <name val="Comic Sans MS"/>
    </font>
    <font>
      <sz val="8"/>
      <color rgb="FFFF0000"/>
      <name val="Comic Sans MS"/>
    </font>
    <font>
      <sz val="8"/>
      <color theme="1"/>
      <name val="Comic Sans MS"/>
      <scheme val="minor"/>
    </font>
    <font>
      <b/>
      <u/>
      <sz val="8"/>
      <color theme="1"/>
      <name val="Comic Sans MS"/>
    </font>
    <font>
      <b/>
      <u/>
      <sz val="8"/>
      <color theme="1"/>
      <name val="Comic Sans MS"/>
    </font>
    <font>
      <b/>
      <sz val="8"/>
      <color theme="1"/>
      <name val="Arial Narrow"/>
    </font>
    <font>
      <b/>
      <u/>
      <sz val="8"/>
      <color theme="1"/>
      <name val="Comic Sans MS"/>
    </font>
    <font>
      <sz val="7"/>
      <color theme="1"/>
      <name val="Comic Sans MS"/>
    </font>
    <font>
      <b/>
      <sz val="24"/>
      <color theme="1"/>
      <name val="Arial"/>
    </font>
    <font>
      <b/>
      <sz val="10"/>
      <color theme="1"/>
      <name val="Arial"/>
    </font>
    <font>
      <sz val="10"/>
      <color theme="1"/>
      <name val="Arial"/>
    </font>
    <font>
      <b/>
      <sz val="12"/>
      <color theme="1"/>
      <name val="Arial"/>
    </font>
    <font>
      <b/>
      <sz val="16"/>
      <color theme="1"/>
      <name val="Comic Sans MS"/>
    </font>
    <font>
      <sz val="7"/>
      <color rgb="FF000000"/>
      <name val="Tahoma"/>
    </font>
    <font>
      <b/>
      <sz val="10"/>
      <color rgb="FFFF0000"/>
      <name val="Comic Sans MS"/>
    </font>
    <font>
      <b/>
      <sz val="7"/>
      <color rgb="FF000000"/>
      <name val="Tahoma"/>
    </font>
    <font>
      <u/>
      <sz val="8"/>
      <color rgb="FF0000FF"/>
      <name val="Comic Sans MS"/>
    </font>
    <font>
      <u/>
      <sz val="8"/>
      <color rgb="FF0000FF"/>
      <name val="Comic Sans MS"/>
    </font>
    <font>
      <b/>
      <sz val="10"/>
      <color theme="1"/>
      <name val="Verdana"/>
    </font>
    <font>
      <b/>
      <sz val="10"/>
      <color rgb="FFFFFFFF"/>
      <name val="Verdana"/>
    </font>
    <font>
      <u/>
      <sz val="8"/>
      <color rgb="FF0000FF"/>
      <name val="Comic Sans MS"/>
    </font>
    <font>
      <sz val="20"/>
      <color theme="1"/>
      <name val="Comic Sans MS"/>
    </font>
    <font>
      <b/>
      <sz val="14"/>
      <color theme="1"/>
      <name val="Arial"/>
    </font>
    <font>
      <sz val="8"/>
      <color theme="1"/>
      <name val="Arial"/>
    </font>
    <font>
      <i/>
      <sz val="8"/>
      <color theme="1"/>
      <name val="Comic Sans MS"/>
    </font>
    <font>
      <i/>
      <sz val="7"/>
      <color theme="1"/>
      <name val="Comic Sans MS"/>
    </font>
    <font>
      <b/>
      <sz val="8"/>
      <color theme="1"/>
      <name val="Arial"/>
    </font>
    <font>
      <b/>
      <sz val="7"/>
      <color theme="1"/>
      <name val="Arial"/>
    </font>
    <font>
      <b/>
      <sz val="12"/>
      <color theme="1"/>
      <name val="Comic Sans MS"/>
    </font>
    <font>
      <sz val="14"/>
      <color rgb="FFFF00FF"/>
      <name val="Comic Sans MS"/>
    </font>
    <font>
      <sz val="10"/>
      <color theme="1"/>
      <name val="Comic Sans MS"/>
    </font>
    <font>
      <b/>
      <sz val="20"/>
      <color theme="1"/>
      <name val="Arial"/>
    </font>
    <font>
      <b/>
      <u/>
      <sz val="12"/>
      <color theme="1"/>
      <name val="Arial"/>
    </font>
    <font>
      <sz val="12"/>
      <color theme="1"/>
      <name val="Arial"/>
    </font>
    <font>
      <sz val="11"/>
      <color theme="1"/>
      <name val="Calibri"/>
    </font>
    <font>
      <sz val="9"/>
      <color rgb="FF1F1F1F"/>
      <name val="&quot;Google Sans&quot;"/>
    </font>
    <font>
      <b/>
      <sz val="26"/>
      <color theme="1"/>
      <name val="Arial"/>
    </font>
    <font>
      <sz val="18"/>
      <color theme="1"/>
      <name val="Comic Sans MS"/>
    </font>
    <font>
      <sz val="14"/>
      <color theme="1"/>
      <name val="Comic Sans MS"/>
    </font>
    <font>
      <sz val="10"/>
      <color rgb="FFFFFFFF"/>
      <name val="Comic Sans MS"/>
    </font>
    <font>
      <sz val="7"/>
      <color theme="1"/>
      <name val="Arial"/>
    </font>
    <font>
      <b/>
      <sz val="12"/>
      <color rgb="FFFFFFFF"/>
      <name val="Comic Sans MS"/>
    </font>
    <font>
      <b/>
      <sz val="14"/>
      <color theme="1"/>
      <name val="Comic Sans MS"/>
    </font>
    <font>
      <sz val="12"/>
      <color theme="1"/>
      <name val="Comic Sans MS"/>
    </font>
    <font>
      <u/>
      <sz val="12"/>
      <color theme="1"/>
      <name val="Comic Sans MS"/>
    </font>
    <font>
      <u/>
      <sz val="10"/>
      <color theme="1"/>
      <name val="Comic Sans MS"/>
    </font>
    <font>
      <b/>
      <u/>
      <sz val="14"/>
      <color theme="1"/>
      <name val="Arial"/>
    </font>
    <font>
      <u/>
      <sz val="10"/>
      <color theme="1"/>
      <name val="Comic Sans MS"/>
    </font>
    <font>
      <b/>
      <sz val="11"/>
      <color theme="1"/>
      <name val="Comic Sans MS"/>
    </font>
    <font>
      <sz val="18"/>
      <color rgb="FFFFFFFF"/>
      <name val="Comic Sans MS"/>
    </font>
    <font>
      <sz val="6"/>
      <color theme="1"/>
      <name val="Comic Sans MS"/>
    </font>
    <font>
      <b/>
      <sz val="7"/>
      <color theme="1"/>
      <name val="Comic Sans MS"/>
    </font>
    <font>
      <u/>
      <sz val="8"/>
      <color rgb="FF0000FF"/>
      <name val="Comic Sans MS"/>
    </font>
    <font>
      <sz val="6"/>
      <color theme="1"/>
      <name val="Arial"/>
    </font>
    <font>
      <i/>
      <sz val="7"/>
      <color theme="1"/>
      <name val="Arial"/>
    </font>
    <font>
      <sz val="9"/>
      <color theme="1"/>
      <name val="Comic Sans MS"/>
    </font>
    <font>
      <b/>
      <i/>
      <sz val="9"/>
      <color theme="1"/>
      <name val="Comic Sans MS"/>
    </font>
    <font>
      <i/>
      <sz val="9"/>
      <color theme="1"/>
      <name val="Comic Sans MS"/>
    </font>
    <font>
      <b/>
      <sz val="9"/>
      <color theme="1"/>
      <name val="Arial"/>
    </font>
    <font>
      <sz val="5"/>
      <color theme="1"/>
      <name val="Arial"/>
    </font>
    <font>
      <sz val="9"/>
      <color theme="1"/>
      <name val="Arial"/>
    </font>
    <font>
      <b/>
      <sz val="10"/>
      <color theme="1"/>
      <name val="Comic Sans MS"/>
    </font>
    <font>
      <sz val="6"/>
      <color rgb="FFFFFFFF"/>
      <name val="Arial"/>
    </font>
    <font>
      <b/>
      <sz val="9"/>
      <color theme="1"/>
      <name val="Comic Sans MS"/>
    </font>
    <font>
      <b/>
      <sz val="16"/>
      <color theme="1"/>
      <name val="Arimo"/>
    </font>
    <font>
      <i/>
      <sz val="8"/>
      <color theme="1"/>
      <name val="Arimo"/>
    </font>
    <font>
      <sz val="8"/>
      <color theme="1"/>
      <name val="Arimo"/>
    </font>
    <font>
      <b/>
      <sz val="10"/>
      <color theme="1"/>
      <name val="Arimo"/>
    </font>
    <font>
      <b/>
      <sz val="14"/>
      <color theme="1"/>
      <name val="Times New Roman"/>
    </font>
    <font>
      <u/>
      <sz val="14"/>
      <color rgb="FF0066CC"/>
      <name val="Comic Sans MS"/>
    </font>
  </fonts>
  <fills count="19">
    <fill>
      <patternFill patternType="none"/>
    </fill>
    <fill>
      <patternFill patternType="gray125"/>
    </fill>
    <fill>
      <patternFill patternType="solid">
        <fgColor rgb="FF00FFFF"/>
        <bgColor rgb="FF00FFFF"/>
      </patternFill>
    </fill>
    <fill>
      <patternFill patternType="solid">
        <fgColor rgb="FFC0C0C0"/>
        <bgColor rgb="FFC0C0C0"/>
      </patternFill>
    </fill>
    <fill>
      <patternFill patternType="solid">
        <fgColor rgb="FFFFFF00"/>
        <bgColor rgb="FFFFFF00"/>
      </patternFill>
    </fill>
    <fill>
      <patternFill patternType="solid">
        <fgColor rgb="FF00FF00"/>
        <bgColor rgb="FF00FF00"/>
      </patternFill>
    </fill>
    <fill>
      <patternFill patternType="solid">
        <fgColor rgb="FFCCFFFF"/>
        <bgColor rgb="FFCCFFFF"/>
      </patternFill>
    </fill>
    <fill>
      <patternFill patternType="solid">
        <fgColor rgb="FFFFFFFF"/>
        <bgColor rgb="FFFFFFFF"/>
      </patternFill>
    </fill>
    <fill>
      <patternFill patternType="solid">
        <fgColor rgb="FFFFFFCC"/>
        <bgColor rgb="FFFFFFCC"/>
      </patternFill>
    </fill>
    <fill>
      <patternFill patternType="solid">
        <fgColor rgb="FF969696"/>
        <bgColor rgb="FF969696"/>
      </patternFill>
    </fill>
    <fill>
      <patternFill patternType="solid">
        <fgColor rgb="FFFFFF99"/>
        <bgColor rgb="FFFFFF99"/>
      </patternFill>
    </fill>
    <fill>
      <patternFill patternType="solid">
        <fgColor rgb="FFFFCC99"/>
        <bgColor rgb="FFFFCC99"/>
      </patternFill>
    </fill>
    <fill>
      <patternFill patternType="solid">
        <fgColor rgb="FFFFCC00"/>
        <bgColor rgb="FFFFCC00"/>
      </patternFill>
    </fill>
    <fill>
      <patternFill patternType="solid">
        <fgColor rgb="FFFF00FF"/>
        <bgColor rgb="FFFF00FF"/>
      </patternFill>
    </fill>
    <fill>
      <patternFill patternType="solid">
        <fgColor rgb="FF000000"/>
        <bgColor rgb="FF000000"/>
      </patternFill>
    </fill>
    <fill>
      <patternFill patternType="solid">
        <fgColor rgb="FF808080"/>
        <bgColor rgb="FF808080"/>
      </patternFill>
    </fill>
    <fill>
      <patternFill patternType="solid">
        <fgColor rgb="FFFF9900"/>
        <bgColor rgb="FFFF9900"/>
      </patternFill>
    </fill>
    <fill>
      <patternFill patternType="solid">
        <fgColor rgb="FFFF99CC"/>
        <bgColor rgb="FFFF99CC"/>
      </patternFill>
    </fill>
    <fill>
      <patternFill patternType="solid">
        <fgColor rgb="FFCCFFCC"/>
        <bgColor rgb="FFCCFFCC"/>
      </patternFill>
    </fill>
  </fills>
  <borders count="161">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right/>
      <top style="medium">
        <color rgb="FF000000"/>
      </top>
      <bottom/>
      <diagonal/>
    </border>
    <border>
      <left/>
      <right/>
      <top/>
      <bottom style="medium">
        <color rgb="FF33CCCC"/>
      </bottom>
      <diagonal/>
    </border>
    <border>
      <left/>
      <right/>
      <top style="medium">
        <color rgb="FF33CCCC"/>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double">
        <color rgb="FF000000"/>
      </left>
      <right style="double">
        <color rgb="FF000000"/>
      </right>
      <top style="double">
        <color rgb="FF000000"/>
      </top>
      <bottom style="double">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double">
        <color rgb="FF000000"/>
      </right>
      <top style="medium">
        <color rgb="FF000000"/>
      </top>
      <bottom/>
      <diagonal/>
    </border>
    <border>
      <left/>
      <right style="thin">
        <color rgb="FF000000"/>
      </right>
      <top style="thin">
        <color rgb="FF000000"/>
      </top>
      <bottom/>
      <diagonal/>
    </border>
    <border>
      <left style="double">
        <color rgb="FF000000"/>
      </left>
      <right/>
      <top/>
      <bottom/>
      <diagonal/>
    </border>
    <border>
      <left style="thin">
        <color rgb="FF000000"/>
      </left>
      <right style="thin">
        <color rgb="FF000000"/>
      </right>
      <top style="medium">
        <color rgb="FF000000"/>
      </top>
      <bottom style="medium">
        <color rgb="FF000000"/>
      </bottom>
      <diagonal/>
    </border>
    <border>
      <left/>
      <right/>
      <top style="double">
        <color rgb="FF000000"/>
      </top>
      <bottom/>
      <diagonal/>
    </border>
    <border>
      <left style="thin">
        <color rgb="FF000000"/>
      </left>
      <right style="double">
        <color rgb="FF000000"/>
      </right>
      <top style="thin">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thick">
        <color rgb="FF000000"/>
      </left>
      <right/>
      <top style="thick">
        <color rgb="FF000000"/>
      </top>
      <bottom style="thick">
        <color rgb="FF000000"/>
      </bottom>
      <diagonal/>
    </border>
    <border>
      <left style="dotted">
        <color rgb="FF000000"/>
      </left>
      <right style="dotted">
        <color rgb="FF000000"/>
      </right>
      <top style="dotted">
        <color rgb="FF000000"/>
      </top>
      <bottom style="thick">
        <color rgb="FF000000"/>
      </bottom>
      <diagonal/>
    </border>
    <border>
      <left style="medium">
        <color rgb="FF000000"/>
      </left>
      <right style="medium">
        <color rgb="FF000000"/>
      </right>
      <top style="medium">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double">
        <color rgb="FF000000"/>
      </bottom>
      <diagonal/>
    </border>
    <border>
      <left/>
      <right/>
      <top style="thick">
        <color rgb="FF000000"/>
      </top>
      <bottom style="double">
        <color rgb="FF000000"/>
      </bottom>
      <diagonal/>
    </border>
    <border>
      <left/>
      <right style="thick">
        <color rgb="FF000000"/>
      </right>
      <top style="thick">
        <color rgb="FF000000"/>
      </top>
      <bottom style="double">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right/>
      <top style="double">
        <color rgb="FF000000"/>
      </top>
      <bottom style="double">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ck">
        <color rgb="FF000000"/>
      </left>
      <right/>
      <top/>
      <bottom/>
      <diagonal/>
    </border>
    <border>
      <left style="dotted">
        <color rgb="FF000000"/>
      </left>
      <right style="dotted">
        <color rgb="FF000000"/>
      </right>
      <top/>
      <bottom style="dotted">
        <color rgb="FF000000"/>
      </bottom>
      <diagonal/>
    </border>
    <border>
      <left/>
      <right/>
      <top/>
      <bottom style="thin">
        <color rgb="FF000000"/>
      </bottom>
      <diagonal/>
    </border>
    <border>
      <left style="double">
        <color rgb="FF000000"/>
      </left>
      <right style="double">
        <color rgb="FF000000"/>
      </right>
      <top style="double">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ck">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tted">
        <color rgb="FF000000"/>
      </right>
      <top/>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ck">
        <color rgb="FF000000"/>
      </left>
      <right/>
      <top/>
      <bottom style="thin">
        <color rgb="FF000000"/>
      </bottom>
      <diagonal/>
    </border>
    <border>
      <left style="dotted">
        <color rgb="FF000000"/>
      </left>
      <right style="dotted">
        <color rgb="FF000000"/>
      </right>
      <top style="dotted">
        <color rgb="FF000000"/>
      </top>
      <bottom style="dotted">
        <color rgb="FF000000"/>
      </bottom>
      <diagonal/>
    </border>
    <border>
      <left/>
      <right/>
      <top style="thin">
        <color rgb="FF000000"/>
      </top>
      <bottom style="thin">
        <color rgb="FF000000"/>
      </bottom>
      <diagonal/>
    </border>
    <border>
      <left style="thin">
        <color rgb="FF000000"/>
      </left>
      <right style="dotted">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medium">
        <color rgb="FF000000"/>
      </bottom>
      <diagonal/>
    </border>
    <border>
      <left style="double">
        <color rgb="FF000000"/>
      </left>
      <right style="double">
        <color rgb="FF000000"/>
      </right>
      <top style="thin">
        <color rgb="FF000000"/>
      </top>
      <bottom style="medium">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tted">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ck">
        <color rgb="FF000000"/>
      </left>
      <right/>
      <top style="thin">
        <color rgb="FF000000"/>
      </top>
      <bottom style="thick">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000000"/>
      </left>
      <right/>
      <top style="thick">
        <color rgb="FF000000"/>
      </top>
      <bottom style="double">
        <color rgb="FF000000"/>
      </bottom>
      <diagonal/>
    </border>
    <border>
      <left/>
      <right/>
      <top/>
      <bottom/>
      <diagonal/>
    </border>
    <border>
      <left/>
      <right/>
      <top/>
      <bottom/>
      <diagonal/>
    </border>
    <border>
      <left/>
      <right/>
      <top/>
      <bottom/>
      <diagonal/>
    </border>
    <border>
      <left style="thin">
        <color rgb="FFFFFFFF"/>
      </left>
      <right style="thin">
        <color rgb="FFFFFFFF"/>
      </right>
      <top/>
      <bottom/>
      <diagonal/>
    </border>
    <border>
      <left/>
      <right/>
      <top/>
      <bottom style="thin">
        <color rgb="FFFFFFFF"/>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style="thin">
        <color rgb="FFFFFFFF"/>
      </bottom>
      <diagonal/>
    </border>
    <border>
      <left style="thin">
        <color rgb="FFFFFFFF"/>
      </left>
      <right/>
      <top style="thin">
        <color rgb="FFFFFFFF"/>
      </top>
      <bottom style="thin">
        <color rgb="FFFFFFFF"/>
      </bottom>
      <diagonal/>
    </border>
    <border>
      <left/>
      <right style="thick">
        <color rgb="FF000000"/>
      </right>
      <top style="thin">
        <color rgb="FFFFFFFF"/>
      </top>
      <bottom style="thin">
        <color rgb="FFFFFFFF"/>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FFFFFF"/>
      </right>
      <top style="thin">
        <color rgb="FFFFFFFF"/>
      </top>
      <bottom style="thick">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ck">
        <color rgb="FF000000"/>
      </top>
      <bottom/>
      <diagonal/>
    </border>
    <border>
      <left style="thick">
        <color rgb="FF000000"/>
      </left>
      <right style="thin">
        <color rgb="FFFFFFFF"/>
      </right>
      <top style="thin">
        <color rgb="FFFFFFFF"/>
      </top>
      <bottom style="thick">
        <color rgb="FF000000"/>
      </bottom>
      <diagonal/>
    </border>
    <border>
      <left/>
      <right style="thin">
        <color rgb="FFFFFFFF"/>
      </right>
      <top/>
      <bottom style="thin">
        <color rgb="FFFFFFFF"/>
      </bottom>
      <diagonal/>
    </border>
    <border>
      <left style="thin">
        <color rgb="FFFFFFFF"/>
      </left>
      <right style="thick">
        <color rgb="FF000000"/>
      </right>
      <top style="thin">
        <color rgb="FFFFFFFF"/>
      </top>
      <bottom style="thin">
        <color rgb="FFFFFFFF"/>
      </bottom>
      <diagonal/>
    </border>
    <border>
      <left style="thick">
        <color rgb="FF000000"/>
      </left>
      <right style="thin">
        <color rgb="FFFFFFFF"/>
      </right>
      <top style="thin">
        <color rgb="FFFFFFFF"/>
      </top>
      <bottom style="thin">
        <color rgb="FFFFFFFF"/>
      </bottom>
      <diagonal/>
    </border>
    <border>
      <left style="thick">
        <color rgb="FF000000"/>
      </left>
      <right style="thick">
        <color rgb="FF000000"/>
      </right>
      <top style="thin">
        <color rgb="FFFFFFFF"/>
      </top>
      <bottom style="thick">
        <color rgb="FF000000"/>
      </bottom>
      <diagonal/>
    </border>
    <border>
      <left style="thick">
        <color rgb="FF000000"/>
      </left>
      <right style="thin">
        <color rgb="FFFFFFFF"/>
      </right>
      <top style="thick">
        <color rgb="FF000000"/>
      </top>
      <bottom style="thin">
        <color rgb="FFFFFFFF"/>
      </bottom>
      <diagonal/>
    </border>
    <border>
      <left style="thin">
        <color rgb="FFFFFFFF"/>
      </left>
      <right style="thin">
        <color rgb="FFFFFFFF"/>
      </right>
      <top style="thick">
        <color rgb="FF000000"/>
      </top>
      <bottom style="thin">
        <color rgb="FFFFFFFF"/>
      </bottom>
      <diagonal/>
    </border>
    <border>
      <left style="thick">
        <color rgb="FF000000"/>
      </left>
      <right/>
      <top style="thick">
        <color rgb="FFFFFFFF"/>
      </top>
      <bottom/>
      <diagonal/>
    </border>
    <border>
      <left/>
      <right/>
      <top style="thin">
        <color rgb="FFFFFFFF"/>
      </top>
      <bottom/>
      <diagonal/>
    </border>
    <border>
      <left style="thick">
        <color rgb="FF000000"/>
      </left>
      <right style="thin">
        <color rgb="FFFFFFFF"/>
      </right>
      <top style="thick">
        <color rgb="FFFFFFFF"/>
      </top>
      <bottom style="thick">
        <color rgb="FFFFFFFF"/>
      </bottom>
      <diagonal/>
    </border>
    <border>
      <left/>
      <right style="thin">
        <color rgb="FFFFFFFF"/>
      </right>
      <top style="thin">
        <color rgb="FFFFFFFF"/>
      </top>
      <bottom/>
      <diagonal/>
    </border>
    <border>
      <left style="thick">
        <color rgb="FF000000"/>
      </left>
      <right/>
      <top style="thick">
        <color rgb="FF000000"/>
      </top>
      <bottom/>
      <diagonal/>
    </border>
    <border>
      <left style="thin">
        <color rgb="FFFFFFFF"/>
      </left>
      <right style="thick">
        <color rgb="FF000000"/>
      </right>
      <top style="thin">
        <color rgb="FFFFFFFF"/>
      </top>
      <bottom/>
      <diagonal/>
    </border>
    <border>
      <left style="thick">
        <color rgb="FF000000"/>
      </left>
      <right/>
      <top style="thick">
        <color rgb="FF000000"/>
      </top>
      <bottom style="thick">
        <color rgb="FF000000"/>
      </bottom>
      <diagonal/>
    </border>
    <border>
      <left style="thin">
        <color rgb="FFFFFFFF"/>
      </left>
      <right style="thin">
        <color rgb="FFFFFFFF"/>
      </right>
      <top/>
      <bottom style="double">
        <color rgb="FF000000"/>
      </bottom>
      <diagonal/>
    </border>
    <border>
      <left/>
      <right style="thin">
        <color rgb="FFFFFFFF"/>
      </right>
      <top/>
      <bottom style="double">
        <color rgb="FF000000"/>
      </bottom>
      <diagonal/>
    </border>
    <border>
      <left/>
      <right style="thin">
        <color rgb="FFFFFFFF"/>
      </right>
      <top style="thin">
        <color rgb="FFFFFFFF"/>
      </top>
      <bottom style="double">
        <color rgb="FF000000"/>
      </bottom>
      <diagonal/>
    </border>
    <border>
      <left style="thin">
        <color rgb="FFFFFFFF"/>
      </left>
      <right style="thin">
        <color rgb="FFFFFFFF"/>
      </right>
      <top style="thin">
        <color rgb="FFFFFFFF"/>
      </top>
      <bottom style="double">
        <color rgb="FF000000"/>
      </bottom>
      <diagonal/>
    </border>
    <border>
      <left style="thick">
        <color rgb="FFFF0000"/>
      </left>
      <right style="thick">
        <color rgb="FFFF0000"/>
      </right>
      <top style="thick">
        <color rgb="FFFF0000"/>
      </top>
      <bottom style="thick">
        <color rgb="FFFF0000"/>
      </bottom>
      <diagonal/>
    </border>
    <border>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n">
        <color rgb="FFFFFFFF"/>
      </top>
      <bottom style="thick">
        <color rgb="FF000000"/>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style="thin">
        <color rgb="FFFFFFFF"/>
      </left>
      <right style="thick">
        <color rgb="FF000000"/>
      </right>
      <top style="thin">
        <color rgb="FFFFFFFF"/>
      </top>
      <bottom style="double">
        <color rgb="FF000000"/>
      </bottom>
      <diagonal/>
    </border>
    <border>
      <left style="thin">
        <color rgb="FFFFFFFF"/>
      </left>
      <right/>
      <top/>
      <bottom style="thin">
        <color rgb="FFFFFFFF"/>
      </bottom>
      <diagonal/>
    </border>
    <border>
      <left style="thick">
        <color rgb="FFFFFFFF"/>
      </left>
      <right style="thin">
        <color rgb="FFFFFFFF"/>
      </right>
      <top style="thin">
        <color rgb="FFFFFFFF"/>
      </top>
      <bottom style="thin">
        <color rgb="FFFFFFFF"/>
      </bottom>
      <diagonal/>
    </border>
    <border>
      <left style="thick">
        <color rgb="FF000000"/>
      </left>
      <right style="thin">
        <color rgb="FFFFFFFF"/>
      </right>
      <top style="thick">
        <color rgb="FFFFFFFF"/>
      </top>
      <bottom/>
      <diagonal/>
    </border>
    <border>
      <left style="thick">
        <color rgb="FFFFFFFF"/>
      </left>
      <right style="thin">
        <color rgb="FFFFFFFF"/>
      </right>
      <top style="thick">
        <color rgb="FF000000"/>
      </top>
      <bottom style="thin">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n">
        <color rgb="FFFFFFFF"/>
      </right>
      <top/>
      <bottom style="thin">
        <color rgb="FFFFFFFF"/>
      </bottom>
      <diagonal/>
    </border>
    <border>
      <left style="thick">
        <color rgb="FF000000"/>
      </left>
      <right style="thick">
        <color rgb="FF000000"/>
      </right>
      <top style="thick">
        <color rgb="FF000000"/>
      </top>
      <bottom style="thick">
        <color rgb="FF000000"/>
      </bottom>
      <diagonal/>
    </border>
    <border>
      <left style="medium">
        <color rgb="FF000000"/>
      </left>
      <right style="double">
        <color rgb="FF000000"/>
      </right>
      <top style="medium">
        <color rgb="FF000000"/>
      </top>
      <bottom style="thin">
        <color rgb="FFFFFFFF"/>
      </bottom>
      <diagonal/>
    </border>
    <border>
      <left/>
      <right style="medium">
        <color rgb="FF000000"/>
      </right>
      <top style="medium">
        <color rgb="FF000000"/>
      </top>
      <bottom style="thin">
        <color rgb="FFFFFFFF"/>
      </bottom>
      <diagonal/>
    </border>
    <border>
      <left style="medium">
        <color rgb="FF000000"/>
      </left>
      <right style="double">
        <color rgb="FF000000"/>
      </right>
      <top style="thin">
        <color rgb="FFFFFFFF"/>
      </top>
      <bottom style="thin">
        <color rgb="FFFFFFFF"/>
      </bottom>
      <diagonal/>
    </border>
    <border>
      <left/>
      <right style="medium">
        <color rgb="FF000000"/>
      </right>
      <top style="thin">
        <color rgb="FFFFFFFF"/>
      </top>
      <bottom style="thin">
        <color rgb="FFFFFFFF"/>
      </bottom>
      <diagonal/>
    </border>
    <border>
      <left style="medium">
        <color rgb="FF000000"/>
      </left>
      <right style="double">
        <color rgb="FF000000"/>
      </right>
      <top style="thin">
        <color rgb="FFFFFFFF"/>
      </top>
      <bottom style="medium">
        <color rgb="FF000000"/>
      </bottom>
      <diagonal/>
    </border>
    <border>
      <left/>
      <right style="medium">
        <color rgb="FF000000"/>
      </right>
      <top style="thin">
        <color rgb="FFFFFFFF"/>
      </top>
      <bottom style="medium">
        <color rgb="FF000000"/>
      </bottom>
      <diagonal/>
    </border>
    <border>
      <left style="thin">
        <color rgb="FF000000"/>
      </left>
      <right/>
      <top/>
      <bottom/>
      <diagonal/>
    </border>
    <border>
      <left style="medium">
        <color rgb="FF000000"/>
      </left>
      <right style="thin">
        <color rgb="FFFFFFFF"/>
      </right>
      <top style="medium">
        <color rgb="FF000000"/>
      </top>
      <bottom style="medium">
        <color rgb="FF000000"/>
      </bottom>
      <diagonal/>
    </border>
    <border>
      <left style="medium">
        <color rgb="FF000000"/>
      </left>
      <right style="medium">
        <color rgb="FF000000"/>
      </right>
      <top style="medium">
        <color rgb="FF000000"/>
      </top>
      <bottom style="thin">
        <color rgb="FFFFFFFF"/>
      </bottom>
      <diagonal/>
    </border>
    <border>
      <left style="medium">
        <color rgb="FF000000"/>
      </left>
      <right style="medium">
        <color rgb="FF000000"/>
      </right>
      <top style="thin">
        <color rgb="FFFFFFFF"/>
      </top>
      <bottom style="thin">
        <color rgb="FFFFFFFF"/>
      </bottom>
      <diagonal/>
    </border>
    <border>
      <left style="medium">
        <color rgb="FF000000"/>
      </left>
      <right style="medium">
        <color rgb="FF000000"/>
      </right>
      <top style="thin">
        <color rgb="FFFFFFFF"/>
      </top>
      <bottom style="medium">
        <color rgb="FF000000"/>
      </bottom>
      <diagonal/>
    </border>
    <border>
      <left style="thin">
        <color rgb="FFFFFFFF"/>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493">
    <xf numFmtId="0" fontId="0" fillId="0" borderId="0" xfId="0"/>
    <xf numFmtId="0" fontId="4" fillId="3" borderId="5" xfId="0" applyFont="1" applyFill="1" applyBorder="1"/>
    <xf numFmtId="0" fontId="5" fillId="3" borderId="5" xfId="0" applyFont="1" applyFill="1" applyBorder="1"/>
    <xf numFmtId="0" fontId="6" fillId="3" borderId="5" xfId="0" applyFont="1" applyFill="1" applyBorder="1"/>
    <xf numFmtId="0" fontId="7" fillId="3" borderId="5" xfId="0" applyFont="1" applyFill="1" applyBorder="1"/>
    <xf numFmtId="0" fontId="5" fillId="0" borderId="0" xfId="0" applyFont="1" applyAlignment="1">
      <alignment horizontal="right"/>
    </xf>
    <xf numFmtId="0" fontId="8" fillId="0" borderId="0" xfId="0" applyFont="1"/>
    <xf numFmtId="0" fontId="5" fillId="4" borderId="5" xfId="0" applyFont="1" applyFill="1" applyBorder="1"/>
    <xf numFmtId="0" fontId="9" fillId="4" borderId="5" xfId="0" applyFont="1" applyFill="1" applyBorder="1"/>
    <xf numFmtId="0" fontId="10" fillId="2" borderId="5" xfId="0" applyFont="1" applyFill="1" applyBorder="1"/>
    <xf numFmtId="0" fontId="4" fillId="2" borderId="5" xfId="0" applyFont="1" applyFill="1" applyBorder="1"/>
    <xf numFmtId="0" fontId="4" fillId="0" borderId="0" xfId="0" applyFont="1"/>
    <xf numFmtId="0" fontId="6" fillId="0" borderId="0" xfId="0" applyFont="1"/>
    <xf numFmtId="0" fontId="5" fillId="5" borderId="5" xfId="0" applyFont="1" applyFill="1" applyBorder="1"/>
    <xf numFmtId="0" fontId="6" fillId="5" borderId="5" xfId="0" applyFont="1" applyFill="1" applyBorder="1"/>
    <xf numFmtId="0" fontId="4" fillId="5" borderId="5" xfId="0" applyFont="1" applyFill="1" applyBorder="1"/>
    <xf numFmtId="0" fontId="11" fillId="0" borderId="0" xfId="0" applyFont="1"/>
    <xf numFmtId="0" fontId="5" fillId="0" borderId="0" xfId="0" applyFont="1"/>
    <xf numFmtId="0" fontId="12" fillId="0" borderId="0" xfId="0" applyFont="1"/>
    <xf numFmtId="0" fontId="13" fillId="0" borderId="0" xfId="0" applyFont="1"/>
    <xf numFmtId="0" fontId="14" fillId="2" borderId="6" xfId="0" applyFont="1" applyFill="1" applyBorder="1" applyAlignment="1">
      <alignment horizontal="left" vertical="center"/>
    </xf>
    <xf numFmtId="0" fontId="5" fillId="2" borderId="7" xfId="0" applyFont="1" applyFill="1" applyBorder="1" applyAlignment="1">
      <alignment horizontal="left" vertical="center"/>
    </xf>
    <xf numFmtId="0" fontId="5" fillId="2" borderId="8" xfId="0" applyFont="1" applyFill="1" applyBorder="1" applyAlignment="1">
      <alignment horizontal="left" vertical="center"/>
    </xf>
    <xf numFmtId="14" fontId="15" fillId="2" borderId="8" xfId="0" applyNumberFormat="1" applyFont="1" applyFill="1" applyBorder="1" applyAlignment="1">
      <alignment horizontal="center" vertical="center"/>
    </xf>
    <xf numFmtId="0" fontId="15" fillId="0" borderId="0" xfId="0" applyFont="1"/>
    <xf numFmtId="0" fontId="16" fillId="0" borderId="0" xfId="0" applyFont="1" applyAlignment="1">
      <alignment horizontal="center"/>
    </xf>
    <xf numFmtId="14" fontId="5" fillId="0" borderId="0" xfId="0" applyNumberFormat="1" applyFont="1"/>
    <xf numFmtId="0" fontId="14" fillId="2" borderId="6" xfId="0" applyFont="1" applyFill="1" applyBorder="1"/>
    <xf numFmtId="0" fontId="5" fillId="2" borderId="7" xfId="0" applyFont="1" applyFill="1" applyBorder="1"/>
    <xf numFmtId="0" fontId="5" fillId="2" borderId="8" xfId="0" applyFont="1" applyFill="1" applyBorder="1"/>
    <xf numFmtId="0" fontId="5" fillId="6" borderId="9" xfId="0" applyFont="1" applyFill="1" applyBorder="1"/>
    <xf numFmtId="0" fontId="5" fillId="6" borderId="10" xfId="0" applyFont="1" applyFill="1" applyBorder="1" applyAlignment="1">
      <alignment horizontal="center"/>
    </xf>
    <xf numFmtId="0" fontId="5" fillId="6" borderId="11" xfId="0" applyFont="1" applyFill="1" applyBorder="1" applyAlignment="1">
      <alignment horizontal="center"/>
    </xf>
    <xf numFmtId="0" fontId="5" fillId="6" borderId="12" xfId="0" applyFont="1" applyFill="1" applyBorder="1"/>
    <xf numFmtId="0" fontId="5" fillId="6" borderId="13" xfId="0" applyFont="1" applyFill="1" applyBorder="1" applyAlignment="1">
      <alignment horizontal="center"/>
    </xf>
    <xf numFmtId="0" fontId="5" fillId="6" borderId="14" xfId="0" applyFont="1" applyFill="1" applyBorder="1"/>
    <xf numFmtId="49" fontId="15" fillId="0" borderId="15" xfId="0" applyNumberFormat="1" applyFont="1" applyBorder="1" applyAlignment="1">
      <alignment horizontal="center" vertical="center"/>
    </xf>
    <xf numFmtId="49" fontId="15" fillId="0" borderId="15" xfId="0" applyNumberFormat="1" applyFont="1" applyBorder="1" applyAlignment="1">
      <alignment horizontal="left" vertical="center"/>
    </xf>
    <xf numFmtId="0" fontId="17" fillId="0" borderId="0" xfId="0" applyFont="1" applyAlignment="1">
      <alignment horizontal="center"/>
    </xf>
    <xf numFmtId="49" fontId="15" fillId="0" borderId="16" xfId="0" applyNumberFormat="1" applyFont="1" applyBorder="1" applyAlignment="1">
      <alignment horizontal="center" vertical="center"/>
    </xf>
    <xf numFmtId="49" fontId="15" fillId="0" borderId="16" xfId="0" applyNumberFormat="1" applyFont="1" applyBorder="1" applyAlignment="1">
      <alignment horizontal="left" vertical="center"/>
    </xf>
    <xf numFmtId="49" fontId="15" fillId="7" borderId="16" xfId="0" applyNumberFormat="1" applyFont="1" applyFill="1" applyBorder="1" applyAlignment="1">
      <alignment horizontal="center" vertical="center"/>
    </xf>
    <xf numFmtId="49" fontId="15" fillId="7" borderId="16" xfId="0" applyNumberFormat="1" applyFont="1" applyFill="1" applyBorder="1" applyAlignment="1">
      <alignment horizontal="left" vertical="center"/>
    </xf>
    <xf numFmtId="14" fontId="5" fillId="2" borderId="7" xfId="0" applyNumberFormat="1" applyFont="1" applyFill="1" applyBorder="1"/>
    <xf numFmtId="14" fontId="4" fillId="2" borderId="7" xfId="0" applyNumberFormat="1" applyFont="1" applyFill="1" applyBorder="1" applyAlignment="1">
      <alignment horizontal="right" vertical="center"/>
    </xf>
    <xf numFmtId="0" fontId="5" fillId="2" borderId="5" xfId="0" applyFont="1" applyFill="1" applyBorder="1"/>
    <xf numFmtId="14" fontId="18" fillId="2" borderId="10" xfId="0" applyNumberFormat="1" applyFont="1" applyFill="1" applyBorder="1" applyAlignment="1">
      <alignment horizontal="center" vertical="center"/>
    </xf>
    <xf numFmtId="0" fontId="4" fillId="0" borderId="0" xfId="0" applyFont="1" applyAlignment="1">
      <alignment horizontal="center"/>
    </xf>
    <xf numFmtId="0" fontId="15" fillId="0" borderId="0" xfId="0" applyFont="1" applyAlignment="1">
      <alignment horizontal="center"/>
    </xf>
    <xf numFmtId="0" fontId="19" fillId="8" borderId="5" xfId="0" applyFont="1" applyFill="1" applyBorder="1" applyAlignment="1">
      <alignment vertical="center" wrapText="1"/>
    </xf>
    <xf numFmtId="0" fontId="19" fillId="8" borderId="5" xfId="0" applyFont="1" applyFill="1" applyBorder="1" applyAlignment="1">
      <alignment horizontal="right" vertical="center" wrapText="1"/>
    </xf>
    <xf numFmtId="0" fontId="20" fillId="0" borderId="0" xfId="0" applyFont="1"/>
    <xf numFmtId="0" fontId="21" fillId="8" borderId="5" xfId="0" applyFont="1" applyFill="1" applyBorder="1" applyAlignment="1">
      <alignment vertical="center" wrapText="1"/>
    </xf>
    <xf numFmtId="0" fontId="21" fillId="8" borderId="19" xfId="0" applyFont="1" applyFill="1" applyBorder="1" applyAlignment="1">
      <alignment vertical="center" wrapText="1"/>
    </xf>
    <xf numFmtId="0" fontId="22" fillId="8" borderId="19" xfId="0" applyFont="1" applyFill="1" applyBorder="1" applyAlignment="1">
      <alignment vertical="center" wrapText="1"/>
    </xf>
    <xf numFmtId="14" fontId="21" fillId="8" borderId="19" xfId="0" applyNumberFormat="1" applyFont="1" applyFill="1" applyBorder="1" applyAlignment="1">
      <alignment vertical="center" wrapText="1"/>
    </xf>
    <xf numFmtId="0" fontId="21" fillId="8" borderId="19" xfId="0" applyFont="1" applyFill="1" applyBorder="1" applyAlignment="1">
      <alignment horizontal="right" vertical="center" wrapText="1"/>
    </xf>
    <xf numFmtId="0" fontId="21" fillId="7" borderId="20" xfId="0" applyFont="1" applyFill="1" applyBorder="1" applyAlignment="1">
      <alignment horizontal="right" vertical="center" wrapText="1"/>
    </xf>
    <xf numFmtId="0" fontId="23" fillId="7" borderId="20" xfId="0" applyFont="1" applyFill="1" applyBorder="1" applyAlignment="1">
      <alignment vertical="center" wrapText="1"/>
    </xf>
    <xf numFmtId="0" fontId="21" fillId="7" borderId="20" xfId="0" applyFont="1" applyFill="1" applyBorder="1" applyAlignment="1">
      <alignment vertical="center" wrapText="1"/>
    </xf>
    <xf numFmtId="0" fontId="19" fillId="7" borderId="20" xfId="0" applyFont="1" applyFill="1" applyBorder="1" applyAlignment="1">
      <alignment horizontal="right" vertical="center" wrapText="1"/>
    </xf>
    <xf numFmtId="0" fontId="19" fillId="7" borderId="20" xfId="0" applyFont="1" applyFill="1" applyBorder="1" applyAlignment="1">
      <alignment vertical="center" wrapText="1"/>
    </xf>
    <xf numFmtId="0" fontId="5" fillId="7" borderId="20" xfId="0" applyFont="1" applyFill="1" applyBorder="1" applyAlignment="1">
      <alignment vertical="center" wrapText="1"/>
    </xf>
    <xf numFmtId="0" fontId="24" fillId="9" borderId="5" xfId="0" applyFont="1" applyFill="1" applyBorder="1" applyAlignment="1">
      <alignment wrapText="1"/>
    </xf>
    <xf numFmtId="0" fontId="25" fillId="9" borderId="5" xfId="0" applyFont="1" applyFill="1" applyBorder="1" applyAlignment="1">
      <alignment wrapText="1"/>
    </xf>
    <xf numFmtId="0" fontId="24" fillId="9" borderId="5" xfId="0" applyFont="1" applyFill="1" applyBorder="1" applyAlignment="1">
      <alignment horizontal="center" wrapText="1"/>
    </xf>
    <xf numFmtId="0" fontId="5" fillId="7" borderId="5" xfId="0" applyFont="1" applyFill="1" applyBorder="1" applyAlignment="1">
      <alignment wrapText="1"/>
    </xf>
    <xf numFmtId="0" fontId="26" fillId="7" borderId="5" xfId="0" applyFont="1" applyFill="1" applyBorder="1" applyAlignment="1">
      <alignment wrapText="1"/>
    </xf>
    <xf numFmtId="0" fontId="4" fillId="10" borderId="5" xfId="0" applyFont="1" applyFill="1" applyBorder="1" applyAlignment="1">
      <alignment wrapText="1"/>
    </xf>
    <xf numFmtId="0" fontId="5" fillId="7" borderId="5" xfId="0" applyFont="1" applyFill="1" applyBorder="1"/>
    <xf numFmtId="0" fontId="27" fillId="0" borderId="0" xfId="0" applyFont="1" applyAlignment="1">
      <alignment horizontal="center" vertical="center"/>
    </xf>
    <xf numFmtId="0" fontId="14" fillId="3" borderId="6" xfId="0" applyFont="1" applyFill="1" applyBorder="1"/>
    <xf numFmtId="0" fontId="5" fillId="3" borderId="7" xfId="0" applyFont="1" applyFill="1" applyBorder="1"/>
    <xf numFmtId="0" fontId="14" fillId="3" borderId="7" xfId="0" applyFont="1" applyFill="1" applyBorder="1"/>
    <xf numFmtId="0" fontId="5" fillId="7" borderId="5" xfId="0" applyFont="1" applyFill="1" applyBorder="1" applyAlignment="1">
      <alignment horizontal="right" vertical="center"/>
    </xf>
    <xf numFmtId="164" fontId="5" fillId="7" borderId="5" xfId="0" applyNumberFormat="1" applyFont="1" applyFill="1" applyBorder="1" applyAlignment="1">
      <alignment vertical="center"/>
    </xf>
    <xf numFmtId="0" fontId="5" fillId="7" borderId="5" xfId="0" applyFont="1" applyFill="1" applyBorder="1" applyAlignment="1">
      <alignment vertical="center"/>
    </xf>
    <xf numFmtId="0" fontId="28" fillId="7" borderId="5" xfId="0" applyFont="1" applyFill="1" applyBorder="1" applyAlignment="1">
      <alignment horizontal="center"/>
    </xf>
    <xf numFmtId="1" fontId="15" fillId="3" borderId="21" xfId="0" applyNumberFormat="1" applyFont="1" applyFill="1" applyBorder="1" applyAlignment="1">
      <alignment horizontal="left"/>
    </xf>
    <xf numFmtId="14" fontId="15" fillId="3" borderId="22" xfId="0" applyNumberFormat="1" applyFont="1" applyFill="1" applyBorder="1" applyAlignment="1">
      <alignment horizontal="center"/>
    </xf>
    <xf numFmtId="0" fontId="17" fillId="4" borderId="23" xfId="0" applyFont="1" applyFill="1" applyBorder="1" applyAlignment="1">
      <alignment horizontal="left"/>
    </xf>
    <xf numFmtId="0" fontId="5" fillId="7" borderId="5" xfId="0" applyFont="1" applyFill="1" applyBorder="1" applyAlignment="1">
      <alignment horizontal="right"/>
    </xf>
    <xf numFmtId="0" fontId="17" fillId="4" borderId="23" xfId="0" applyFont="1" applyFill="1" applyBorder="1" applyAlignment="1">
      <alignment horizontal="center"/>
    </xf>
    <xf numFmtId="0" fontId="15" fillId="3" borderId="21" xfId="0" applyFont="1" applyFill="1" applyBorder="1" applyAlignment="1">
      <alignment horizontal="left"/>
    </xf>
    <xf numFmtId="14" fontId="17" fillId="2" borderId="16" xfId="0" applyNumberFormat="1" applyFont="1" applyFill="1" applyBorder="1" applyAlignment="1">
      <alignment horizontal="left"/>
    </xf>
    <xf numFmtId="0" fontId="15" fillId="3" borderId="24" xfId="0" applyFont="1" applyFill="1" applyBorder="1" applyAlignment="1">
      <alignment horizontal="left" vertical="center"/>
    </xf>
    <xf numFmtId="14" fontId="15" fillId="3" borderId="25" xfId="0" applyNumberFormat="1" applyFont="1" applyFill="1" applyBorder="1" applyAlignment="1">
      <alignment horizontal="center" vertical="center"/>
    </xf>
    <xf numFmtId="0" fontId="17" fillId="2" borderId="24" xfId="0" applyFont="1" applyFill="1" applyBorder="1" applyAlignment="1">
      <alignment vertical="center"/>
    </xf>
    <xf numFmtId="0" fontId="5" fillId="2" borderId="26" xfId="0" applyFont="1" applyFill="1" applyBorder="1" applyAlignment="1">
      <alignment vertical="center"/>
    </xf>
    <xf numFmtId="0" fontId="5" fillId="2" borderId="22" xfId="0" applyFont="1" applyFill="1" applyBorder="1" applyAlignment="1">
      <alignment vertical="center"/>
    </xf>
    <xf numFmtId="0" fontId="4" fillId="7" borderId="5" xfId="0" applyFont="1" applyFill="1" applyBorder="1" applyAlignment="1">
      <alignment horizontal="center"/>
    </xf>
    <xf numFmtId="0" fontId="5" fillId="7" borderId="5" xfId="0" applyFont="1" applyFill="1" applyBorder="1" applyAlignment="1">
      <alignment horizontal="center" wrapText="1"/>
    </xf>
    <xf numFmtId="4" fontId="15" fillId="3" borderId="22" xfId="0" applyNumberFormat="1" applyFont="1" applyFill="1" applyBorder="1" applyAlignment="1">
      <alignment horizontal="center"/>
    </xf>
    <xf numFmtId="0" fontId="17" fillId="2" borderId="21" xfId="0" applyFont="1" applyFill="1" applyBorder="1"/>
    <xf numFmtId="0" fontId="5" fillId="2" borderId="26" xfId="0" applyFont="1" applyFill="1" applyBorder="1"/>
    <xf numFmtId="0" fontId="5" fillId="2" borderId="27" xfId="0" applyFont="1" applyFill="1" applyBorder="1" applyAlignment="1">
      <alignment vertical="center"/>
    </xf>
    <xf numFmtId="165" fontId="5" fillId="7" borderId="5" xfId="0" applyNumberFormat="1" applyFont="1" applyFill="1" applyBorder="1" applyAlignment="1">
      <alignment vertical="center"/>
    </xf>
    <xf numFmtId="0" fontId="5" fillId="4" borderId="28" xfId="0" applyFont="1" applyFill="1" applyBorder="1" applyAlignment="1">
      <alignment horizontal="center" vertical="center"/>
    </xf>
    <xf numFmtId="0" fontId="29" fillId="7" borderId="5" xfId="0" applyFont="1" applyFill="1" applyBorder="1"/>
    <xf numFmtId="0" fontId="17" fillId="2" borderId="16" xfId="0" applyFont="1" applyFill="1" applyBorder="1" applyAlignment="1">
      <alignment horizontal="center"/>
    </xf>
    <xf numFmtId="0" fontId="30" fillId="7" borderId="5" xfId="0" applyFont="1" applyFill="1" applyBorder="1" applyAlignment="1">
      <alignment horizontal="right"/>
    </xf>
    <xf numFmtId="0" fontId="30" fillId="2" borderId="29" xfId="0" applyFont="1" applyFill="1" applyBorder="1" applyAlignment="1">
      <alignment horizontal="left"/>
    </xf>
    <xf numFmtId="0" fontId="17" fillId="2" borderId="22" xfId="0" applyFont="1" applyFill="1" applyBorder="1" applyAlignment="1">
      <alignment horizontal="center"/>
    </xf>
    <xf numFmtId="0" fontId="31" fillId="7" borderId="5" xfId="0" applyFont="1" applyFill="1" applyBorder="1" applyAlignment="1">
      <alignment horizontal="right"/>
    </xf>
    <xf numFmtId="0" fontId="30" fillId="4" borderId="30" xfId="0" applyFont="1" applyFill="1" applyBorder="1" applyAlignment="1">
      <alignment horizontal="left"/>
    </xf>
    <xf numFmtId="0" fontId="17" fillId="4" borderId="26" xfId="0" applyFont="1" applyFill="1" applyBorder="1" applyAlignment="1">
      <alignment horizontal="center"/>
    </xf>
    <xf numFmtId="0" fontId="17" fillId="2" borderId="31" xfId="0" applyFont="1" applyFill="1" applyBorder="1" applyAlignment="1">
      <alignment horizontal="center"/>
    </xf>
    <xf numFmtId="4" fontId="30" fillId="7" borderId="5" xfId="0" applyNumberFormat="1" applyFont="1" applyFill="1" applyBorder="1" applyAlignment="1">
      <alignment horizontal="right"/>
    </xf>
    <xf numFmtId="0" fontId="5" fillId="6" borderId="16" xfId="0" applyFont="1" applyFill="1" applyBorder="1" applyAlignment="1">
      <alignment horizontal="center"/>
    </xf>
    <xf numFmtId="4" fontId="5" fillId="7" borderId="5" xfId="0" applyNumberFormat="1" applyFont="1" applyFill="1" applyBorder="1"/>
    <xf numFmtId="0" fontId="5" fillId="7" borderId="5" xfId="0" applyFont="1" applyFill="1" applyBorder="1" applyAlignment="1">
      <alignment horizontal="center"/>
    </xf>
    <xf numFmtId="0" fontId="5" fillId="11" borderId="16" xfId="0" applyFont="1" applyFill="1" applyBorder="1" applyAlignment="1">
      <alignment horizontal="center"/>
    </xf>
    <xf numFmtId="0" fontId="5" fillId="12" borderId="16" xfId="0" applyFont="1" applyFill="1" applyBorder="1" applyAlignment="1">
      <alignment horizontal="center"/>
    </xf>
    <xf numFmtId="0" fontId="5" fillId="5" borderId="16" xfId="0" applyFont="1" applyFill="1" applyBorder="1" applyAlignment="1">
      <alignment horizontal="center"/>
    </xf>
    <xf numFmtId="0" fontId="32" fillId="9" borderId="32" xfId="0" applyFont="1" applyFill="1" applyBorder="1" applyAlignment="1">
      <alignment horizontal="center" vertical="center"/>
    </xf>
    <xf numFmtId="0" fontId="32" fillId="9" borderId="9" xfId="0" applyFont="1" applyFill="1" applyBorder="1" applyAlignment="1">
      <alignment horizontal="center" vertical="center" wrapText="1"/>
    </xf>
    <xf numFmtId="0" fontId="32" fillId="6" borderId="33" xfId="0" applyFont="1" applyFill="1" applyBorder="1" applyAlignment="1">
      <alignment horizontal="center" vertical="center" wrapText="1"/>
    </xf>
    <xf numFmtId="4" fontId="32" fillId="6" borderId="32" xfId="0" applyNumberFormat="1" applyFont="1" applyFill="1" applyBorder="1" applyAlignment="1">
      <alignment horizontal="center" vertical="center"/>
    </xf>
    <xf numFmtId="0" fontId="32" fillId="6" borderId="34" xfId="0" applyFont="1" applyFill="1" applyBorder="1" applyAlignment="1">
      <alignment horizontal="center" vertical="center"/>
    </xf>
    <xf numFmtId="0" fontId="32" fillId="6" borderId="35" xfId="0" applyFont="1" applyFill="1" applyBorder="1" applyAlignment="1">
      <alignment horizontal="center" vertical="center"/>
    </xf>
    <xf numFmtId="0" fontId="32" fillId="11" borderId="33" xfId="0" applyFont="1" applyFill="1" applyBorder="1" applyAlignment="1">
      <alignment horizontal="center" vertical="center"/>
    </xf>
    <xf numFmtId="0" fontId="32" fillId="11" borderId="34" xfId="0" applyFont="1" applyFill="1" applyBorder="1" applyAlignment="1">
      <alignment horizontal="center" vertical="center"/>
    </xf>
    <xf numFmtId="0" fontId="32" fillId="11"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32" xfId="0" applyFont="1" applyFill="1" applyBorder="1" applyAlignment="1">
      <alignment horizontal="center" vertical="center"/>
    </xf>
    <xf numFmtId="0" fontId="32" fillId="12" borderId="34" xfId="0" applyFont="1" applyFill="1" applyBorder="1" applyAlignment="1">
      <alignment horizontal="center" vertical="center"/>
    </xf>
    <xf numFmtId="0" fontId="32" fillId="12" borderId="36" xfId="0" applyFont="1" applyFill="1" applyBorder="1" applyAlignment="1">
      <alignment horizontal="center" vertical="center"/>
    </xf>
    <xf numFmtId="0" fontId="32" fillId="5" borderId="37" xfId="0" applyFont="1" applyFill="1" applyBorder="1" applyAlignment="1">
      <alignment horizontal="center" vertical="center"/>
    </xf>
    <xf numFmtId="0" fontId="32" fillId="5" borderId="32" xfId="0" applyFont="1" applyFill="1" applyBorder="1" applyAlignment="1">
      <alignment horizontal="center" vertical="center"/>
    </xf>
    <xf numFmtId="0" fontId="32" fillId="5" borderId="34" xfId="0" applyFont="1" applyFill="1" applyBorder="1" applyAlignment="1">
      <alignment horizontal="center" vertical="center"/>
    </xf>
    <xf numFmtId="0" fontId="5" fillId="0" borderId="38" xfId="0" applyFont="1" applyBorder="1"/>
    <xf numFmtId="0" fontId="6" fillId="3" borderId="28" xfId="0" applyFont="1" applyFill="1" applyBorder="1" applyAlignment="1">
      <alignment horizontal="center" vertical="center" wrapText="1"/>
    </xf>
    <xf numFmtId="0" fontId="32" fillId="3" borderId="39" xfId="0" applyFont="1" applyFill="1" applyBorder="1" applyAlignment="1">
      <alignment horizontal="center" vertical="center"/>
    </xf>
    <xf numFmtId="0" fontId="33" fillId="3" borderId="39" xfId="0" applyFont="1" applyFill="1" applyBorder="1" applyAlignment="1">
      <alignment horizontal="center" vertical="center" wrapText="1"/>
    </xf>
    <xf numFmtId="0" fontId="32" fillId="3" borderId="34" xfId="0" applyFont="1" applyFill="1" applyBorder="1" applyAlignment="1">
      <alignment horizontal="center" vertical="center"/>
    </xf>
    <xf numFmtId="0" fontId="32" fillId="3" borderId="5" xfId="0" applyFont="1" applyFill="1" applyBorder="1" applyAlignment="1">
      <alignment horizontal="center" vertical="center"/>
    </xf>
    <xf numFmtId="0" fontId="5" fillId="0" borderId="0" xfId="0" applyFont="1" applyAlignment="1">
      <alignment horizontal="center" wrapText="1"/>
    </xf>
    <xf numFmtId="0" fontId="5" fillId="7" borderId="40" xfId="0" applyFont="1" applyFill="1" applyBorder="1"/>
    <xf numFmtId="164" fontId="5" fillId="7" borderId="40" xfId="0" applyNumberFormat="1" applyFont="1" applyFill="1" applyBorder="1"/>
    <xf numFmtId="0" fontId="5" fillId="7" borderId="5" xfId="0" applyFont="1" applyFill="1" applyBorder="1" applyAlignment="1">
      <alignment shrinkToFit="1"/>
    </xf>
    <xf numFmtId="0" fontId="5" fillId="0" borderId="41" xfId="0" applyFont="1" applyBorder="1"/>
    <xf numFmtId="4" fontId="5" fillId="0" borderId="0" xfId="0" applyNumberFormat="1" applyFont="1"/>
    <xf numFmtId="164" fontId="5" fillId="0" borderId="0" xfId="0" applyNumberFormat="1" applyFont="1"/>
    <xf numFmtId="0" fontId="4" fillId="13" borderId="42" xfId="0" applyFont="1" applyFill="1" applyBorder="1" applyAlignment="1">
      <alignment horizontal="center"/>
    </xf>
    <xf numFmtId="164" fontId="4" fillId="7" borderId="5" xfId="0" applyNumberFormat="1" applyFont="1" applyFill="1" applyBorder="1" applyAlignment="1">
      <alignment horizontal="center"/>
    </xf>
    <xf numFmtId="1" fontId="4" fillId="7" borderId="5" xfId="0" applyNumberFormat="1" applyFont="1" applyFill="1" applyBorder="1" applyAlignment="1">
      <alignment horizontal="center"/>
    </xf>
    <xf numFmtId="0" fontId="5" fillId="4" borderId="16" xfId="0" applyFont="1" applyFill="1" applyBorder="1"/>
    <xf numFmtId="164" fontId="5" fillId="7" borderId="5" xfId="0" applyNumberFormat="1" applyFont="1" applyFill="1" applyBorder="1"/>
    <xf numFmtId="0" fontId="5" fillId="3" borderId="11" xfId="0" applyFont="1" applyFill="1" applyBorder="1"/>
    <xf numFmtId="164" fontId="34" fillId="13" borderId="28" xfId="0" applyNumberFormat="1" applyFont="1" applyFill="1" applyBorder="1" applyAlignment="1">
      <alignment horizontal="center" vertical="center"/>
    </xf>
    <xf numFmtId="0" fontId="17" fillId="2" borderId="28" xfId="0" applyFont="1" applyFill="1" applyBorder="1" applyAlignment="1">
      <alignment horizontal="left" vertical="center"/>
    </xf>
    <xf numFmtId="0" fontId="17" fillId="2" borderId="6" xfId="0" applyFont="1" applyFill="1" applyBorder="1" applyAlignment="1">
      <alignment vertical="center"/>
    </xf>
    <xf numFmtId="0" fontId="5" fillId="2" borderId="7" xfId="0" applyFont="1" applyFill="1" applyBorder="1" applyAlignment="1">
      <alignment vertical="center"/>
    </xf>
    <xf numFmtId="0" fontId="35" fillId="7" borderId="5" xfId="0" applyFont="1" applyFill="1" applyBorder="1" applyAlignment="1">
      <alignment horizontal="right" vertical="center"/>
    </xf>
    <xf numFmtId="0" fontId="15" fillId="10" borderId="39" xfId="0" applyFont="1" applyFill="1" applyBorder="1"/>
    <xf numFmtId="0" fontId="15" fillId="10" borderId="39" xfId="0" applyFont="1" applyFill="1" applyBorder="1" applyAlignment="1">
      <alignment horizontal="center"/>
    </xf>
    <xf numFmtId="0" fontId="5" fillId="0" borderId="16" xfId="0" applyFont="1" applyBorder="1"/>
    <xf numFmtId="4" fontId="5" fillId="0" borderId="16" xfId="0" applyNumberFormat="1" applyFont="1" applyBorder="1"/>
    <xf numFmtId="164" fontId="5" fillId="0" borderId="16" xfId="0" applyNumberFormat="1" applyFont="1" applyBorder="1"/>
    <xf numFmtId="0" fontId="36" fillId="0" borderId="0" xfId="0" applyFont="1" applyAlignment="1">
      <alignment horizontal="center" vertical="center"/>
    </xf>
    <xf numFmtId="0" fontId="5" fillId="0" borderId="0" xfId="0" applyFont="1" applyAlignment="1">
      <alignment horizontal="center"/>
    </xf>
    <xf numFmtId="0" fontId="32" fillId="10" borderId="16" xfId="0" applyFont="1" applyFill="1" applyBorder="1" applyAlignment="1">
      <alignment horizontal="center" vertical="center" wrapText="1"/>
    </xf>
    <xf numFmtId="0" fontId="5" fillId="0" borderId="0" xfId="0" applyFont="1" applyAlignment="1">
      <alignment horizontal="left"/>
    </xf>
    <xf numFmtId="0" fontId="37" fillId="6" borderId="6" xfId="0" applyFont="1" applyFill="1" applyBorder="1"/>
    <xf numFmtId="0" fontId="5" fillId="6" borderId="7" xfId="0" applyFont="1" applyFill="1" applyBorder="1"/>
    <xf numFmtId="0" fontId="5" fillId="6" borderId="8" xfId="0" applyFont="1" applyFill="1" applyBorder="1"/>
    <xf numFmtId="0" fontId="38" fillId="0" borderId="0" xfId="0" applyFont="1"/>
    <xf numFmtId="166" fontId="17" fillId="0" borderId="0" xfId="0" applyNumberFormat="1" applyFont="1" applyAlignment="1">
      <alignment horizontal="left"/>
    </xf>
    <xf numFmtId="0" fontId="17" fillId="0" borderId="0" xfId="0" applyFont="1" applyAlignment="1">
      <alignment horizontal="left"/>
    </xf>
    <xf numFmtId="0" fontId="39" fillId="0" borderId="0" xfId="0" applyFont="1" applyAlignment="1">
      <alignment horizontal="left"/>
    </xf>
    <xf numFmtId="20" fontId="5" fillId="0" borderId="0" xfId="0" applyNumberFormat="1" applyFont="1" applyAlignment="1">
      <alignment horizontal="left"/>
    </xf>
    <xf numFmtId="0" fontId="40" fillId="0" borderId="0" xfId="0" applyFont="1"/>
    <xf numFmtId="0" fontId="5" fillId="0" borderId="0" xfId="0" applyFont="1" applyAlignment="1">
      <alignment vertical="center"/>
    </xf>
    <xf numFmtId="0" fontId="5" fillId="0" borderId="0" xfId="0" applyFont="1" applyAlignment="1">
      <alignment horizontal="right" vertical="center"/>
    </xf>
    <xf numFmtId="0" fontId="17" fillId="3" borderId="43" xfId="0" applyFont="1" applyFill="1" applyBorder="1" applyAlignment="1">
      <alignment horizontal="center" vertical="center"/>
    </xf>
    <xf numFmtId="0" fontId="42" fillId="3" borderId="43" xfId="0" applyFont="1" applyFill="1" applyBorder="1" applyAlignment="1">
      <alignment vertical="center"/>
    </xf>
    <xf numFmtId="0" fontId="43" fillId="4" borderId="28" xfId="0" applyFont="1" applyFill="1" applyBorder="1" applyAlignment="1">
      <alignment horizontal="center" shrinkToFit="1"/>
    </xf>
    <xf numFmtId="0" fontId="5" fillId="7" borderId="5" xfId="0" applyFont="1" applyFill="1" applyBorder="1" applyAlignment="1">
      <alignment horizontal="center" vertical="center" wrapText="1"/>
    </xf>
    <xf numFmtId="0" fontId="27" fillId="7" borderId="5" xfId="0" applyFont="1" applyFill="1" applyBorder="1" applyAlignment="1">
      <alignment horizontal="center" vertical="center"/>
    </xf>
    <xf numFmtId="0" fontId="36" fillId="0" borderId="0" xfId="0" applyFont="1" applyAlignment="1">
      <alignment horizontal="left" vertical="center"/>
    </xf>
    <xf numFmtId="0" fontId="5" fillId="7" borderId="5" xfId="0" applyFont="1" applyFill="1" applyBorder="1" applyAlignment="1">
      <alignment horizontal="left" vertical="center"/>
    </xf>
    <xf numFmtId="0" fontId="3" fillId="7" borderId="5" xfId="0" applyFont="1" applyFill="1" applyBorder="1" applyAlignment="1">
      <alignment horizontal="center" vertical="center"/>
    </xf>
    <xf numFmtId="0" fontId="44" fillId="7" borderId="5" xfId="0" applyFont="1" applyFill="1" applyBorder="1"/>
    <xf numFmtId="0" fontId="5" fillId="7" borderId="13" xfId="0" applyFont="1" applyFill="1" applyBorder="1" applyAlignment="1">
      <alignment horizontal="center"/>
    </xf>
    <xf numFmtId="0" fontId="45" fillId="14" borderId="44" xfId="0" applyFont="1" applyFill="1" applyBorder="1" applyAlignment="1">
      <alignment horizontal="right"/>
    </xf>
    <xf numFmtId="0" fontId="44" fillId="7" borderId="5" xfId="0" applyFont="1" applyFill="1" applyBorder="1" applyAlignment="1">
      <alignment horizontal="center"/>
    </xf>
    <xf numFmtId="0" fontId="5" fillId="0" borderId="45" xfId="0" applyFont="1" applyBorder="1" applyAlignment="1">
      <alignment horizontal="center" vertical="center"/>
    </xf>
    <xf numFmtId="0" fontId="29" fillId="0" borderId="4" xfId="0" applyFont="1" applyBorder="1" applyAlignment="1">
      <alignment horizontal="center" vertical="center"/>
    </xf>
    <xf numFmtId="0" fontId="46" fillId="0" borderId="46" xfId="0" applyFont="1" applyBorder="1" applyAlignment="1">
      <alignment horizontal="center" vertical="center" wrapText="1"/>
    </xf>
    <xf numFmtId="0" fontId="46" fillId="0" borderId="47" xfId="0" applyFont="1" applyBorder="1" applyAlignment="1">
      <alignment horizontal="center" vertical="center" wrapText="1"/>
    </xf>
    <xf numFmtId="0" fontId="46" fillId="7" borderId="5" xfId="0" applyFont="1" applyFill="1" applyBorder="1"/>
    <xf numFmtId="0" fontId="46" fillId="7" borderId="5" xfId="0" applyFont="1" applyFill="1" applyBorder="1" applyAlignment="1">
      <alignment horizontal="center"/>
    </xf>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39" xfId="0" applyFont="1" applyBorder="1" applyAlignment="1">
      <alignment horizontal="center" vertical="center" wrapText="1"/>
    </xf>
    <xf numFmtId="0" fontId="46" fillId="0" borderId="55" xfId="0" applyFont="1" applyBorder="1" applyAlignment="1">
      <alignment horizontal="center" vertical="center" wrapText="1"/>
    </xf>
    <xf numFmtId="0" fontId="33" fillId="0" borderId="56" xfId="0" applyFont="1" applyBorder="1" applyAlignment="1">
      <alignment horizontal="center" vertical="center" wrapText="1"/>
    </xf>
    <xf numFmtId="0" fontId="5" fillId="0" borderId="57" xfId="0" applyFont="1" applyBorder="1" applyAlignment="1">
      <alignment horizontal="center" vertical="center"/>
    </xf>
    <xf numFmtId="0" fontId="29" fillId="0" borderId="57" xfId="0" applyFont="1" applyBorder="1" applyAlignment="1">
      <alignment horizontal="center" vertical="center"/>
    </xf>
    <xf numFmtId="0" fontId="46" fillId="0" borderId="57" xfId="0" applyFont="1" applyBorder="1" applyAlignment="1">
      <alignment horizontal="center" vertical="center" wrapText="1"/>
    </xf>
    <xf numFmtId="0" fontId="46" fillId="0" borderId="57" xfId="0" applyFont="1" applyBorder="1" applyAlignment="1">
      <alignment horizontal="center" vertical="center"/>
    </xf>
    <xf numFmtId="0" fontId="5" fillId="0" borderId="57" xfId="0" applyFont="1" applyBorder="1" applyAlignment="1">
      <alignment horizontal="center"/>
    </xf>
    <xf numFmtId="0" fontId="46" fillId="0" borderId="58" xfId="0" applyFont="1" applyBorder="1" applyAlignment="1">
      <alignment horizontal="center" vertical="center"/>
    </xf>
    <xf numFmtId="0" fontId="46" fillId="0" borderId="59" xfId="0" applyFont="1" applyBorder="1" applyAlignment="1">
      <alignment horizontal="center" vertical="center"/>
    </xf>
    <xf numFmtId="0" fontId="46" fillId="0" borderId="60" xfId="0" applyFont="1" applyBorder="1" applyAlignment="1">
      <alignment horizontal="center" vertical="center"/>
    </xf>
    <xf numFmtId="0" fontId="33" fillId="0" borderId="61" xfId="0" applyFont="1" applyBorder="1" applyAlignment="1">
      <alignment horizontal="center" vertical="center"/>
    </xf>
    <xf numFmtId="0" fontId="47" fillId="14" borderId="62" xfId="0" applyFont="1" applyFill="1" applyBorder="1" applyAlignment="1">
      <alignment horizontal="center" vertical="center"/>
    </xf>
    <xf numFmtId="0" fontId="36" fillId="0" borderId="63" xfId="0" applyFont="1" applyBorder="1" applyAlignment="1">
      <alignment horizontal="left" vertical="center"/>
    </xf>
    <xf numFmtId="0" fontId="18" fillId="0" borderId="64" xfId="0" applyFont="1" applyBorder="1" applyAlignment="1">
      <alignment horizontal="center" vertical="center"/>
    </xf>
    <xf numFmtId="0" fontId="5" fillId="14" borderId="65" xfId="0" applyFont="1" applyFill="1" applyBorder="1"/>
    <xf numFmtId="0" fontId="5" fillId="14" borderId="25" xfId="0" applyFont="1" applyFill="1" applyBorder="1"/>
    <xf numFmtId="0" fontId="5" fillId="14" borderId="66" xfId="0" applyFont="1" applyFill="1" applyBorder="1"/>
    <xf numFmtId="0" fontId="5" fillId="14" borderId="67" xfId="0" applyFont="1" applyFill="1" applyBorder="1"/>
    <xf numFmtId="0" fontId="5" fillId="3" borderId="65" xfId="0" applyFont="1" applyFill="1" applyBorder="1" applyAlignment="1">
      <alignment horizontal="center" vertical="center"/>
    </xf>
    <xf numFmtId="0" fontId="5" fillId="3" borderId="68" xfId="0" applyFont="1" applyFill="1" applyBorder="1" applyAlignment="1">
      <alignment horizontal="center" vertical="center"/>
    </xf>
    <xf numFmtId="0" fontId="48" fillId="3" borderId="69" xfId="0" applyFont="1" applyFill="1" applyBorder="1" applyAlignment="1">
      <alignment horizontal="center" vertical="center"/>
    </xf>
    <xf numFmtId="0" fontId="48" fillId="3" borderId="70" xfId="0" applyFont="1" applyFill="1" applyBorder="1" applyAlignment="1">
      <alignment horizontal="center" vertical="center"/>
    </xf>
    <xf numFmtId="0" fontId="5" fillId="7" borderId="5" xfId="0" applyFont="1" applyFill="1" applyBorder="1" applyAlignment="1">
      <alignment horizontal="center" vertical="center"/>
    </xf>
    <xf numFmtId="0" fontId="5" fillId="0" borderId="71" xfId="0" applyFont="1" applyBorder="1" applyAlignment="1">
      <alignment horizontal="center" vertical="center"/>
    </xf>
    <xf numFmtId="0" fontId="5" fillId="0" borderId="72" xfId="0" applyFont="1" applyBorder="1" applyAlignment="1">
      <alignment horizontal="center" vertical="center"/>
    </xf>
    <xf numFmtId="0" fontId="5" fillId="0" borderId="15" xfId="0" applyFont="1" applyBorder="1" applyAlignment="1">
      <alignment horizontal="center" vertical="center"/>
    </xf>
    <xf numFmtId="0" fontId="5" fillId="0" borderId="73" xfId="0" applyFont="1" applyBorder="1"/>
    <xf numFmtId="0" fontId="5" fillId="0" borderId="74" xfId="0" applyFont="1" applyBorder="1"/>
    <xf numFmtId="0" fontId="18" fillId="0" borderId="29" xfId="0" applyFont="1" applyBorder="1" applyAlignment="1">
      <alignment horizontal="center" vertical="center"/>
    </xf>
    <xf numFmtId="0" fontId="5" fillId="0" borderId="0" xfId="0" applyFont="1" applyAlignment="1">
      <alignment horizontal="center" vertical="center"/>
    </xf>
    <xf numFmtId="0" fontId="47" fillId="14" borderId="75" xfId="0" applyFont="1" applyFill="1" applyBorder="1" applyAlignment="1">
      <alignment horizontal="center" vertical="center"/>
    </xf>
    <xf numFmtId="0" fontId="36" fillId="0" borderId="76" xfId="0" applyFont="1" applyBorder="1" applyAlignment="1">
      <alignment horizontal="left" vertical="center"/>
    </xf>
    <xf numFmtId="0" fontId="18" fillId="0" borderId="42" xfId="0" applyFont="1" applyBorder="1" applyAlignment="1">
      <alignment horizontal="center" vertical="center"/>
    </xf>
    <xf numFmtId="0" fontId="5" fillId="3" borderId="22" xfId="0" applyFont="1" applyFill="1" applyBorder="1" applyAlignment="1">
      <alignment horizontal="center" vertical="center"/>
    </xf>
    <xf numFmtId="0" fontId="5" fillId="0" borderId="16" xfId="0" applyFont="1" applyBorder="1" applyAlignment="1">
      <alignment horizontal="center" vertical="center"/>
    </xf>
    <xf numFmtId="0" fontId="48" fillId="4" borderId="77" xfId="0" applyFont="1" applyFill="1" applyBorder="1" applyAlignment="1">
      <alignment horizontal="center" vertical="center"/>
    </xf>
    <xf numFmtId="0" fontId="48" fillId="4" borderId="70" xfId="0" applyFont="1" applyFill="1" applyBorder="1" applyAlignment="1">
      <alignment horizontal="center" vertical="center"/>
    </xf>
    <xf numFmtId="0" fontId="5" fillId="14" borderId="78" xfId="0" applyFont="1" applyFill="1" applyBorder="1"/>
    <xf numFmtId="0" fontId="5" fillId="14" borderId="22" xfId="0" applyFont="1" applyFill="1" applyBorder="1"/>
    <xf numFmtId="0" fontId="5" fillId="14" borderId="16" xfId="0" applyFont="1" applyFill="1" applyBorder="1"/>
    <xf numFmtId="0" fontId="5" fillId="14" borderId="79" xfId="0" applyFont="1" applyFill="1" applyBorder="1"/>
    <xf numFmtId="0" fontId="5" fillId="3" borderId="78" xfId="0" applyFont="1" applyFill="1" applyBorder="1" applyAlignment="1">
      <alignment horizontal="center" vertical="center"/>
    </xf>
    <xf numFmtId="0" fontId="5" fillId="3" borderId="16" xfId="0" applyFont="1" applyFill="1" applyBorder="1" applyAlignment="1">
      <alignment horizontal="center" vertical="center"/>
    </xf>
    <xf numFmtId="0" fontId="48" fillId="3" borderId="77" xfId="0" applyFont="1" applyFill="1" applyBorder="1" applyAlignment="1">
      <alignment horizontal="center" vertical="center"/>
    </xf>
    <xf numFmtId="0" fontId="5" fillId="0" borderId="78" xfId="0" applyFont="1" applyBorder="1" applyAlignment="1">
      <alignment horizontal="center" vertical="center"/>
    </xf>
    <xf numFmtId="0" fontId="5" fillId="0" borderId="80" xfId="0" applyFont="1" applyBorder="1" applyAlignment="1">
      <alignment horizontal="center" vertical="center"/>
    </xf>
    <xf numFmtId="0" fontId="5" fillId="0" borderId="81" xfId="0" applyFont="1" applyBorder="1"/>
    <xf numFmtId="0" fontId="5" fillId="0" borderId="82" xfId="0" applyFont="1" applyBorder="1"/>
    <xf numFmtId="0" fontId="18" fillId="0" borderId="83" xfId="0" applyFont="1" applyBorder="1" applyAlignment="1">
      <alignment horizontal="center" vertical="center"/>
    </xf>
    <xf numFmtId="0" fontId="36" fillId="0" borderId="84" xfId="0" applyFont="1" applyBorder="1" applyAlignment="1">
      <alignment horizontal="left" vertical="center"/>
    </xf>
    <xf numFmtId="0" fontId="18" fillId="0" borderId="85" xfId="0" applyFont="1" applyBorder="1" applyAlignment="1">
      <alignment horizontal="center" vertical="center"/>
    </xf>
    <xf numFmtId="0" fontId="5" fillId="3" borderId="86" xfId="0" applyFont="1" applyFill="1" applyBorder="1" applyAlignment="1">
      <alignment horizontal="center" vertical="center"/>
    </xf>
    <xf numFmtId="0" fontId="5" fillId="0" borderId="87" xfId="0" applyFont="1" applyBorder="1" applyAlignment="1">
      <alignment horizontal="center" vertical="center"/>
    </xf>
    <xf numFmtId="0" fontId="48" fillId="4" borderId="88" xfId="0" applyFont="1" applyFill="1" applyBorder="1" applyAlignment="1">
      <alignment horizontal="center" vertical="center"/>
    </xf>
    <xf numFmtId="0" fontId="48" fillId="4" borderId="89" xfId="0" applyFont="1" applyFill="1" applyBorder="1" applyAlignment="1">
      <alignment horizontal="center" vertical="center"/>
    </xf>
    <xf numFmtId="0" fontId="5" fillId="0" borderId="90" xfId="0"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xf numFmtId="0" fontId="5" fillId="0" borderId="93" xfId="0" applyFont="1" applyBorder="1"/>
    <xf numFmtId="0" fontId="18" fillId="0" borderId="30" xfId="0" applyFont="1" applyBorder="1" applyAlignment="1">
      <alignment horizontal="center" vertical="center"/>
    </xf>
    <xf numFmtId="0" fontId="5" fillId="0" borderId="94" xfId="0" applyFont="1" applyBorder="1"/>
    <xf numFmtId="0" fontId="49" fillId="7" borderId="5" xfId="0" applyFont="1" applyFill="1" applyBorder="1" applyAlignment="1">
      <alignment horizontal="center" vertical="center"/>
    </xf>
    <xf numFmtId="0" fontId="50" fillId="0" borderId="0" xfId="0" applyFont="1" applyAlignment="1">
      <alignment horizontal="center" shrinkToFit="1"/>
    </xf>
    <xf numFmtId="0" fontId="51" fillId="7" borderId="5" xfId="0" applyFont="1" applyFill="1" applyBorder="1"/>
    <xf numFmtId="0" fontId="49" fillId="2" borderId="5" xfId="0" applyFont="1" applyFill="1" applyBorder="1" applyAlignment="1">
      <alignment horizontal="center" shrinkToFit="1"/>
    </xf>
    <xf numFmtId="0" fontId="36" fillId="7" borderId="5" xfId="0" applyFont="1" applyFill="1" applyBorder="1" applyAlignment="1">
      <alignment horizontal="left" vertical="center"/>
    </xf>
    <xf numFmtId="0" fontId="36" fillId="7" borderId="5" xfId="0" applyFont="1" applyFill="1" applyBorder="1" applyAlignment="1">
      <alignment horizontal="center"/>
    </xf>
    <xf numFmtId="0" fontId="49" fillId="6" borderId="5" xfId="0" applyFont="1" applyFill="1" applyBorder="1" applyAlignment="1">
      <alignment horizontal="center" shrinkToFit="1"/>
    </xf>
    <xf numFmtId="0" fontId="49" fillId="7" borderId="5" xfId="0" applyFont="1" applyFill="1" applyBorder="1" applyAlignment="1">
      <alignment horizontal="center" shrinkToFit="1"/>
    </xf>
    <xf numFmtId="0" fontId="36" fillId="7" borderId="5" xfId="0" applyFont="1" applyFill="1" applyBorder="1"/>
    <xf numFmtId="0" fontId="52" fillId="0" borderId="94" xfId="0" applyFont="1" applyBorder="1" applyAlignment="1">
      <alignment horizontal="right"/>
    </xf>
    <xf numFmtId="0" fontId="53" fillId="0" borderId="94" xfId="0" applyFont="1" applyBorder="1" applyAlignment="1">
      <alignment horizontal="center"/>
    </xf>
    <xf numFmtId="0" fontId="34" fillId="0" borderId="94" xfId="0" applyFont="1" applyBorder="1" applyAlignment="1">
      <alignment horizontal="center"/>
    </xf>
    <xf numFmtId="0" fontId="5" fillId="0" borderId="95" xfId="0" applyFont="1" applyBorder="1"/>
    <xf numFmtId="0" fontId="5" fillId="0" borderId="96" xfId="0" applyFont="1" applyBorder="1"/>
    <xf numFmtId="0" fontId="54" fillId="0" borderId="94" xfId="0" applyFont="1" applyBorder="1" applyAlignment="1">
      <alignment horizontal="center" vertical="center"/>
    </xf>
    <xf numFmtId="0" fontId="36" fillId="0" borderId="94" xfId="0" applyFont="1" applyBorder="1" applyAlignment="1">
      <alignment horizontal="center" vertical="center"/>
    </xf>
    <xf numFmtId="0" fontId="36" fillId="0" borderId="95" xfId="0" applyFont="1" applyBorder="1" applyAlignment="1">
      <alignment horizontal="center" vertical="center"/>
    </xf>
    <xf numFmtId="0" fontId="5" fillId="0" borderId="94" xfId="0" applyFont="1" applyBorder="1" applyAlignment="1">
      <alignment horizontal="center"/>
    </xf>
    <xf numFmtId="0" fontId="55" fillId="15" borderId="28" xfId="0" applyFont="1" applyFill="1" applyBorder="1" applyAlignment="1">
      <alignment horizontal="center" shrinkToFit="1"/>
    </xf>
    <xf numFmtId="0" fontId="18" fillId="0" borderId="0" xfId="0" applyFont="1" applyAlignment="1">
      <alignment horizontal="left"/>
    </xf>
    <xf numFmtId="0" fontId="56" fillId="0" borderId="0" xfId="0" applyFont="1" applyAlignment="1">
      <alignment horizontal="center"/>
    </xf>
    <xf numFmtId="0" fontId="15" fillId="2" borderId="16" xfId="0" applyFont="1" applyFill="1" applyBorder="1" applyAlignment="1">
      <alignment horizontal="center" vertical="center" wrapText="1"/>
    </xf>
    <xf numFmtId="0" fontId="56" fillId="0" borderId="0" xfId="0" applyFont="1" applyAlignment="1">
      <alignment horizontal="center" vertical="center"/>
    </xf>
    <xf numFmtId="0" fontId="4" fillId="2" borderId="6" xfId="0" applyFont="1" applyFill="1" applyBorder="1" applyAlignment="1">
      <alignment horizontal="center" textRotation="90"/>
    </xf>
    <xf numFmtId="0" fontId="57" fillId="2" borderId="6" xfId="0" applyFont="1" applyFill="1" applyBorder="1" applyAlignment="1">
      <alignment horizontal="center" textRotation="90"/>
    </xf>
    <xf numFmtId="0" fontId="5" fillId="0" borderId="0" xfId="0" applyFont="1" applyAlignment="1">
      <alignment shrinkToFit="1"/>
    </xf>
    <xf numFmtId="0" fontId="5" fillId="0" borderId="0" xfId="0" applyFont="1" applyAlignment="1">
      <alignment horizontal="center" shrinkToFit="1"/>
    </xf>
    <xf numFmtId="0" fontId="56" fillId="0" borderId="0" xfId="0" applyFont="1"/>
    <xf numFmtId="0" fontId="58" fillId="0" borderId="0" xfId="0" applyFont="1" applyAlignment="1">
      <alignment horizontal="center"/>
    </xf>
    <xf numFmtId="0" fontId="5" fillId="16" borderId="5" xfId="0" applyFont="1" applyFill="1" applyBorder="1"/>
    <xf numFmtId="1" fontId="5" fillId="3" borderId="16" xfId="0" applyNumberFormat="1" applyFont="1" applyFill="1" applyBorder="1"/>
    <xf numFmtId="0" fontId="5" fillId="3" borderId="16" xfId="0" applyFont="1" applyFill="1" applyBorder="1"/>
    <xf numFmtId="0" fontId="5" fillId="0" borderId="101" xfId="0" applyFont="1" applyBorder="1"/>
    <xf numFmtId="0" fontId="5" fillId="0" borderId="94" xfId="0" applyFont="1" applyBorder="1" applyAlignment="1">
      <alignment horizontal="left"/>
    </xf>
    <xf numFmtId="0" fontId="59" fillId="0" borderId="102" xfId="0" applyFont="1" applyBorder="1" applyAlignment="1">
      <alignment horizontal="center"/>
    </xf>
    <xf numFmtId="0" fontId="34" fillId="5" borderId="28" xfId="0" applyFont="1" applyFill="1" applyBorder="1" applyAlignment="1">
      <alignment horizontal="center"/>
    </xf>
    <xf numFmtId="0" fontId="27" fillId="10" borderId="28" xfId="0" applyFont="1" applyFill="1" applyBorder="1" applyAlignment="1">
      <alignment horizontal="center"/>
    </xf>
    <xf numFmtId="0" fontId="5" fillId="0" borderId="103" xfId="0" applyFont="1" applyBorder="1"/>
    <xf numFmtId="0" fontId="49" fillId="0" borderId="94" xfId="0" applyFont="1" applyBorder="1" applyAlignment="1">
      <alignment horizontal="center" vertical="center"/>
    </xf>
    <xf numFmtId="0" fontId="27" fillId="4" borderId="28" xfId="0" applyFont="1" applyFill="1" applyBorder="1" applyAlignment="1">
      <alignment horizontal="center"/>
    </xf>
    <xf numFmtId="0" fontId="13" fillId="0" borderId="104" xfId="0" applyFont="1" applyBorder="1"/>
    <xf numFmtId="0" fontId="5" fillId="0" borderId="104" xfId="0" applyFont="1" applyBorder="1"/>
    <xf numFmtId="0" fontId="60" fillId="0" borderId="105" xfId="0" applyFont="1" applyBorder="1" applyAlignment="1">
      <alignment horizontal="right"/>
    </xf>
    <xf numFmtId="0" fontId="61" fillId="3" borderId="28" xfId="0" applyFont="1" applyFill="1" applyBorder="1" applyAlignment="1">
      <alignment horizontal="center"/>
    </xf>
    <xf numFmtId="0" fontId="61" fillId="0" borderId="94" xfId="0" applyFont="1" applyBorder="1"/>
    <xf numFmtId="0" fontId="61" fillId="0" borderId="106" xfId="0" applyFont="1" applyBorder="1"/>
    <xf numFmtId="0" fontId="62" fillId="7" borderId="94" xfId="0" applyFont="1" applyFill="1" applyBorder="1" applyAlignment="1">
      <alignment horizontal="center" vertical="center"/>
    </xf>
    <xf numFmtId="0" fontId="61" fillId="0" borderId="103" xfId="0" applyFont="1" applyBorder="1"/>
    <xf numFmtId="0" fontId="63" fillId="7" borderId="94" xfId="0" applyFont="1" applyFill="1" applyBorder="1" applyAlignment="1">
      <alignment horizontal="center" vertical="center"/>
    </xf>
    <xf numFmtId="0" fontId="5" fillId="6" borderId="16" xfId="0" applyFont="1" applyFill="1" applyBorder="1" applyAlignment="1">
      <alignment horizontal="center" vertical="center"/>
    </xf>
    <xf numFmtId="0" fontId="13" fillId="0" borderId="107" xfId="0" applyFont="1" applyBorder="1" applyAlignment="1">
      <alignment horizontal="center" vertical="center"/>
    </xf>
    <xf numFmtId="0" fontId="15" fillId="0" borderId="108" xfId="0" applyFont="1" applyBorder="1" applyAlignment="1">
      <alignment horizontal="center"/>
    </xf>
    <xf numFmtId="0" fontId="64" fillId="0" borderId="23" xfId="0" applyFont="1" applyBorder="1" applyAlignment="1">
      <alignment horizontal="center" shrinkToFit="1"/>
    </xf>
    <xf numFmtId="0" fontId="28" fillId="4" borderId="109" xfId="0" applyFont="1" applyFill="1" applyBorder="1" applyAlignment="1">
      <alignment horizontal="center"/>
    </xf>
    <xf numFmtId="0" fontId="5" fillId="0" borderId="110" xfId="0" applyFont="1" applyBorder="1"/>
    <xf numFmtId="0" fontId="5" fillId="0" borderId="106" xfId="0" applyFont="1" applyBorder="1"/>
    <xf numFmtId="0" fontId="15" fillId="0" borderId="111" xfId="0" applyFont="1" applyBorder="1" applyAlignment="1">
      <alignment horizontal="center"/>
    </xf>
    <xf numFmtId="0" fontId="64" fillId="0" borderId="112" xfId="0" applyFont="1" applyBorder="1" applyAlignment="1">
      <alignment horizontal="center" shrinkToFit="1"/>
    </xf>
    <xf numFmtId="0" fontId="28" fillId="4" borderId="113" xfId="0" applyFont="1" applyFill="1" applyBorder="1" applyAlignment="1">
      <alignment horizontal="center"/>
    </xf>
    <xf numFmtId="0" fontId="5" fillId="0" borderId="114" xfId="0" applyFont="1" applyBorder="1"/>
    <xf numFmtId="0" fontId="5" fillId="0" borderId="115" xfId="0" applyFont="1" applyBorder="1"/>
    <xf numFmtId="0" fontId="5" fillId="0" borderId="94" xfId="0" applyFont="1" applyBorder="1" applyAlignment="1">
      <alignment shrinkToFit="1"/>
    </xf>
    <xf numFmtId="0" fontId="5" fillId="0" borderId="95" xfId="0" applyFont="1" applyBorder="1" applyAlignment="1">
      <alignment horizontal="center" vertical="center"/>
    </xf>
    <xf numFmtId="0" fontId="59" fillId="0" borderId="116" xfId="0" applyFont="1" applyBorder="1" applyAlignment="1">
      <alignment horizontal="center" vertical="center"/>
    </xf>
    <xf numFmtId="0" fontId="16" fillId="0" borderId="103" xfId="0" applyFont="1" applyBorder="1" applyAlignment="1">
      <alignment horizontal="center" vertical="center" shrinkToFit="1"/>
    </xf>
    <xf numFmtId="0" fontId="46" fillId="0" borderId="103" xfId="0" applyFont="1" applyBorder="1" applyAlignment="1">
      <alignment horizontal="center"/>
    </xf>
    <xf numFmtId="0" fontId="5" fillId="0" borderId="117" xfId="0" applyFont="1" applyBorder="1"/>
    <xf numFmtId="0" fontId="5" fillId="0" borderId="94" xfId="0" applyFont="1" applyBorder="1" applyAlignment="1">
      <alignment horizontal="center" vertical="center"/>
    </xf>
    <xf numFmtId="0" fontId="13" fillId="0" borderId="104" xfId="0" applyFont="1" applyBorder="1" applyAlignment="1">
      <alignment horizontal="center" vertical="center"/>
    </xf>
    <xf numFmtId="0" fontId="28" fillId="0" borderId="103" xfId="0" applyFont="1" applyBorder="1" applyAlignment="1">
      <alignment horizontal="center" vertical="center"/>
    </xf>
    <xf numFmtId="0" fontId="5" fillId="0" borderId="118" xfId="0" applyFont="1" applyBorder="1"/>
    <xf numFmtId="0" fontId="5" fillId="0" borderId="103" xfId="0" applyFont="1" applyBorder="1" applyAlignment="1">
      <alignment shrinkToFit="1"/>
    </xf>
    <xf numFmtId="0" fontId="5" fillId="0" borderId="119" xfId="0" applyFont="1" applyBorder="1"/>
    <xf numFmtId="0" fontId="59" fillId="0" borderId="103" xfId="0" applyFont="1" applyBorder="1" applyAlignment="1">
      <alignment horizontal="center"/>
    </xf>
    <xf numFmtId="0" fontId="46" fillId="0" borderId="105" xfId="0" applyFont="1" applyBorder="1" applyAlignment="1">
      <alignment horizontal="center" vertical="center" shrinkToFit="1"/>
    </xf>
    <xf numFmtId="0" fontId="5" fillId="0" borderId="106" xfId="0" applyFont="1" applyBorder="1" applyAlignment="1">
      <alignment horizontal="center" vertical="center" shrinkToFit="1"/>
    </xf>
    <xf numFmtId="0" fontId="65" fillId="0" borderId="103" xfId="0" applyFont="1" applyBorder="1" applyAlignment="1">
      <alignment horizontal="center"/>
    </xf>
    <xf numFmtId="0" fontId="5" fillId="0" borderId="94" xfId="0" applyFont="1" applyBorder="1" applyAlignment="1">
      <alignment horizontal="center" vertical="center" shrinkToFit="1"/>
    </xf>
    <xf numFmtId="0" fontId="59" fillId="0" borderId="120" xfId="0" applyFont="1" applyBorder="1" applyAlignment="1">
      <alignment horizontal="center"/>
    </xf>
    <xf numFmtId="0" fontId="46" fillId="0" borderId="121" xfId="0" applyFont="1" applyBorder="1" applyAlignment="1">
      <alignment horizontal="center" vertical="center" shrinkToFit="1"/>
    </xf>
    <xf numFmtId="0" fontId="46" fillId="0" borderId="116" xfId="0" applyFont="1" applyBorder="1" applyAlignment="1">
      <alignment horizontal="center"/>
    </xf>
    <xf numFmtId="0" fontId="5" fillId="0" borderId="61" xfId="0" applyFont="1" applyBorder="1"/>
    <xf numFmtId="0" fontId="5" fillId="0" borderId="122" xfId="0" applyFont="1" applyBorder="1"/>
    <xf numFmtId="0" fontId="5" fillId="0" borderId="120" xfId="0" applyFont="1" applyBorder="1"/>
    <xf numFmtId="0" fontId="5" fillId="0" borderId="123" xfId="0" applyFont="1" applyBorder="1" applyAlignment="1">
      <alignment horizontal="center" vertical="center" shrinkToFit="1"/>
    </xf>
    <xf numFmtId="0" fontId="16" fillId="0" borderId="106" xfId="0" applyFont="1" applyBorder="1" applyAlignment="1">
      <alignment horizontal="center" vertical="center" shrinkToFit="1"/>
    </xf>
    <xf numFmtId="0" fontId="5" fillId="0" borderId="124" xfId="0" applyFont="1" applyBorder="1"/>
    <xf numFmtId="0" fontId="5" fillId="0" borderId="125" xfId="0" applyFont="1" applyBorder="1"/>
    <xf numFmtId="0" fontId="5" fillId="0" borderId="126" xfId="0" applyFont="1" applyBorder="1"/>
    <xf numFmtId="0" fontId="16" fillId="0" borderId="105" xfId="0" applyFont="1" applyBorder="1" applyAlignment="1">
      <alignment horizontal="center" vertical="center" shrinkToFit="1"/>
    </xf>
    <xf numFmtId="0" fontId="46" fillId="0" borderId="105" xfId="0" applyFont="1" applyBorder="1" applyAlignment="1">
      <alignment horizontal="center"/>
    </xf>
    <xf numFmtId="0" fontId="5" fillId="0" borderId="103" xfId="0" applyFont="1" applyBorder="1" applyAlignment="1">
      <alignment horizontal="center" vertical="center" shrinkToFit="1"/>
    </xf>
    <xf numFmtId="0" fontId="5" fillId="0" borderId="127" xfId="0" applyFont="1" applyBorder="1"/>
    <xf numFmtId="0" fontId="5" fillId="0" borderId="125" xfId="0" applyFont="1" applyBorder="1" applyAlignment="1">
      <alignment shrinkToFit="1"/>
    </xf>
    <xf numFmtId="0" fontId="16" fillId="0" borderId="94" xfId="0" applyFont="1" applyBorder="1" applyAlignment="1">
      <alignment horizontal="center" vertical="center" shrinkToFit="1"/>
    </xf>
    <xf numFmtId="0" fontId="15" fillId="0" borderId="128" xfId="0" applyFont="1" applyBorder="1" applyAlignment="1">
      <alignment horizontal="center"/>
    </xf>
    <xf numFmtId="0" fontId="46" fillId="0" borderId="121" xfId="0" applyFont="1" applyBorder="1" applyAlignment="1">
      <alignment horizontal="center" shrinkToFit="1"/>
    </xf>
    <xf numFmtId="0" fontId="46" fillId="0" borderId="121" xfId="0" applyFont="1" applyBorder="1" applyAlignment="1">
      <alignment horizontal="center"/>
    </xf>
    <xf numFmtId="0" fontId="5" fillId="0" borderId="106" xfId="0" applyFont="1" applyBorder="1" applyAlignment="1">
      <alignment shrinkToFit="1"/>
    </xf>
    <xf numFmtId="0" fontId="36" fillId="17" borderId="28" xfId="0" applyFont="1" applyFill="1" applyBorder="1" applyAlignment="1">
      <alignment horizontal="center"/>
    </xf>
    <xf numFmtId="0" fontId="5" fillId="0" borderId="123" xfId="0" applyFont="1" applyBorder="1" applyAlignment="1">
      <alignment shrinkToFit="1"/>
    </xf>
    <xf numFmtId="0" fontId="5" fillId="0" borderId="129" xfId="0" applyFont="1" applyBorder="1" applyAlignment="1">
      <alignment horizontal="center" vertical="center"/>
    </xf>
    <xf numFmtId="0" fontId="59" fillId="0" borderId="130" xfId="0" applyFont="1" applyBorder="1" applyAlignment="1">
      <alignment horizontal="center"/>
    </xf>
    <xf numFmtId="0" fontId="59" fillId="0" borderId="130" xfId="0" applyFont="1" applyBorder="1" applyAlignment="1">
      <alignment horizontal="center" vertical="center"/>
    </xf>
    <xf numFmtId="0" fontId="16" fillId="0" borderId="131" xfId="0" applyFont="1" applyBorder="1" applyAlignment="1">
      <alignment horizontal="center" vertical="center" shrinkToFit="1"/>
    </xf>
    <xf numFmtId="0" fontId="46" fillId="0" borderId="131" xfId="0" applyFont="1" applyBorder="1" applyAlignment="1">
      <alignment horizontal="center"/>
    </xf>
    <xf numFmtId="0" fontId="5" fillId="0" borderId="132" xfId="0" applyFont="1" applyBorder="1"/>
    <xf numFmtId="0" fontId="66" fillId="2" borderId="133" xfId="0" applyFont="1" applyFill="1" applyBorder="1" applyAlignment="1">
      <alignment horizontal="center" shrinkToFit="1"/>
    </xf>
    <xf numFmtId="0" fontId="28" fillId="0" borderId="134" xfId="0" applyFont="1" applyBorder="1" applyAlignment="1">
      <alignment horizontal="center"/>
    </xf>
    <xf numFmtId="0" fontId="59" fillId="0" borderId="116" xfId="0" applyFont="1" applyBorder="1" applyAlignment="1">
      <alignment horizontal="center"/>
    </xf>
    <xf numFmtId="0" fontId="28" fillId="0" borderId="116" xfId="0" applyFont="1" applyBorder="1" applyAlignment="1">
      <alignment horizontal="center" vertical="center"/>
    </xf>
    <xf numFmtId="0" fontId="64" fillId="18" borderId="23" xfId="0" applyFont="1" applyFill="1" applyBorder="1" applyAlignment="1">
      <alignment horizontal="center" shrinkToFit="1"/>
    </xf>
    <xf numFmtId="0" fontId="28" fillId="7" borderId="135" xfId="0" applyFont="1" applyFill="1" applyBorder="1" applyAlignment="1">
      <alignment horizontal="center"/>
    </xf>
    <xf numFmtId="0" fontId="5" fillId="0" borderId="136" xfId="0" applyFont="1" applyBorder="1"/>
    <xf numFmtId="0" fontId="67" fillId="17" borderId="137" xfId="0" applyFont="1" applyFill="1" applyBorder="1" applyAlignment="1">
      <alignment horizontal="center" vertical="center" shrinkToFit="1"/>
    </xf>
    <xf numFmtId="0" fontId="67" fillId="17" borderId="138" xfId="0" applyFont="1" applyFill="1" applyBorder="1" applyAlignment="1">
      <alignment horizontal="center" vertical="center" shrinkToFit="1"/>
    </xf>
    <xf numFmtId="0" fontId="28" fillId="0" borderId="103" xfId="0" applyFont="1" applyBorder="1" applyAlignment="1">
      <alignment horizontal="center"/>
    </xf>
    <xf numFmtId="0" fontId="64" fillId="10" borderId="23" xfId="0" applyFont="1" applyFill="1" applyBorder="1" applyAlignment="1">
      <alignment horizontal="center" shrinkToFit="1"/>
    </xf>
    <xf numFmtId="0" fontId="5" fillId="0" borderId="96" xfId="0" applyFont="1" applyBorder="1" applyAlignment="1">
      <alignment shrinkToFit="1"/>
    </xf>
    <xf numFmtId="0" fontId="59" fillId="0" borderId="131" xfId="0" applyFont="1" applyBorder="1" applyAlignment="1">
      <alignment horizontal="center"/>
    </xf>
    <xf numFmtId="0" fontId="5" fillId="0" borderId="132" xfId="0" applyFont="1" applyBorder="1" applyAlignment="1">
      <alignment horizontal="center" vertical="center" shrinkToFit="1"/>
    </xf>
    <xf numFmtId="0" fontId="16" fillId="0" borderId="132" xfId="0" applyFont="1" applyBorder="1" applyAlignment="1">
      <alignment horizontal="center" vertical="center" shrinkToFit="1"/>
    </xf>
    <xf numFmtId="0" fontId="5" fillId="0" borderId="139" xfId="0" applyFont="1" applyBorder="1"/>
    <xf numFmtId="0" fontId="5" fillId="0" borderId="95" xfId="0" applyFont="1" applyBorder="1" applyAlignment="1">
      <alignment horizontal="center" vertical="center" shrinkToFit="1"/>
    </xf>
    <xf numFmtId="0" fontId="16" fillId="0" borderId="95" xfId="0" applyFont="1" applyBorder="1" applyAlignment="1">
      <alignment horizontal="center" vertical="center" shrinkToFit="1"/>
    </xf>
    <xf numFmtId="0" fontId="61" fillId="0" borderId="140" xfId="0" applyFont="1" applyBorder="1"/>
    <xf numFmtId="0" fontId="4" fillId="0" borderId="94" xfId="0" applyFont="1" applyBorder="1"/>
    <xf numFmtId="0" fontId="5" fillId="0" borderId="95" xfId="0" applyFont="1" applyBorder="1" applyAlignment="1">
      <alignment shrinkToFit="1"/>
    </xf>
    <xf numFmtId="0" fontId="5" fillId="0" borderId="95" xfId="0" applyFont="1" applyBorder="1" applyAlignment="1">
      <alignment horizontal="center" shrinkToFit="1"/>
    </xf>
    <xf numFmtId="0" fontId="5" fillId="0" borderId="94" xfId="0" applyFont="1" applyBorder="1" applyAlignment="1">
      <alignment horizontal="center" shrinkToFit="1"/>
    </xf>
    <xf numFmtId="0" fontId="13" fillId="0" borderId="105" xfId="0" applyFont="1" applyBorder="1"/>
    <xf numFmtId="0" fontId="5" fillId="0" borderId="141" xfId="0" applyFont="1" applyBorder="1"/>
    <xf numFmtId="0" fontId="5" fillId="0" borderId="106" xfId="0" applyFont="1" applyBorder="1" applyAlignment="1">
      <alignment horizontal="center" shrinkToFit="1"/>
    </xf>
    <xf numFmtId="0" fontId="5" fillId="0" borderId="123" xfId="0" applyFont="1" applyBorder="1" applyAlignment="1">
      <alignment horizontal="center" shrinkToFit="1"/>
    </xf>
    <xf numFmtId="0" fontId="16" fillId="0" borderId="106" xfId="0" applyFont="1" applyBorder="1" applyAlignment="1">
      <alignment horizontal="center" shrinkToFit="1"/>
    </xf>
    <xf numFmtId="0" fontId="5" fillId="0" borderId="142" xfId="0" applyFont="1" applyBorder="1"/>
    <xf numFmtId="0" fontId="16" fillId="0" borderId="94" xfId="0" applyFont="1" applyBorder="1" applyAlignment="1">
      <alignment horizontal="center" shrinkToFit="1"/>
    </xf>
    <xf numFmtId="0" fontId="68" fillId="0" borderId="143" xfId="0" applyFont="1" applyBorder="1" applyAlignment="1">
      <alignment horizontal="center"/>
    </xf>
    <xf numFmtId="0" fontId="5" fillId="10" borderId="5" xfId="0" applyFont="1" applyFill="1" applyBorder="1"/>
    <xf numFmtId="0" fontId="27" fillId="5" borderId="28" xfId="0" applyFont="1" applyFill="1" applyBorder="1" applyAlignment="1">
      <alignment horizontal="center"/>
    </xf>
    <xf numFmtId="0" fontId="69" fillId="0" borderId="94" xfId="0" applyFont="1" applyBorder="1"/>
    <xf numFmtId="0" fontId="69" fillId="0" borderId="106" xfId="0" applyFont="1" applyBorder="1"/>
    <xf numFmtId="0" fontId="69" fillId="0" borderId="103" xfId="0" applyFont="1" applyBorder="1"/>
    <xf numFmtId="0" fontId="64" fillId="10" borderId="112" xfId="0" applyFont="1" applyFill="1" applyBorder="1" applyAlignment="1">
      <alignment horizontal="center" shrinkToFit="1"/>
    </xf>
    <xf numFmtId="0" fontId="5" fillId="0" borderId="103" xfId="0" applyFont="1" applyBorder="1" applyAlignment="1">
      <alignment horizontal="center" shrinkToFit="1"/>
    </xf>
    <xf numFmtId="0" fontId="59" fillId="0" borderId="104" xfId="0" applyFont="1" applyBorder="1" applyAlignment="1">
      <alignment horizontal="center"/>
    </xf>
    <xf numFmtId="0" fontId="5" fillId="0" borderId="96" xfId="0" applyFont="1" applyBorder="1" applyAlignment="1">
      <alignment horizontal="center" shrinkToFit="1"/>
    </xf>
    <xf numFmtId="0" fontId="68" fillId="0" borderId="144" xfId="0" applyFont="1" applyBorder="1" applyAlignment="1">
      <alignment horizontal="center"/>
    </xf>
    <xf numFmtId="0" fontId="46" fillId="0" borderId="144" xfId="0" applyFont="1" applyBorder="1" applyAlignment="1">
      <alignment horizontal="center"/>
    </xf>
    <xf numFmtId="0" fontId="5" fillId="0" borderId="145" xfId="0" applyFont="1" applyBorder="1"/>
    <xf numFmtId="0" fontId="5" fillId="0" borderId="140" xfId="0" applyFont="1" applyBorder="1"/>
    <xf numFmtId="0" fontId="46" fillId="0" borderId="94" xfId="0" applyFont="1" applyBorder="1" applyAlignment="1">
      <alignment horizontal="center"/>
    </xf>
    <xf numFmtId="0" fontId="59" fillId="0" borderId="127" xfId="0" applyFont="1" applyBorder="1" applyAlignment="1">
      <alignment horizontal="center"/>
    </xf>
    <xf numFmtId="0" fontId="13" fillId="0" borderId="117" xfId="0" applyFont="1" applyBorder="1"/>
    <xf numFmtId="0" fontId="28" fillId="7" borderId="146" xfId="0" applyFont="1" applyFill="1" applyBorder="1" applyAlignment="1">
      <alignment horizontal="center"/>
    </xf>
    <xf numFmtId="0" fontId="5" fillId="0" borderId="123" xfId="0" applyFont="1" applyBorder="1"/>
    <xf numFmtId="0" fontId="13" fillId="0" borderId="94" xfId="0" applyFont="1" applyBorder="1"/>
    <xf numFmtId="0" fontId="15" fillId="10" borderId="33"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44" fillId="0" borderId="147" xfId="0" applyFont="1" applyBorder="1" applyAlignment="1">
      <alignment horizontal="center"/>
    </xf>
    <xf numFmtId="0" fontId="49" fillId="0" borderId="148" xfId="0" applyFont="1" applyBorder="1" applyAlignment="1">
      <alignment horizontal="left"/>
    </xf>
    <xf numFmtId="0" fontId="5" fillId="0" borderId="105" xfId="0" applyFont="1" applyBorder="1"/>
    <xf numFmtId="0" fontId="44" fillId="0" borderId="149" xfId="0" applyFont="1" applyBorder="1" applyAlignment="1">
      <alignment horizontal="center"/>
    </xf>
    <xf numFmtId="0" fontId="49" fillId="0" borderId="150" xfId="0" applyFont="1" applyBorder="1" applyAlignment="1">
      <alignment horizontal="left"/>
    </xf>
    <xf numFmtId="0" fontId="44" fillId="0" borderId="151" xfId="0" applyFont="1" applyBorder="1" applyAlignment="1">
      <alignment horizontal="center"/>
    </xf>
    <xf numFmtId="0" fontId="49" fillId="0" borderId="152" xfId="0" applyFont="1" applyBorder="1" applyAlignment="1">
      <alignment horizontal="left"/>
    </xf>
    <xf numFmtId="0" fontId="5" fillId="0" borderId="95" xfId="0" applyFont="1" applyBorder="1" applyAlignment="1">
      <alignment horizontal="center"/>
    </xf>
    <xf numFmtId="0" fontId="30" fillId="5" borderId="29" xfId="0" applyFont="1" applyFill="1" applyBorder="1" applyAlignment="1">
      <alignment horizontal="center"/>
    </xf>
    <xf numFmtId="0" fontId="5" fillId="0" borderId="0" xfId="0" applyFont="1" applyAlignment="1">
      <alignment horizontal="center" vertical="center" wrapText="1"/>
    </xf>
    <xf numFmtId="0" fontId="5" fillId="10" borderId="16" xfId="0" applyFont="1" applyFill="1" applyBorder="1" applyAlignment="1">
      <alignment horizontal="center" vertical="center"/>
    </xf>
    <xf numFmtId="0" fontId="5" fillId="12" borderId="16" xfId="0" applyFont="1" applyFill="1" applyBorder="1" applyAlignment="1">
      <alignment horizontal="center" vertical="center"/>
    </xf>
    <xf numFmtId="0" fontId="70" fillId="0" borderId="0" xfId="0" applyFont="1"/>
    <xf numFmtId="0" fontId="5" fillId="2" borderId="6" xfId="0" applyFont="1" applyFill="1" applyBorder="1"/>
    <xf numFmtId="0" fontId="5" fillId="2" borderId="7" xfId="0" applyFont="1" applyFill="1" applyBorder="1" applyAlignment="1">
      <alignment horizontal="center"/>
    </xf>
    <xf numFmtId="0" fontId="5" fillId="2" borderId="8" xfId="0" applyFont="1" applyFill="1" applyBorder="1" applyAlignment="1">
      <alignment horizontal="center"/>
    </xf>
    <xf numFmtId="0" fontId="71" fillId="0" borderId="0" xfId="0" applyFont="1" applyAlignment="1">
      <alignment horizontal="left"/>
    </xf>
    <xf numFmtId="0" fontId="5" fillId="12" borderId="28" xfId="0" applyFont="1" applyFill="1" applyBorder="1" applyAlignment="1">
      <alignment horizontal="center" vertical="center" wrapText="1"/>
    </xf>
    <xf numFmtId="0" fontId="5" fillId="0" borderId="63" xfId="0" applyFont="1" applyBorder="1" applyAlignment="1">
      <alignment horizontal="center" vertical="center"/>
    </xf>
    <xf numFmtId="0" fontId="72" fillId="0" borderId="63"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72" xfId="0" applyFont="1" applyBorder="1" applyAlignment="1">
      <alignment horizontal="center" vertical="center" wrapText="1"/>
    </xf>
    <xf numFmtId="0" fontId="73" fillId="3" borderId="153" xfId="0" applyFont="1" applyFill="1" applyBorder="1" applyAlignment="1">
      <alignment horizontal="center"/>
    </xf>
    <xf numFmtId="0" fontId="5" fillId="4" borderId="16" xfId="0" applyFont="1" applyFill="1" applyBorder="1" applyAlignment="1">
      <alignment horizontal="center"/>
    </xf>
    <xf numFmtId="0" fontId="5" fillId="0" borderId="58" xfId="0" applyFont="1" applyBorder="1" applyAlignment="1">
      <alignment horizontal="center"/>
    </xf>
    <xf numFmtId="0" fontId="74" fillId="0" borderId="94" xfId="0" applyFont="1" applyBorder="1"/>
    <xf numFmtId="0" fontId="5" fillId="0" borderId="94" xfId="0" applyFont="1" applyBorder="1" applyAlignment="1">
      <alignment horizontal="right"/>
    </xf>
    <xf numFmtId="0" fontId="28" fillId="6" borderId="94" xfId="0" applyFont="1" applyFill="1" applyBorder="1"/>
    <xf numFmtId="0" fontId="5" fillId="6" borderId="94" xfId="0" applyFont="1" applyFill="1" applyBorder="1"/>
    <xf numFmtId="0" fontId="5" fillId="0" borderId="154" xfId="0" applyFont="1" applyBorder="1"/>
    <xf numFmtId="0" fontId="5" fillId="0" borderId="3" xfId="0" applyFont="1" applyBorder="1"/>
    <xf numFmtId="0" fontId="5" fillId="4" borderId="155" xfId="0" applyFont="1" applyFill="1" applyBorder="1"/>
    <xf numFmtId="0" fontId="5" fillId="4" borderId="156" xfId="0" applyFont="1" applyFill="1" applyBorder="1"/>
    <xf numFmtId="0" fontId="5" fillId="4" borderId="157" xfId="0" applyFont="1" applyFill="1" applyBorder="1"/>
    <xf numFmtId="0" fontId="5" fillId="0" borderId="158" xfId="0" applyFont="1" applyBorder="1"/>
    <xf numFmtId="0" fontId="5" fillId="10" borderId="6" xfId="0" applyFont="1" applyFill="1" applyBorder="1"/>
    <xf numFmtId="0" fontId="5" fillId="10" borderId="8" xfId="0" applyFont="1" applyFill="1" applyBorder="1"/>
    <xf numFmtId="0" fontId="5" fillId="2" borderId="159"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16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4" fillId="13" borderId="6" xfId="0" applyFont="1" applyFill="1" applyBorder="1" applyAlignment="1">
      <alignment horizontal="right" vertical="center"/>
    </xf>
    <xf numFmtId="0" fontId="34" fillId="13" borderId="8" xfId="0" applyFont="1" applyFill="1" applyBorder="1" applyAlignment="1">
      <alignment horizontal="left" vertical="center"/>
    </xf>
    <xf numFmtId="0" fontId="34" fillId="17" borderId="28" xfId="0" applyFont="1" applyFill="1" applyBorder="1" applyAlignment="1">
      <alignment horizontal="center" vertical="center"/>
    </xf>
    <xf numFmtId="0" fontId="5" fillId="3" borderId="75" xfId="0" applyFont="1" applyFill="1" applyBorder="1" applyAlignment="1">
      <alignment horizontal="center"/>
    </xf>
    <xf numFmtId="0" fontId="5" fillId="2" borderId="53" xfId="0" applyFont="1" applyFill="1" applyBorder="1" applyAlignment="1">
      <alignment horizontal="center" vertical="center" wrapText="1"/>
    </xf>
    <xf numFmtId="0" fontId="5" fillId="2" borderId="160" xfId="0" applyFont="1" applyFill="1" applyBorder="1" applyAlignment="1">
      <alignment horizontal="center" vertical="center"/>
    </xf>
    <xf numFmtId="0" fontId="28" fillId="13" borderId="135" xfId="0" applyFont="1" applyFill="1" applyBorder="1" applyAlignment="1">
      <alignment horizontal="center" vertical="center"/>
    </xf>
    <xf numFmtId="0" fontId="5" fillId="0" borderId="0" xfId="0" applyFont="1" applyAlignment="1">
      <alignment horizontal="left" vertical="center"/>
    </xf>
    <xf numFmtId="0" fontId="5" fillId="3" borderId="10" xfId="0" applyFont="1" applyFill="1" applyBorder="1"/>
    <xf numFmtId="0" fontId="18" fillId="13" borderId="28" xfId="0" applyFont="1" applyFill="1" applyBorder="1" applyAlignment="1">
      <alignment horizontal="center" vertical="center"/>
    </xf>
    <xf numFmtId="0" fontId="17" fillId="2" borderId="23" xfId="0" applyFont="1" applyFill="1" applyBorder="1" applyAlignment="1">
      <alignment horizontal="left"/>
    </xf>
    <xf numFmtId="0" fontId="17" fillId="2" borderId="6" xfId="0" applyFont="1" applyFill="1" applyBorder="1"/>
    <xf numFmtId="0" fontId="36" fillId="17" borderId="28" xfId="0" applyFont="1" applyFill="1" applyBorder="1" applyAlignment="1">
      <alignment horizontal="center" vertical="center"/>
    </xf>
    <xf numFmtId="0" fontId="15" fillId="10" borderId="53" xfId="0" applyFont="1" applyFill="1" applyBorder="1" applyAlignment="1">
      <alignment horizontal="center" vertical="center"/>
    </xf>
    <xf numFmtId="0" fontId="15" fillId="10" borderId="39" xfId="0" applyFont="1" applyFill="1" applyBorder="1" applyAlignment="1">
      <alignment horizontal="center" vertical="center"/>
    </xf>
    <xf numFmtId="0" fontId="32" fillId="10" borderId="39" xfId="0" applyFont="1" applyFill="1" applyBorder="1" applyAlignment="1">
      <alignment horizontal="center" vertical="center" wrapText="1"/>
    </xf>
    <xf numFmtId="0" fontId="1" fillId="2" borderId="1" xfId="0" applyFont="1" applyFill="1" applyBorder="1" applyAlignment="1">
      <alignment horizontal="center"/>
    </xf>
    <xf numFmtId="0" fontId="2" fillId="0" borderId="2" xfId="0" applyFont="1" applyBorder="1"/>
    <xf numFmtId="0" fontId="2" fillId="0" borderId="3" xfId="0" applyFont="1" applyBorder="1"/>
    <xf numFmtId="0" fontId="3" fillId="0" borderId="4" xfId="0" applyFont="1" applyBorder="1" applyAlignment="1">
      <alignment horizontal="center"/>
    </xf>
    <xf numFmtId="0" fontId="2" fillId="0" borderId="4" xfId="0" applyFont="1" applyBorder="1"/>
    <xf numFmtId="0" fontId="5" fillId="2" borderId="17" xfId="0" applyFont="1" applyFill="1" applyBorder="1"/>
    <xf numFmtId="0" fontId="2" fillId="0" borderId="18" xfId="0" applyFont="1" applyBorder="1"/>
    <xf numFmtId="0" fontId="5" fillId="0" borderId="0" xfId="0" applyFont="1"/>
    <xf numFmtId="0" fontId="0" fillId="0" borderId="0" xfId="0"/>
    <xf numFmtId="0" fontId="5" fillId="0" borderId="0" xfId="0" applyFont="1" applyAlignment="1">
      <alignment horizontal="left"/>
    </xf>
    <xf numFmtId="0" fontId="5" fillId="0" borderId="0" xfId="0" applyFont="1" applyAlignment="1">
      <alignment horizontal="left" wrapText="1"/>
    </xf>
    <xf numFmtId="0" fontId="41" fillId="7" borderId="0" xfId="0" applyFont="1" applyFill="1"/>
    <xf numFmtId="0" fontId="46" fillId="0" borderId="50" xfId="0" applyFont="1" applyBorder="1" applyAlignment="1">
      <alignment horizontal="right" vertical="center"/>
    </xf>
    <xf numFmtId="0" fontId="2" fillId="0" borderId="51" xfId="0" applyFont="1" applyBorder="1"/>
    <xf numFmtId="0" fontId="2" fillId="0" borderId="52" xfId="0" applyFont="1" applyBorder="1"/>
    <xf numFmtId="0" fontId="46" fillId="0" borderId="48" xfId="0" applyFont="1" applyBorder="1" applyAlignment="1">
      <alignment horizontal="center" vertical="center"/>
    </xf>
    <xf numFmtId="0" fontId="2" fillId="0" borderId="49" xfId="0" applyFont="1" applyBorder="1"/>
    <xf numFmtId="0" fontId="46" fillId="0" borderId="97" xfId="0" applyFont="1" applyBorder="1" applyAlignment="1">
      <alignment horizontal="center" vertical="center"/>
    </xf>
    <xf numFmtId="0" fontId="5" fillId="3" borderId="98" xfId="0" applyFont="1" applyFill="1" applyBorder="1" applyAlignment="1">
      <alignment horizontal="center"/>
    </xf>
    <xf numFmtId="0" fontId="2" fillId="0" borderId="99" xfId="0" applyFont="1" applyBorder="1"/>
    <xf numFmtId="0" fontId="2" fillId="0" borderId="100" xfId="0" applyFont="1" applyBorder="1"/>
  </cellXfs>
  <cellStyles count="1">
    <cellStyle name="Normální" xfId="0" builtinId="0"/>
  </cellStyles>
  <dxfs count="195">
    <dxf>
      <font>
        <color rgb="FFFFFFFF"/>
      </font>
      <fill>
        <patternFill patternType="solid">
          <fgColor rgb="FFFFFFFF"/>
          <bgColor rgb="FFFFFFFF"/>
        </patternFill>
      </fill>
    </dxf>
    <dxf>
      <font>
        <color rgb="FFFFFFFF"/>
      </font>
      <fill>
        <patternFill patternType="solid">
          <fgColor rgb="FFFFFFFF"/>
          <bgColor rgb="FFFFFFFF"/>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ont>
        <color rgb="FFFFFFFF"/>
      </font>
      <fill>
        <patternFill patternType="solid">
          <fgColor rgb="FFFFFFFF"/>
          <bgColor rgb="FFFFFFFF"/>
        </patternFill>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CCFFCC"/>
          <bgColor rgb="FFCCFFCC"/>
        </patternFill>
      </fill>
    </dxf>
    <dxf>
      <fill>
        <patternFill patternType="solid">
          <fgColor rgb="FF00FFFF"/>
          <bgColor rgb="FF00FFFF"/>
        </patternFill>
      </fill>
    </dxf>
    <dxf>
      <font>
        <color rgb="FFC0C0C0"/>
      </font>
      <fill>
        <patternFill patternType="none"/>
      </fill>
    </dxf>
    <dxf>
      <font>
        <color rgb="FFFFFF00"/>
      </font>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FFFF"/>
      </font>
      <fill>
        <patternFill patternType="none"/>
      </fill>
    </dxf>
    <dxf>
      <fill>
        <patternFill patternType="solid">
          <fgColor rgb="FF00FFFF"/>
          <bgColor rgb="FF00FFFF"/>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mic Sans MS"/>
        <a:ea typeface="Comic Sans MS"/>
        <a:cs typeface="Comic Sans MS"/>
      </a:majorFont>
      <a:minorFont>
        <a:latin typeface="Comic Sans MS"/>
        <a:ea typeface="Comic Sans MS"/>
        <a:cs typeface="Comic Sans M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53065" TargetMode="External"/><Relationship Id="rId18" Type="http://schemas.openxmlformats.org/officeDocument/2006/relationships/hyperlink" Target="http://czechpetanque.cz/odhlasit.html?pr=53112" TargetMode="External"/><Relationship Id="rId26" Type="http://schemas.openxmlformats.org/officeDocument/2006/relationships/hyperlink" Target="http://czechpetanque.cz/odhlasit.html?pr=53079" TargetMode="External"/><Relationship Id="rId39" Type="http://schemas.openxmlformats.org/officeDocument/2006/relationships/hyperlink" Target="http://czechpetanque.cz/odhlasit.html?pr=53153" TargetMode="External"/><Relationship Id="rId21" Type="http://schemas.openxmlformats.org/officeDocument/2006/relationships/hyperlink" Target="http://czechpetanque.cz/odhlasit.html?pr=53064" TargetMode="External"/><Relationship Id="rId34" Type="http://schemas.openxmlformats.org/officeDocument/2006/relationships/hyperlink" Target="http://czechpetanque.cz/odhlasit.html?pr=53319" TargetMode="External"/><Relationship Id="rId42" Type="http://schemas.openxmlformats.org/officeDocument/2006/relationships/hyperlink" Target="http://czechpetanque.cz/odhlasit.html?pr=53114" TargetMode="External"/><Relationship Id="rId7" Type="http://schemas.openxmlformats.org/officeDocument/2006/relationships/hyperlink" Target="http://czechpetanque.cz/odhlasit.html?pr=53073" TargetMode="External"/><Relationship Id="rId2" Type="http://schemas.openxmlformats.org/officeDocument/2006/relationships/hyperlink" Target="http://czechpetanque.cz/odhlasit.html?pr=53160" TargetMode="External"/><Relationship Id="rId16" Type="http://schemas.openxmlformats.org/officeDocument/2006/relationships/hyperlink" Target="http://czechpetanque.cz/odhlasit.html?pr=53115" TargetMode="External"/><Relationship Id="rId29" Type="http://schemas.openxmlformats.org/officeDocument/2006/relationships/hyperlink" Target="http://czechpetanque.cz/odhlasit.html?pr=53236" TargetMode="External"/><Relationship Id="rId1" Type="http://schemas.openxmlformats.org/officeDocument/2006/relationships/hyperlink" Target="http://czechpetanque.cz/klub.html?id=33" TargetMode="External"/><Relationship Id="rId6" Type="http://schemas.openxmlformats.org/officeDocument/2006/relationships/hyperlink" Target="http://czechpetanque.cz/odhlasit.html?pr=53164" TargetMode="External"/><Relationship Id="rId11" Type="http://schemas.openxmlformats.org/officeDocument/2006/relationships/hyperlink" Target="http://czechpetanque.cz/odhlasit.html?pr=53072" TargetMode="External"/><Relationship Id="rId24" Type="http://schemas.openxmlformats.org/officeDocument/2006/relationships/hyperlink" Target="http://czechpetanque.cz/odhlasit.html?pr=53075" TargetMode="External"/><Relationship Id="rId32" Type="http://schemas.openxmlformats.org/officeDocument/2006/relationships/hyperlink" Target="http://czechpetanque.cz/odhlasit.html?pr=53232" TargetMode="External"/><Relationship Id="rId37" Type="http://schemas.openxmlformats.org/officeDocument/2006/relationships/hyperlink" Target="http://czechpetanque.cz/odhlasit.html?pr=53531" TargetMode="External"/><Relationship Id="rId40" Type="http://schemas.openxmlformats.org/officeDocument/2006/relationships/hyperlink" Target="http://czechpetanque.cz/odhlasit.html?pr=53070" TargetMode="External"/><Relationship Id="rId45" Type="http://schemas.openxmlformats.org/officeDocument/2006/relationships/hyperlink" Target="http://czechpetanque.cz/odhlasit.html?pr=53154" TargetMode="External"/><Relationship Id="rId5" Type="http://schemas.openxmlformats.org/officeDocument/2006/relationships/hyperlink" Target="http://czechpetanque.cz/odhlasit.html?pr=53091" TargetMode="External"/><Relationship Id="rId15" Type="http://schemas.openxmlformats.org/officeDocument/2006/relationships/hyperlink" Target="http://czechpetanque.cz/odhlasit.html?pr=53204" TargetMode="External"/><Relationship Id="rId23" Type="http://schemas.openxmlformats.org/officeDocument/2006/relationships/hyperlink" Target="http://czechpetanque.cz/odhlasit.html?pr=53060" TargetMode="External"/><Relationship Id="rId28" Type="http://schemas.openxmlformats.org/officeDocument/2006/relationships/hyperlink" Target="http://czechpetanque.cz/odhlasit.html?pr=53068" TargetMode="External"/><Relationship Id="rId36" Type="http://schemas.openxmlformats.org/officeDocument/2006/relationships/hyperlink" Target="http://czechpetanque.cz/odhlasit.html?pr=53057" TargetMode="External"/><Relationship Id="rId10" Type="http://schemas.openxmlformats.org/officeDocument/2006/relationships/hyperlink" Target="http://czechpetanque.cz/odhlasit.html?pr=53222" TargetMode="External"/><Relationship Id="rId19" Type="http://schemas.openxmlformats.org/officeDocument/2006/relationships/hyperlink" Target="http://czechpetanque.cz/odhlasit.html?pr=53415" TargetMode="External"/><Relationship Id="rId31" Type="http://schemas.openxmlformats.org/officeDocument/2006/relationships/hyperlink" Target="http://czechpetanque.cz/odhlasit.html?pr=53077" TargetMode="External"/><Relationship Id="rId44" Type="http://schemas.openxmlformats.org/officeDocument/2006/relationships/hyperlink" Target="http://czechpetanque.cz/odhlasit.html?pr=53325" TargetMode="External"/><Relationship Id="rId4" Type="http://schemas.openxmlformats.org/officeDocument/2006/relationships/hyperlink" Target="http://czechpetanque.cz/odhlasit.html?pr=53059" TargetMode="External"/><Relationship Id="rId9" Type="http://schemas.openxmlformats.org/officeDocument/2006/relationships/hyperlink" Target="http://czechpetanque.cz/odhlasit.html?pr=53056" TargetMode="External"/><Relationship Id="rId14" Type="http://schemas.openxmlformats.org/officeDocument/2006/relationships/hyperlink" Target="http://czechpetanque.cz/odhlasit.html?pr=53069" TargetMode="External"/><Relationship Id="rId22" Type="http://schemas.openxmlformats.org/officeDocument/2006/relationships/hyperlink" Target="http://czechpetanque.cz/odhlasit.html?pr=53062" TargetMode="External"/><Relationship Id="rId27" Type="http://schemas.openxmlformats.org/officeDocument/2006/relationships/hyperlink" Target="http://czechpetanque.cz/odhlasit.html?pr=53058" TargetMode="External"/><Relationship Id="rId30" Type="http://schemas.openxmlformats.org/officeDocument/2006/relationships/hyperlink" Target="http://czechpetanque.cz/odhlasit.html?pr=53066" TargetMode="External"/><Relationship Id="rId35" Type="http://schemas.openxmlformats.org/officeDocument/2006/relationships/hyperlink" Target="http://czechpetanque.cz/odhlasit.html?pr=53514" TargetMode="External"/><Relationship Id="rId43" Type="http://schemas.openxmlformats.org/officeDocument/2006/relationships/hyperlink" Target="http://czechpetanque.cz/odhlasit.html?pr=53532" TargetMode="External"/><Relationship Id="rId8" Type="http://schemas.openxmlformats.org/officeDocument/2006/relationships/hyperlink" Target="http://czechpetanque.cz/odhlasit.html?pr=53134" TargetMode="External"/><Relationship Id="rId3" Type="http://schemas.openxmlformats.org/officeDocument/2006/relationships/hyperlink" Target="http://czechpetanque.cz/odhlasit.html?pr=53163" TargetMode="External"/><Relationship Id="rId12" Type="http://schemas.openxmlformats.org/officeDocument/2006/relationships/hyperlink" Target="http://czechpetanque.cz/odhlasit.html?pr=53076" TargetMode="External"/><Relationship Id="rId17" Type="http://schemas.openxmlformats.org/officeDocument/2006/relationships/hyperlink" Target="http://czechpetanque.cz/odhlasit.html?pr=53067" TargetMode="External"/><Relationship Id="rId25" Type="http://schemas.openxmlformats.org/officeDocument/2006/relationships/hyperlink" Target="http://czechpetanque.cz/odhlasit.html?pr=53159" TargetMode="External"/><Relationship Id="rId33" Type="http://schemas.openxmlformats.org/officeDocument/2006/relationships/hyperlink" Target="http://czechpetanque.cz/odhlasit.html?pr=53207" TargetMode="External"/><Relationship Id="rId38" Type="http://schemas.openxmlformats.org/officeDocument/2006/relationships/hyperlink" Target="http://czechpetanque.cz/odhlasit.html?pr=53071" TargetMode="External"/><Relationship Id="rId46" Type="http://schemas.openxmlformats.org/officeDocument/2006/relationships/hyperlink" Target="http://czechpetanque.cz/odhlasit.html?pr=53643" TargetMode="External"/><Relationship Id="rId20" Type="http://schemas.openxmlformats.org/officeDocument/2006/relationships/hyperlink" Target="http://czechpetanque.cz/odhlasit.html?pr=53216" TargetMode="External"/><Relationship Id="rId41" Type="http://schemas.openxmlformats.org/officeDocument/2006/relationships/hyperlink" Target="http://czechpetanque.cz/odhlasit.html?pr=53421" TargetMode="External"/></Relationships>
</file>

<file path=xl/worksheets/_rels/sheet5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3333"/>
  </sheetPr>
  <dimension ref="A1:L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375" defaultRowHeight="15" customHeight="1"/>
  <cols>
    <col min="1" max="1" width="5.125" customWidth="1"/>
    <col min="2" max="10" width="11.375" customWidth="1"/>
    <col min="11" max="11" width="13.625" customWidth="1"/>
    <col min="12" max="12" width="11.375" customWidth="1"/>
    <col min="13" max="26" width="8" customWidth="1"/>
  </cols>
  <sheetData>
    <row r="1" spans="2:8" ht="17.25" customHeight="1">
      <c r="B1" s="472" t="s">
        <v>0</v>
      </c>
      <c r="C1" s="473"/>
      <c r="D1" s="473"/>
      <c r="E1" s="473"/>
      <c r="F1" s="473"/>
      <c r="G1" s="473"/>
      <c r="H1" s="474"/>
    </row>
    <row r="2" spans="2:8" ht="24.75" customHeight="1">
      <c r="B2" s="475" t="s">
        <v>1</v>
      </c>
      <c r="C2" s="476"/>
      <c r="D2" s="476"/>
      <c r="E2" s="476"/>
      <c r="F2" s="476"/>
      <c r="G2" s="476"/>
      <c r="H2" s="476"/>
    </row>
    <row r="3" spans="2:8" ht="12.75" customHeight="1">
      <c r="B3" s="1" t="s">
        <v>2</v>
      </c>
      <c r="C3" s="2"/>
      <c r="D3" s="2"/>
      <c r="E3" s="2"/>
      <c r="F3" s="2"/>
      <c r="G3" s="2"/>
      <c r="H3" s="2"/>
    </row>
    <row r="4" spans="2:8" ht="19.5" customHeight="1">
      <c r="B4" s="3" t="s">
        <v>3</v>
      </c>
      <c r="C4" s="4"/>
      <c r="D4" s="4"/>
      <c r="E4" s="4"/>
      <c r="F4" s="4"/>
      <c r="G4" s="4"/>
      <c r="H4" s="4"/>
    </row>
    <row r="5" spans="2:8" ht="12.75" customHeight="1">
      <c r="B5" s="3" t="s">
        <v>4</v>
      </c>
      <c r="C5" s="4"/>
      <c r="D5" s="4"/>
      <c r="E5" s="4"/>
      <c r="F5" s="4"/>
      <c r="G5" s="4"/>
      <c r="H5" s="4"/>
    </row>
    <row r="6" spans="2:8" ht="12.75" customHeight="1">
      <c r="B6" s="3" t="s">
        <v>5</v>
      </c>
      <c r="C6" s="4"/>
      <c r="D6" s="4"/>
      <c r="E6" s="4"/>
      <c r="F6" s="4"/>
      <c r="G6" s="4"/>
      <c r="H6" s="4"/>
    </row>
    <row r="7" spans="2:8" ht="12.75" customHeight="1">
      <c r="B7" s="3" t="s">
        <v>6</v>
      </c>
      <c r="C7" s="2"/>
      <c r="D7" s="2"/>
      <c r="E7" s="2"/>
      <c r="F7" s="2"/>
      <c r="G7" s="2"/>
      <c r="H7" s="2"/>
    </row>
    <row r="8" spans="2:8" ht="12" customHeight="1">
      <c r="B8" s="2" t="s">
        <v>7</v>
      </c>
      <c r="C8" s="2"/>
      <c r="D8" s="2"/>
      <c r="E8" s="2"/>
      <c r="F8" s="2"/>
      <c r="G8" s="2"/>
      <c r="H8" s="2"/>
    </row>
    <row r="9" spans="2:8" ht="12" customHeight="1">
      <c r="B9" s="2" t="s">
        <v>8</v>
      </c>
      <c r="C9" s="2"/>
      <c r="D9" s="2"/>
      <c r="E9" s="2"/>
      <c r="F9" s="2"/>
      <c r="G9" s="2"/>
      <c r="H9" s="2"/>
    </row>
    <row r="10" spans="2:8" ht="12" customHeight="1">
      <c r="B10" s="2" t="s">
        <v>9</v>
      </c>
      <c r="C10" s="2"/>
      <c r="D10" s="2"/>
      <c r="E10" s="2"/>
      <c r="F10" s="2"/>
      <c r="G10" s="2"/>
      <c r="H10" s="2"/>
    </row>
    <row r="11" spans="2:8" ht="12" customHeight="1">
      <c r="B11" s="2" t="s">
        <v>10</v>
      </c>
      <c r="C11" s="2"/>
      <c r="D11" s="2"/>
      <c r="E11" s="2"/>
      <c r="F11" s="2"/>
      <c r="G11" s="2"/>
      <c r="H11" s="2"/>
    </row>
    <row r="12" spans="2:8" ht="12" customHeight="1">
      <c r="B12" s="2" t="s">
        <v>11</v>
      </c>
      <c r="C12" s="2"/>
      <c r="D12" s="2"/>
      <c r="E12" s="2"/>
      <c r="F12" s="2"/>
      <c r="G12" s="2"/>
      <c r="H12" s="2"/>
    </row>
    <row r="13" spans="2:8" ht="12" customHeight="1">
      <c r="B13" s="2" t="s">
        <v>12</v>
      </c>
      <c r="C13" s="2"/>
      <c r="D13" s="2"/>
      <c r="E13" s="2"/>
      <c r="F13" s="2"/>
      <c r="G13" s="2"/>
      <c r="H13" s="2"/>
    </row>
    <row r="14" spans="2:8" ht="12" customHeight="1">
      <c r="B14" s="2" t="s">
        <v>13</v>
      </c>
      <c r="C14" s="2"/>
      <c r="D14" s="2"/>
      <c r="E14" s="2"/>
      <c r="F14" s="2"/>
      <c r="G14" s="2"/>
      <c r="H14" s="2"/>
    </row>
    <row r="15" spans="2:8" ht="12" customHeight="1">
      <c r="B15" s="2" t="s">
        <v>14</v>
      </c>
      <c r="C15" s="2"/>
      <c r="D15" s="2"/>
      <c r="E15" s="2"/>
      <c r="F15" s="2"/>
      <c r="G15" s="2"/>
      <c r="H15" s="2"/>
    </row>
    <row r="16" spans="2:8" ht="12" customHeight="1">
      <c r="B16" s="2" t="s">
        <v>15</v>
      </c>
      <c r="C16" s="2"/>
      <c r="D16" s="2"/>
      <c r="E16" s="2"/>
      <c r="F16" s="2"/>
      <c r="G16" s="2"/>
      <c r="H16" s="2"/>
    </row>
    <row r="17" spans="1:10" ht="12" customHeight="1">
      <c r="A17" s="5" t="s">
        <v>16</v>
      </c>
      <c r="B17" s="2" t="s">
        <v>17</v>
      </c>
      <c r="C17" s="2"/>
      <c r="D17" s="2"/>
      <c r="E17" s="2"/>
      <c r="F17" s="2"/>
      <c r="G17" s="2"/>
      <c r="H17" s="2"/>
    </row>
    <row r="18" spans="1:10" ht="12" customHeight="1">
      <c r="A18" s="5" t="s">
        <v>16</v>
      </c>
      <c r="B18" s="2" t="s">
        <v>18</v>
      </c>
      <c r="C18" s="2"/>
      <c r="D18" s="2"/>
      <c r="E18" s="2"/>
      <c r="F18" s="2"/>
      <c r="G18" s="2"/>
      <c r="H18" s="2"/>
    </row>
    <row r="19" spans="1:10" ht="12" customHeight="1">
      <c r="A19" s="5"/>
      <c r="B19" s="2" t="s">
        <v>19</v>
      </c>
      <c r="C19" s="2"/>
      <c r="D19" s="2"/>
      <c r="E19" s="2"/>
      <c r="F19" s="2"/>
      <c r="G19" s="2"/>
      <c r="H19" s="2"/>
    </row>
    <row r="20" spans="1:10" ht="12" customHeight="1"/>
    <row r="21" spans="1:10" ht="12" customHeight="1">
      <c r="B21" s="6" t="s">
        <v>20</v>
      </c>
    </row>
    <row r="22" spans="1:10" ht="12.75" customHeight="1">
      <c r="B22" s="7" t="s">
        <v>21</v>
      </c>
      <c r="C22" s="8" t="s">
        <v>22</v>
      </c>
    </row>
    <row r="23" spans="1:10" ht="12.75" customHeight="1">
      <c r="B23" s="1" t="s">
        <v>23</v>
      </c>
      <c r="C23" s="2"/>
      <c r="D23" s="2"/>
      <c r="E23" s="2"/>
      <c r="F23" s="2"/>
      <c r="G23" s="2"/>
      <c r="H23" s="2"/>
      <c r="I23" s="2"/>
      <c r="J23" s="2"/>
    </row>
    <row r="24" spans="1:10" ht="12" customHeight="1"/>
    <row r="25" spans="1:10" ht="12.75" customHeight="1">
      <c r="A25" s="9" t="s">
        <v>24</v>
      </c>
      <c r="B25" s="10"/>
      <c r="C25" s="10"/>
      <c r="D25" s="10"/>
      <c r="E25" s="10"/>
      <c r="F25" s="10"/>
      <c r="G25" s="10"/>
      <c r="H25" s="10"/>
    </row>
    <row r="26" spans="1:10" ht="12.75" customHeight="1">
      <c r="A26" s="6" t="s">
        <v>25</v>
      </c>
      <c r="B26" s="6" t="s">
        <v>26</v>
      </c>
    </row>
    <row r="27" spans="1:10" ht="12" customHeight="1">
      <c r="A27" s="6" t="s">
        <v>27</v>
      </c>
      <c r="B27" s="6" t="s">
        <v>28</v>
      </c>
    </row>
    <row r="28" spans="1:10" ht="12" customHeight="1">
      <c r="A28" s="6" t="s">
        <v>29</v>
      </c>
      <c r="B28" s="6" t="s">
        <v>30</v>
      </c>
    </row>
    <row r="29" spans="1:10" ht="12" customHeight="1">
      <c r="B29" s="6" t="s">
        <v>31</v>
      </c>
    </row>
    <row r="30" spans="1:10" ht="12.75" customHeight="1">
      <c r="A30" s="11" t="s">
        <v>32</v>
      </c>
    </row>
    <row r="31" spans="1:10" ht="12.75" customHeight="1">
      <c r="A31" s="11"/>
      <c r="B31" s="6" t="s">
        <v>33</v>
      </c>
    </row>
    <row r="32" spans="1:10" ht="12" customHeight="1">
      <c r="B32" s="6" t="s">
        <v>34</v>
      </c>
    </row>
    <row r="33" spans="1:12" ht="12.75" customHeight="1">
      <c r="B33" s="12" t="s">
        <v>35</v>
      </c>
    </row>
    <row r="34" spans="1:12" ht="12" customHeight="1"/>
    <row r="35" spans="1:12" ht="12.75" customHeight="1">
      <c r="A35" s="9" t="s">
        <v>36</v>
      </c>
      <c r="B35" s="10"/>
      <c r="C35" s="10"/>
      <c r="D35" s="10"/>
      <c r="E35" s="10"/>
      <c r="F35" s="10"/>
      <c r="G35" s="10"/>
      <c r="H35" s="10"/>
    </row>
    <row r="36" spans="1:12" ht="12" customHeight="1"/>
    <row r="37" spans="1:12" ht="12.75" customHeight="1">
      <c r="A37" s="6" t="s">
        <v>37</v>
      </c>
    </row>
    <row r="38" spans="1:12" ht="12" customHeight="1">
      <c r="A38" s="5" t="s">
        <v>38</v>
      </c>
      <c r="B38" s="13" t="s">
        <v>39</v>
      </c>
      <c r="C38" s="13"/>
      <c r="D38" s="13"/>
      <c r="E38" s="13"/>
      <c r="F38" s="13"/>
      <c r="G38" s="13"/>
      <c r="H38" s="13"/>
      <c r="I38" s="13"/>
      <c r="J38" s="13"/>
      <c r="K38" s="13"/>
      <c r="L38" s="13"/>
    </row>
    <row r="39" spans="1:12" ht="12.75" customHeight="1">
      <c r="A39" s="5"/>
      <c r="B39" s="13" t="s">
        <v>40</v>
      </c>
      <c r="C39" s="13"/>
      <c r="D39" s="13"/>
      <c r="E39" s="13"/>
      <c r="F39" s="13"/>
      <c r="G39" s="13"/>
      <c r="H39" s="13"/>
      <c r="I39" s="13"/>
      <c r="J39" s="13"/>
      <c r="K39" s="13"/>
      <c r="L39" s="13"/>
    </row>
    <row r="40" spans="1:12" ht="12.75" customHeight="1">
      <c r="A40" s="5"/>
      <c r="B40" s="13" t="s">
        <v>41</v>
      </c>
      <c r="C40" s="13"/>
      <c r="D40" s="13"/>
      <c r="E40" s="13"/>
      <c r="F40" s="13"/>
      <c r="G40" s="13"/>
      <c r="H40" s="13"/>
      <c r="I40" s="13"/>
      <c r="J40" s="13"/>
      <c r="K40" s="13"/>
      <c r="L40" s="13"/>
    </row>
    <row r="41" spans="1:12" ht="12.75" customHeight="1">
      <c r="A41" s="5"/>
      <c r="B41" s="13" t="s">
        <v>42</v>
      </c>
      <c r="C41" s="13"/>
      <c r="D41" s="13"/>
      <c r="E41" s="13"/>
      <c r="F41" s="13"/>
      <c r="G41" s="13"/>
      <c r="H41" s="13"/>
      <c r="I41" s="13"/>
      <c r="J41" s="13"/>
      <c r="K41" s="13"/>
      <c r="L41" s="13"/>
    </row>
    <row r="42" spans="1:12" ht="12.75" customHeight="1">
      <c r="A42" s="5"/>
      <c r="B42" s="13" t="s">
        <v>43</v>
      </c>
      <c r="C42" s="13"/>
      <c r="D42" s="13"/>
      <c r="E42" s="13"/>
      <c r="F42" s="13"/>
      <c r="G42" s="13"/>
      <c r="H42" s="13"/>
      <c r="I42" s="13"/>
      <c r="J42" s="13"/>
      <c r="K42" s="13"/>
      <c r="L42" s="13"/>
    </row>
    <row r="43" spans="1:12" ht="12" customHeight="1">
      <c r="A43" s="5"/>
      <c r="B43" s="13" t="s">
        <v>44</v>
      </c>
      <c r="C43" s="13"/>
      <c r="D43" s="13"/>
      <c r="E43" s="13"/>
      <c r="F43" s="13"/>
      <c r="G43" s="13"/>
      <c r="H43" s="13"/>
      <c r="I43" s="13"/>
      <c r="J43" s="13"/>
      <c r="K43" s="13"/>
      <c r="L43" s="13"/>
    </row>
    <row r="44" spans="1:12" ht="12.75" customHeight="1">
      <c r="A44" s="5"/>
      <c r="B44" s="14" t="s">
        <v>45</v>
      </c>
      <c r="C44" s="13"/>
      <c r="D44" s="13"/>
      <c r="E44" s="13"/>
      <c r="F44" s="13"/>
      <c r="G44" s="13"/>
      <c r="H44" s="13"/>
      <c r="I44" s="13"/>
      <c r="J44" s="13"/>
      <c r="K44" s="13"/>
      <c r="L44" s="13"/>
    </row>
    <row r="45" spans="1:12" ht="12.75" customHeight="1">
      <c r="A45" s="5"/>
      <c r="B45" s="15" t="s">
        <v>46</v>
      </c>
      <c r="C45" s="13"/>
      <c r="D45" s="13"/>
      <c r="E45" s="13"/>
      <c r="F45" s="13"/>
      <c r="G45" s="13"/>
      <c r="H45" s="13"/>
      <c r="I45" s="13"/>
      <c r="J45" s="13"/>
      <c r="K45" s="13"/>
      <c r="L45" s="13"/>
    </row>
    <row r="46" spans="1:12" ht="12" customHeight="1"/>
    <row r="47" spans="1:12" ht="12.75" customHeight="1">
      <c r="A47" s="6" t="s">
        <v>47</v>
      </c>
    </row>
    <row r="48" spans="1:12" ht="12" customHeight="1">
      <c r="A48" s="5" t="s">
        <v>38</v>
      </c>
      <c r="B48" s="6" t="s">
        <v>48</v>
      </c>
    </row>
    <row r="49" spans="1:12" ht="12" customHeight="1">
      <c r="A49" s="5"/>
      <c r="B49" s="6" t="s">
        <v>49</v>
      </c>
    </row>
    <row r="50" spans="1:12" ht="12" customHeight="1">
      <c r="A50" s="5" t="s">
        <v>38</v>
      </c>
      <c r="B50" s="6" t="s">
        <v>50</v>
      </c>
    </row>
    <row r="51" spans="1:12" ht="12" customHeight="1">
      <c r="B51" s="6" t="s">
        <v>51</v>
      </c>
    </row>
    <row r="52" spans="1:12" ht="12" customHeight="1">
      <c r="A52" s="5" t="s">
        <v>38</v>
      </c>
      <c r="B52" s="6" t="s">
        <v>52</v>
      </c>
    </row>
    <row r="53" spans="1:12" ht="12" customHeight="1">
      <c r="A53" s="5" t="s">
        <v>38</v>
      </c>
      <c r="B53" s="6" t="s">
        <v>53</v>
      </c>
    </row>
    <row r="54" spans="1:12" ht="12" customHeight="1">
      <c r="B54" s="6" t="s">
        <v>54</v>
      </c>
    </row>
    <row r="55" spans="1:12" ht="12" customHeight="1">
      <c r="A55" s="5" t="s">
        <v>38</v>
      </c>
      <c r="B55" s="2" t="s">
        <v>55</v>
      </c>
      <c r="C55" s="2"/>
      <c r="D55" s="2"/>
      <c r="E55" s="2"/>
      <c r="F55" s="2"/>
      <c r="G55" s="2"/>
      <c r="H55" s="2"/>
      <c r="I55" s="2"/>
      <c r="J55" s="2"/>
      <c r="K55" s="2"/>
      <c r="L55" s="2"/>
    </row>
    <row r="56" spans="1:12" ht="12" customHeight="1">
      <c r="A56" s="5" t="s">
        <v>38</v>
      </c>
      <c r="B56" s="6" t="s">
        <v>56</v>
      </c>
    </row>
    <row r="57" spans="1:12" ht="12" customHeight="1">
      <c r="A57" s="5" t="s">
        <v>38</v>
      </c>
      <c r="B57" s="6" t="s">
        <v>57</v>
      </c>
    </row>
    <row r="58" spans="1:12" ht="12" customHeight="1">
      <c r="A58" s="5" t="s">
        <v>38</v>
      </c>
      <c r="B58" s="6" t="s">
        <v>58</v>
      </c>
    </row>
    <row r="59" spans="1:12" ht="12" customHeight="1">
      <c r="A59" s="5" t="s">
        <v>38</v>
      </c>
      <c r="B59" s="2" t="s">
        <v>59</v>
      </c>
      <c r="C59" s="2"/>
      <c r="D59" s="2"/>
      <c r="E59" s="2"/>
      <c r="F59" s="2"/>
      <c r="G59" s="2"/>
      <c r="H59" s="2"/>
      <c r="I59" s="2"/>
      <c r="J59" s="2"/>
      <c r="K59" s="2"/>
      <c r="L59" s="2"/>
    </row>
    <row r="60" spans="1:12" ht="12" customHeight="1">
      <c r="A60" s="5" t="s">
        <v>38</v>
      </c>
      <c r="B60" s="6" t="s">
        <v>60</v>
      </c>
    </row>
    <row r="61" spans="1:12" ht="12" customHeight="1">
      <c r="A61" s="5" t="s">
        <v>38</v>
      </c>
      <c r="B61" s="2" t="s">
        <v>61</v>
      </c>
      <c r="C61" s="2"/>
      <c r="D61" s="2"/>
      <c r="E61" s="2"/>
      <c r="F61" s="2"/>
      <c r="G61" s="2"/>
      <c r="H61" s="2"/>
      <c r="I61" s="2"/>
      <c r="J61" s="2"/>
      <c r="K61" s="2"/>
      <c r="L61" s="2"/>
    </row>
    <row r="62" spans="1:12" ht="12" customHeight="1">
      <c r="A62" s="5"/>
    </row>
    <row r="63" spans="1:12" ht="12.75" customHeight="1">
      <c r="A63" s="6" t="s">
        <v>62</v>
      </c>
      <c r="B63" s="13"/>
      <c r="C63" s="13"/>
      <c r="D63" s="13"/>
      <c r="E63" s="13"/>
      <c r="F63" s="13"/>
      <c r="G63" s="13"/>
      <c r="H63" s="13"/>
      <c r="I63" s="13"/>
      <c r="J63" s="13"/>
      <c r="K63" s="13"/>
      <c r="L63" s="13"/>
    </row>
    <row r="64" spans="1:12" ht="12" customHeight="1">
      <c r="A64" s="5" t="s">
        <v>38</v>
      </c>
      <c r="B64" s="6" t="s">
        <v>63</v>
      </c>
    </row>
    <row r="65" spans="1:12" ht="12.75" customHeight="1">
      <c r="A65" s="5" t="s">
        <v>38</v>
      </c>
      <c r="B65" s="2" t="s">
        <v>64</v>
      </c>
      <c r="C65" s="2"/>
      <c r="D65" s="2"/>
      <c r="E65" s="2"/>
      <c r="F65" s="2"/>
      <c r="G65" s="2"/>
      <c r="H65" s="2"/>
      <c r="I65" s="2"/>
      <c r="J65" s="2"/>
      <c r="K65" s="2"/>
      <c r="L65" s="2"/>
    </row>
    <row r="66" spans="1:12" ht="12" customHeight="1">
      <c r="A66" s="5"/>
      <c r="B66" s="2" t="s">
        <v>65</v>
      </c>
      <c r="C66" s="2"/>
      <c r="D66" s="2"/>
      <c r="E66" s="2"/>
      <c r="F66" s="2"/>
      <c r="G66" s="2"/>
      <c r="H66" s="2"/>
      <c r="I66" s="2"/>
      <c r="J66" s="2"/>
      <c r="K66" s="2"/>
      <c r="L66" s="2"/>
    </row>
    <row r="67" spans="1:12" ht="12.75" customHeight="1">
      <c r="A67" s="5" t="s">
        <v>38</v>
      </c>
      <c r="B67" s="6" t="s">
        <v>66</v>
      </c>
    </row>
    <row r="68" spans="1:12" ht="12" customHeight="1">
      <c r="A68" s="5"/>
      <c r="B68" s="6" t="s">
        <v>67</v>
      </c>
    </row>
    <row r="69" spans="1:12" ht="12.75" customHeight="1">
      <c r="A69" s="5" t="s">
        <v>38</v>
      </c>
      <c r="B69" s="6" t="s">
        <v>68</v>
      </c>
    </row>
    <row r="70" spans="1:12" ht="12" customHeight="1">
      <c r="A70" s="5" t="s">
        <v>38</v>
      </c>
      <c r="B70" s="6" t="s">
        <v>69</v>
      </c>
    </row>
    <row r="71" spans="1:12" ht="12" customHeight="1">
      <c r="A71" s="6" t="s">
        <v>70</v>
      </c>
    </row>
    <row r="72" spans="1:12" ht="12" customHeight="1">
      <c r="A72" s="5" t="s">
        <v>38</v>
      </c>
      <c r="B72" s="6" t="s">
        <v>71</v>
      </c>
    </row>
    <row r="73" spans="1:12" ht="12" customHeight="1">
      <c r="A73" s="5" t="s">
        <v>38</v>
      </c>
      <c r="B73" s="6" t="s">
        <v>72</v>
      </c>
    </row>
    <row r="74" spans="1:12" ht="12" customHeight="1">
      <c r="A74" s="5" t="s">
        <v>38</v>
      </c>
      <c r="B74" s="6" t="s">
        <v>73</v>
      </c>
    </row>
    <row r="75" spans="1:12" ht="12.75" customHeight="1">
      <c r="A75" s="5" t="s">
        <v>38</v>
      </c>
      <c r="B75" s="6" t="s">
        <v>74</v>
      </c>
    </row>
    <row r="76" spans="1:12" ht="12.75" customHeight="1">
      <c r="A76" s="5"/>
      <c r="B76" s="6" t="s">
        <v>75</v>
      </c>
    </row>
    <row r="77" spans="1:12" ht="12.75" customHeight="1">
      <c r="A77" s="5" t="s">
        <v>38</v>
      </c>
      <c r="B77" s="6" t="s">
        <v>76</v>
      </c>
    </row>
    <row r="78" spans="1:12" ht="12.75" customHeight="1">
      <c r="A78" s="5"/>
      <c r="B78" s="6" t="s">
        <v>77</v>
      </c>
    </row>
    <row r="79" spans="1:12" ht="12.75" customHeight="1">
      <c r="A79" s="6" t="s">
        <v>78</v>
      </c>
    </row>
    <row r="80" spans="1:12" ht="12.75" customHeight="1">
      <c r="A80" s="5" t="s">
        <v>38</v>
      </c>
      <c r="B80" s="6" t="s">
        <v>79</v>
      </c>
    </row>
    <row r="81" spans="1:12" ht="12.75" customHeight="1">
      <c r="A81" s="5" t="s">
        <v>38</v>
      </c>
      <c r="B81" s="6" t="s">
        <v>80</v>
      </c>
    </row>
    <row r="82" spans="1:12" ht="12.75" customHeight="1">
      <c r="A82" s="6" t="s">
        <v>81</v>
      </c>
    </row>
    <row r="83" spans="1:12" ht="12.75" customHeight="1">
      <c r="A83" s="6" t="s">
        <v>82</v>
      </c>
    </row>
    <row r="84" spans="1:12" ht="12.75" customHeight="1">
      <c r="A84" s="6" t="s">
        <v>83</v>
      </c>
      <c r="G84" s="16"/>
    </row>
    <row r="85" spans="1:12" ht="12.75" customHeight="1">
      <c r="A85" s="5" t="s">
        <v>38</v>
      </c>
      <c r="B85" s="2" t="s">
        <v>84</v>
      </c>
      <c r="C85" s="2"/>
      <c r="D85" s="2"/>
      <c r="E85" s="2"/>
      <c r="F85" s="2"/>
      <c r="G85" s="2"/>
      <c r="H85" s="1"/>
      <c r="I85" s="1"/>
      <c r="J85" s="1"/>
      <c r="K85" s="2"/>
      <c r="L85" s="2"/>
    </row>
    <row r="86" spans="1:12" ht="12.75" customHeight="1">
      <c r="A86" s="5"/>
      <c r="B86" s="2" t="s">
        <v>85</v>
      </c>
      <c r="C86" s="2"/>
      <c r="D86" s="2"/>
      <c r="E86" s="2"/>
      <c r="F86" s="2"/>
      <c r="G86" s="2"/>
      <c r="H86" s="1"/>
      <c r="I86" s="1"/>
      <c r="J86" s="1"/>
      <c r="K86" s="2"/>
      <c r="L86" s="2"/>
    </row>
    <row r="87" spans="1:12" ht="12.75" customHeight="1">
      <c r="A87" s="5"/>
      <c r="B87" s="2" t="s">
        <v>86</v>
      </c>
      <c r="C87" s="2"/>
      <c r="D87" s="2"/>
      <c r="E87" s="2"/>
      <c r="F87" s="2"/>
      <c r="G87" s="2"/>
      <c r="H87" s="1"/>
      <c r="I87" s="1"/>
      <c r="J87" s="1"/>
      <c r="K87" s="2"/>
      <c r="L87" s="2"/>
    </row>
    <row r="88" spans="1:12" ht="12.75" customHeight="1">
      <c r="A88" s="5"/>
      <c r="B88" s="2" t="s">
        <v>87</v>
      </c>
      <c r="C88" s="2"/>
      <c r="D88" s="2"/>
      <c r="E88" s="2"/>
      <c r="F88" s="2"/>
      <c r="G88" s="2"/>
      <c r="H88" s="1"/>
      <c r="I88" s="1"/>
      <c r="J88" s="1"/>
      <c r="K88" s="2"/>
      <c r="L88" s="2"/>
    </row>
    <row r="89" spans="1:12" ht="12" customHeight="1">
      <c r="A89" s="17" t="s">
        <v>88</v>
      </c>
    </row>
    <row r="90" spans="1:12" ht="12" customHeight="1"/>
    <row r="91" spans="1:12" ht="12.75" customHeight="1">
      <c r="A91" s="12" t="s">
        <v>89</v>
      </c>
      <c r="B91" s="12"/>
    </row>
    <row r="92" spans="1:12" ht="12" customHeight="1"/>
    <row r="93" spans="1:12" ht="12.75" customHeight="1">
      <c r="A93" s="18" t="s">
        <v>90</v>
      </c>
    </row>
    <row r="94" spans="1:12" ht="12" customHeight="1">
      <c r="A94" s="5" t="s">
        <v>38</v>
      </c>
      <c r="B94" s="6" t="s">
        <v>91</v>
      </c>
    </row>
    <row r="95" spans="1:12" ht="12" customHeight="1">
      <c r="A95" s="5" t="s">
        <v>38</v>
      </c>
      <c r="B95" s="6" t="s">
        <v>92</v>
      </c>
      <c r="J95" s="19" t="s">
        <v>93</v>
      </c>
    </row>
    <row r="96" spans="1:12" ht="12" customHeight="1">
      <c r="A96" s="5" t="s">
        <v>38</v>
      </c>
      <c r="B96" s="6" t="s">
        <v>94</v>
      </c>
    </row>
    <row r="97" spans="1:2" ht="12" customHeight="1">
      <c r="A97" s="5" t="s">
        <v>38</v>
      </c>
      <c r="B97" s="6" t="s">
        <v>95</v>
      </c>
    </row>
    <row r="98" spans="1:2" ht="12" customHeight="1">
      <c r="A98" s="5" t="s">
        <v>38</v>
      </c>
      <c r="B98" s="6" t="s">
        <v>96</v>
      </c>
    </row>
    <row r="99" spans="1:2" ht="12" customHeight="1">
      <c r="A99" s="5" t="s">
        <v>38</v>
      </c>
      <c r="B99" s="6" t="s">
        <v>97</v>
      </c>
    </row>
    <row r="100" spans="1:2" ht="12" customHeight="1">
      <c r="A100" s="5" t="s">
        <v>38</v>
      </c>
      <c r="B100" s="6" t="s">
        <v>98</v>
      </c>
    </row>
    <row r="101" spans="1:2" ht="12" customHeight="1">
      <c r="A101" s="5" t="s">
        <v>38</v>
      </c>
      <c r="B101" s="6" t="s">
        <v>99</v>
      </c>
    </row>
    <row r="102" spans="1:2" ht="12.75" customHeight="1">
      <c r="A102" s="5" t="s">
        <v>38</v>
      </c>
      <c r="B102" s="6" t="s">
        <v>100</v>
      </c>
    </row>
    <row r="103" spans="1:2" ht="12" customHeight="1">
      <c r="A103" s="5" t="s">
        <v>38</v>
      </c>
      <c r="B103" s="6" t="s">
        <v>101</v>
      </c>
    </row>
    <row r="104" spans="1:2" ht="12" customHeight="1">
      <c r="A104" s="5" t="s">
        <v>38</v>
      </c>
      <c r="B104" s="6" t="s">
        <v>102</v>
      </c>
    </row>
    <row r="105" spans="1:2" ht="12" customHeight="1">
      <c r="A105" s="5" t="s">
        <v>38</v>
      </c>
      <c r="B105" s="6" t="s">
        <v>103</v>
      </c>
    </row>
    <row r="106" spans="1:2" ht="12" customHeight="1">
      <c r="A106" s="5" t="s">
        <v>38</v>
      </c>
      <c r="B106" s="6" t="s">
        <v>104</v>
      </c>
    </row>
    <row r="107" spans="1:2" ht="12" customHeight="1"/>
    <row r="108" spans="1:2" ht="12" customHeight="1">
      <c r="A108" s="6" t="s">
        <v>105</v>
      </c>
    </row>
    <row r="109" spans="1:2" ht="12" customHeight="1"/>
    <row r="110" spans="1:2" ht="12" customHeight="1"/>
    <row r="111" spans="1:2" ht="12" customHeight="1"/>
    <row r="112" spans="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
    <mergeCell ref="B1:H1"/>
    <mergeCell ref="B2:H2"/>
  </mergeCells>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8080"/>
  </sheetPr>
  <dimension ref="A1:CB1000"/>
  <sheetViews>
    <sheetView workbookViewId="0">
      <pane xSplit="2" topLeftCell="C1" activePane="topRight" state="frozen"/>
      <selection pane="topRight" activeCell="D2" sqref="D2"/>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f>IF(TYPE(VLOOKUP(C1,Hřiště!A11:B42,2,0))&gt;3,1,VLOOKUP(C1,Hřiště!A11:B42,2,0))</f>
        <v>1</v>
      </c>
      <c r="B1" s="175" t="s">
        <v>1794</v>
      </c>
      <c r="C1" s="176" t="s">
        <v>1795</v>
      </c>
      <c r="D1" s="69"/>
      <c r="E1" s="69"/>
      <c r="F1" s="177" t="s">
        <v>1712</v>
      </c>
      <c r="G1" s="178">
        <f>$AV$12</f>
        <v>5</v>
      </c>
      <c r="H1" s="179" t="s">
        <v>1796</v>
      </c>
      <c r="I1" s="69"/>
      <c r="J1" s="69"/>
      <c r="K1" s="69"/>
      <c r="L1" s="69"/>
      <c r="M1" s="69"/>
      <c r="N1" s="69"/>
      <c r="O1" s="69"/>
      <c r="P1" s="180" t="s">
        <v>1797</v>
      </c>
      <c r="Q1" s="74"/>
      <c r="R1" s="181">
        <f ca="1">INDIRECT(ADDRESS(4,A1,1,1,"Hřiště"))</f>
        <v>1</v>
      </c>
      <c r="S1" s="181">
        <f ca="1">INDIRECT(ADDRESS(5,A1,1,1,"Hřiště"))</f>
        <v>2</v>
      </c>
      <c r="T1" s="69"/>
      <c r="U1" s="69"/>
      <c r="V1" s="69"/>
      <c r="W1" s="69"/>
      <c r="X1" s="69"/>
      <c r="Y1" s="69"/>
      <c r="Z1" s="177" t="s">
        <v>1798</v>
      </c>
      <c r="AA1" s="178">
        <f>IF(G1=0,0,CHOOSE(G1,0,1,1,2,2,3))</f>
        <v>2</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Carreau Brno - Michálek Ivo</v>
      </c>
      <c r="C6" s="208" t="str">
        <f t="shared" ref="C6:C11" si="0">IF(CB6=0,"",CB6)</f>
        <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2</v>
      </c>
      <c r="J6" s="215">
        <f>$G$7</f>
        <v>0</v>
      </c>
      <c r="K6" s="216">
        <f>$F$7</f>
        <v>0</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1</v>
      </c>
      <c r="N6" s="215">
        <f>$G$8</f>
        <v>0</v>
      </c>
      <c r="O6" s="216">
        <f>$F$8</f>
        <v>0</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v>
      </c>
      <c r="R6" s="215">
        <f>$G$9</f>
        <v>0</v>
      </c>
      <c r="S6" s="216">
        <f>$F$9</f>
        <v>0</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2</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1</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1. Starobrněnský PK - Strouhalová Terezie</v>
      </c>
      <c r="C7" s="227" t="str">
        <f t="shared" si="0"/>
        <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2</v>
      </c>
      <c r="F7" s="230"/>
      <c r="G7" s="231"/>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2</v>
      </c>
      <c r="N7" s="238">
        <f>$K$8</f>
        <v>0</v>
      </c>
      <c r="O7" s="216">
        <f>$J$8</f>
        <v>0</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1</v>
      </c>
      <c r="R7" s="238">
        <f>$K$9</f>
        <v>0</v>
      </c>
      <c r="S7" s="216">
        <f>$J$9</f>
        <v>0</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1</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1</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Orel Řečkovice - Marečková Yvonne</v>
      </c>
      <c r="C8" s="227" t="str">
        <f t="shared" si="0"/>
        <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1</v>
      </c>
      <c r="F8" s="230"/>
      <c r="G8" s="231"/>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2</v>
      </c>
      <c r="J8" s="230"/>
      <c r="K8" s="231"/>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2</v>
      </c>
      <c r="R8" s="238">
        <f>$O$9</f>
        <v>0</v>
      </c>
      <c r="S8" s="216">
        <f>$N$9</f>
        <v>0</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1</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PK Polouvsí - Valošek Hugo</v>
      </c>
      <c r="C9" s="227" t="str">
        <f t="shared" si="0"/>
        <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v>
      </c>
      <c r="F9" s="230"/>
      <c r="G9" s="231"/>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1</v>
      </c>
      <c r="J9" s="230"/>
      <c r="K9" s="231"/>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2</v>
      </c>
      <c r="N9" s="230"/>
      <c r="O9" s="231"/>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2</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1</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SLOPE Brno - Daněk Patrik</v>
      </c>
      <c r="C10" s="227" t="str">
        <f t="shared" si="0"/>
        <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2</v>
      </c>
      <c r="F10" s="230"/>
      <c r="G10" s="231"/>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1</v>
      </c>
      <c r="J10" s="230"/>
      <c r="K10" s="231"/>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v>
      </c>
      <c r="N10" s="230"/>
      <c r="O10" s="231"/>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2</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1</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255"/>
      <c r="P12" s="255"/>
      <c r="Q12" s="255"/>
      <c r="R12" s="255"/>
      <c r="S12" s="255"/>
      <c r="T12" s="255"/>
      <c r="U12" s="255"/>
      <c r="V12" s="255"/>
      <c r="W12" s="255"/>
      <c r="X12" s="255"/>
      <c r="Y12" s="255"/>
      <c r="Z12" s="255"/>
      <c r="AA12" s="255"/>
      <c r="AB12" s="255"/>
      <c r="AC12" s="255"/>
      <c r="AD12" s="69"/>
      <c r="AE12" s="69"/>
      <c r="AF12" s="69"/>
      <c r="AG12" s="69"/>
      <c r="AH12" s="69"/>
      <c r="AI12" s="69"/>
      <c r="AJ12" s="69"/>
      <c r="AK12" s="69"/>
      <c r="AL12" s="69"/>
      <c r="AM12" s="69"/>
      <c r="AN12" s="69"/>
      <c r="AO12" s="69"/>
      <c r="AP12" s="69"/>
      <c r="AQ12" s="69"/>
      <c r="AR12" s="69"/>
      <c r="AS12" s="69"/>
      <c r="AT12" s="69"/>
      <c r="AU12" s="69"/>
      <c r="AV12" s="256">
        <f>SUM(AV6:AV11)</f>
        <v>5</v>
      </c>
    </row>
    <row r="13" spans="1:80" ht="64.5" hidden="1" customHeight="1">
      <c r="A13" s="69"/>
      <c r="B13" s="257" t="s">
        <v>1820</v>
      </c>
      <c r="C13" s="258" t="s">
        <v>1821</v>
      </c>
      <c r="D13" s="69"/>
      <c r="E13" s="69"/>
      <c r="F13" s="69"/>
      <c r="G13" s="69"/>
      <c r="H13" s="69"/>
      <c r="I13" s="69"/>
      <c r="J13" s="69"/>
      <c r="K13" s="69"/>
      <c r="L13" s="69"/>
      <c r="M13" s="69"/>
      <c r="N13" s="69"/>
      <c r="O13" s="255"/>
      <c r="P13" s="255"/>
      <c r="Q13" s="255"/>
      <c r="R13" s="255"/>
      <c r="S13" s="255"/>
      <c r="T13" s="255"/>
      <c r="U13" s="255"/>
      <c r="V13" s="255"/>
      <c r="W13" s="255"/>
      <c r="X13" s="255"/>
      <c r="Y13" s="255"/>
      <c r="Z13" s="255"/>
      <c r="AA13" s="255"/>
      <c r="AB13" s="255"/>
      <c r="AC13" s="255"/>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a1</v>
      </c>
      <c r="D14" s="69"/>
      <c r="E14" s="69"/>
      <c r="F14" s="69"/>
      <c r="G14" s="69"/>
      <c r="H14" s="69"/>
      <c r="I14" s="69"/>
      <c r="J14" s="69"/>
      <c r="K14" s="69"/>
      <c r="L14" s="69"/>
      <c r="M14" s="69"/>
      <c r="N14" s="69"/>
      <c r="O14" s="255"/>
      <c r="P14" s="255"/>
      <c r="Q14" s="255"/>
      <c r="R14" s="255"/>
      <c r="S14" s="255"/>
      <c r="T14" s="255"/>
      <c r="U14" s="255"/>
      <c r="V14" s="255"/>
      <c r="W14" s="255"/>
      <c r="X14" s="255"/>
      <c r="Y14" s="255"/>
      <c r="Z14" s="255"/>
      <c r="AA14" s="255"/>
      <c r="AB14" s="255"/>
      <c r="AC14" s="255"/>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a2</v>
      </c>
      <c r="D15" s="69"/>
      <c r="E15" s="69"/>
      <c r="F15" s="69"/>
      <c r="G15" s="69"/>
      <c r="H15" s="69"/>
      <c r="I15" s="69"/>
      <c r="J15" s="69"/>
      <c r="K15" s="69"/>
      <c r="L15" s="69"/>
      <c r="M15" s="69"/>
      <c r="N15" s="69"/>
      <c r="O15" s="255"/>
      <c r="P15" s="255"/>
      <c r="Q15" s="255"/>
      <c r="R15" s="255"/>
      <c r="S15" s="255"/>
      <c r="T15" s="255"/>
      <c r="U15" s="255"/>
      <c r="V15" s="255"/>
      <c r="W15" s="255"/>
      <c r="X15" s="255"/>
      <c r="Y15" s="255"/>
      <c r="Z15" s="255"/>
      <c r="AA15" s="255"/>
      <c r="AB15" s="255"/>
      <c r="AC15" s="255"/>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a3</v>
      </c>
      <c r="D16" s="69"/>
      <c r="E16" s="69"/>
      <c r="F16" s="69"/>
      <c r="G16" s="69"/>
      <c r="H16" s="69"/>
      <c r="I16" s="69"/>
      <c r="J16" s="69"/>
      <c r="K16" s="69"/>
      <c r="L16" s="69"/>
      <c r="M16" s="69"/>
      <c r="N16" s="69"/>
      <c r="O16" s="255"/>
      <c r="P16" s="255"/>
      <c r="Q16" s="255"/>
      <c r="R16" s="255"/>
      <c r="S16" s="255"/>
      <c r="T16" s="255"/>
      <c r="U16" s="255"/>
      <c r="V16" s="255"/>
      <c r="W16" s="255"/>
      <c r="X16" s="255"/>
      <c r="Y16" s="255"/>
      <c r="Z16" s="255"/>
      <c r="AA16" s="255"/>
      <c r="AB16" s="255"/>
      <c r="AC16" s="255"/>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AG24</f>
        <v>0</v>
      </c>
      <c r="S21" s="69"/>
      <c r="T21" s="69">
        <f>AI24</f>
        <v>0</v>
      </c>
      <c r="U21" s="69"/>
      <c r="V21" s="69"/>
      <c r="W21" s="69">
        <f>AL24</f>
        <v>0</v>
      </c>
      <c r="X21" s="69"/>
      <c r="Y21" s="69">
        <f>AN24</f>
        <v>0</v>
      </c>
      <c r="Z21" s="69"/>
      <c r="AA21" s="69">
        <f>AP24</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R$21*$AD22*$O6</f>
        <v>0</v>
      </c>
      <c r="T22" s="6">
        <f t="shared" ref="T22:T27" si="54">T$21*$AD22*$O6</f>
        <v>0</v>
      </c>
      <c r="W22" s="6">
        <f t="shared" ref="W22:W27" si="55">W$21*$AD22*$O6</f>
        <v>0</v>
      </c>
      <c r="Y22" s="6">
        <f t="shared" ref="Y22:Y27" si="56">Y$21*$AD22*$O6</f>
        <v>0</v>
      </c>
      <c r="AA22" s="6">
        <f t="shared" ref="AA22:AA27" si="57">AA$21*$AD22*$O6</f>
        <v>0</v>
      </c>
      <c r="AD22" s="6">
        <f t="shared" ref="AD22:AD27" si="58">IF(AE22=$A$21,1,0)</f>
        <v>0</v>
      </c>
      <c r="AE22" s="6">
        <f t="shared" ref="AE22:AE27" si="59">$AE6</f>
        <v>0</v>
      </c>
      <c r="AX22" s="6">
        <f t="shared" ref="AX22:AX27" si="60">IF(F22&gt;G22,1,0)</f>
        <v>0</v>
      </c>
      <c r="AY22" s="6">
        <f t="shared" ref="AY22:AY27" si="61">IF(J22&gt;K22,1,0)</f>
        <v>0</v>
      </c>
      <c r="AZ22" s="6">
        <f t="shared" ref="AZ22:AZ27" si="62">IF(N22&gt;O22,1,0)</f>
        <v>0</v>
      </c>
      <c r="BA22" s="6">
        <f t="shared" ref="BA22:BA27" si="63">IF(R22&gt;S22,1,0)</f>
        <v>0</v>
      </c>
      <c r="BB22" s="6">
        <f t="shared" ref="BB22:BB27" si="64">IF(V22&gt;W22,1,0)</f>
        <v>0</v>
      </c>
      <c r="BC22" s="6">
        <f t="shared" ref="BC22:BC27" si="65">IF(Z22&gt;AA22,1,0)</f>
        <v>0</v>
      </c>
      <c r="BD22" s="6">
        <f t="shared" ref="BD22:BD27" si="66">SUM(AX22:BC22)</f>
        <v>0</v>
      </c>
      <c r="BF22" s="6">
        <f t="shared" ref="BF22:BF27" si="67">F22-G22</f>
        <v>0</v>
      </c>
      <c r="BG22" s="6">
        <f t="shared" ref="BG22:BG27" si="68">J22-K22</f>
        <v>0</v>
      </c>
      <c r="BH22" s="6">
        <f t="shared" ref="BH22:BH27" si="69">N22-O22</f>
        <v>0</v>
      </c>
      <c r="BI22" s="6">
        <f t="shared" ref="BI22:BI27" si="70">R22-S22</f>
        <v>0</v>
      </c>
      <c r="BJ22" s="6">
        <f t="shared" ref="BJ22:BJ27" si="71">V22-W22</f>
        <v>0</v>
      </c>
      <c r="BK22" s="6">
        <f t="shared" ref="BK22:BK27" si="72">Z22-AA22</f>
        <v>0</v>
      </c>
      <c r="BL22" s="6">
        <f t="shared" ref="BL22:BL27" si="73">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T23" s="6">
        <f t="shared" si="54"/>
        <v>0</v>
      </c>
      <c r="W23" s="6">
        <f t="shared" si="55"/>
        <v>0</v>
      </c>
      <c r="Y23" s="6">
        <f t="shared" si="56"/>
        <v>0</v>
      </c>
      <c r="AA23" s="6">
        <f t="shared" si="57"/>
        <v>0</v>
      </c>
      <c r="AD23" s="6">
        <f t="shared" si="58"/>
        <v>0</v>
      </c>
      <c r="AE23" s="6">
        <f t="shared" si="59"/>
        <v>0</v>
      </c>
      <c r="AX23" s="6">
        <f t="shared" si="60"/>
        <v>0</v>
      </c>
      <c r="AY23" s="6">
        <f t="shared" si="61"/>
        <v>0</v>
      </c>
      <c r="AZ23" s="6">
        <f t="shared" si="62"/>
        <v>0</v>
      </c>
      <c r="BA23" s="6">
        <f t="shared" si="63"/>
        <v>0</v>
      </c>
      <c r="BB23" s="6">
        <f t="shared" si="64"/>
        <v>0</v>
      </c>
      <c r="BC23" s="6">
        <f t="shared" si="65"/>
        <v>0</v>
      </c>
      <c r="BD23" s="6">
        <f t="shared" si="66"/>
        <v>0</v>
      </c>
      <c r="BF23" s="6">
        <f t="shared" si="67"/>
        <v>0</v>
      </c>
      <c r="BG23" s="6">
        <f t="shared" si="68"/>
        <v>0</v>
      </c>
      <c r="BH23" s="6">
        <f t="shared" si="69"/>
        <v>0</v>
      </c>
      <c r="BI23" s="6">
        <f t="shared" si="70"/>
        <v>0</v>
      </c>
      <c r="BJ23" s="6">
        <f t="shared" si="71"/>
        <v>0</v>
      </c>
      <c r="BK23" s="6">
        <f t="shared" si="72"/>
        <v>0</v>
      </c>
      <c r="BL23" s="6">
        <f t="shared" si="73"/>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T24" s="6">
        <f t="shared" si="54"/>
        <v>0</v>
      </c>
      <c r="W24" s="6">
        <f t="shared" si="55"/>
        <v>0</v>
      </c>
      <c r="Y24" s="6">
        <f t="shared" si="56"/>
        <v>0</v>
      </c>
      <c r="AA24" s="6">
        <f t="shared" si="57"/>
        <v>0</v>
      </c>
      <c r="AD24" s="6">
        <f t="shared" si="58"/>
        <v>0</v>
      </c>
      <c r="AE24" s="6">
        <f t="shared" si="59"/>
        <v>0</v>
      </c>
      <c r="AX24" s="6">
        <f t="shared" si="60"/>
        <v>0</v>
      </c>
      <c r="AY24" s="6">
        <f t="shared" si="61"/>
        <v>0</v>
      </c>
      <c r="AZ24" s="6">
        <f t="shared" si="62"/>
        <v>0</v>
      </c>
      <c r="BA24" s="6">
        <f t="shared" si="63"/>
        <v>0</v>
      </c>
      <c r="BB24" s="6">
        <f t="shared" si="64"/>
        <v>0</v>
      </c>
      <c r="BC24" s="6">
        <f t="shared" si="65"/>
        <v>0</v>
      </c>
      <c r="BD24" s="6">
        <f t="shared" si="66"/>
        <v>0</v>
      </c>
      <c r="BF24" s="6">
        <f t="shared" si="67"/>
        <v>0</v>
      </c>
      <c r="BG24" s="6">
        <f t="shared" si="68"/>
        <v>0</v>
      </c>
      <c r="BH24" s="6">
        <f t="shared" si="69"/>
        <v>0</v>
      </c>
      <c r="BI24" s="6">
        <f t="shared" si="70"/>
        <v>0</v>
      </c>
      <c r="BJ24" s="6">
        <f t="shared" si="71"/>
        <v>0</v>
      </c>
      <c r="BK24" s="6">
        <f t="shared" si="72"/>
        <v>0</v>
      </c>
      <c r="BL24" s="6">
        <f t="shared" si="73"/>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T25" s="6">
        <f t="shared" si="54"/>
        <v>0</v>
      </c>
      <c r="W25" s="6">
        <f t="shared" si="55"/>
        <v>0</v>
      </c>
      <c r="Y25" s="6">
        <f t="shared" si="56"/>
        <v>0</v>
      </c>
      <c r="AA25" s="6">
        <f t="shared" si="57"/>
        <v>0</v>
      </c>
      <c r="AD25" s="6">
        <f t="shared" si="58"/>
        <v>0</v>
      </c>
      <c r="AE25" s="6">
        <f t="shared" si="59"/>
        <v>0</v>
      </c>
      <c r="AX25" s="6">
        <f t="shared" si="60"/>
        <v>0</v>
      </c>
      <c r="AY25" s="6">
        <f t="shared" si="61"/>
        <v>0</v>
      </c>
      <c r="AZ25" s="6">
        <f t="shared" si="62"/>
        <v>0</v>
      </c>
      <c r="BA25" s="6">
        <f t="shared" si="63"/>
        <v>0</v>
      </c>
      <c r="BB25" s="6">
        <f t="shared" si="64"/>
        <v>0</v>
      </c>
      <c r="BC25" s="6">
        <f t="shared" si="65"/>
        <v>0</v>
      </c>
      <c r="BD25" s="6">
        <f t="shared" si="66"/>
        <v>0</v>
      </c>
      <c r="BF25" s="6">
        <f t="shared" si="67"/>
        <v>0</v>
      </c>
      <c r="BG25" s="6">
        <f t="shared" si="68"/>
        <v>0</v>
      </c>
      <c r="BH25" s="6">
        <f t="shared" si="69"/>
        <v>0</v>
      </c>
      <c r="BI25" s="6">
        <f t="shared" si="70"/>
        <v>0</v>
      </c>
      <c r="BJ25" s="6">
        <f t="shared" si="71"/>
        <v>0</v>
      </c>
      <c r="BK25" s="6">
        <f t="shared" si="72"/>
        <v>0</v>
      </c>
      <c r="BL25" s="6">
        <f t="shared" si="73"/>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T26" s="6">
        <f t="shared" si="54"/>
        <v>0</v>
      </c>
      <c r="W26" s="6">
        <f t="shared" si="55"/>
        <v>0</v>
      </c>
      <c r="Y26" s="6">
        <f t="shared" si="56"/>
        <v>0</v>
      </c>
      <c r="AA26" s="6">
        <f t="shared" si="57"/>
        <v>0</v>
      </c>
      <c r="AD26" s="6">
        <f t="shared" si="58"/>
        <v>0</v>
      </c>
      <c r="AE26" s="6">
        <f t="shared" si="59"/>
        <v>0</v>
      </c>
      <c r="AX26" s="6">
        <f t="shared" si="60"/>
        <v>0</v>
      </c>
      <c r="AY26" s="6">
        <f t="shared" si="61"/>
        <v>0</v>
      </c>
      <c r="AZ26" s="6">
        <f t="shared" si="62"/>
        <v>0</v>
      </c>
      <c r="BA26" s="6">
        <f t="shared" si="63"/>
        <v>0</v>
      </c>
      <c r="BB26" s="6">
        <f t="shared" si="64"/>
        <v>0</v>
      </c>
      <c r="BC26" s="6">
        <f t="shared" si="65"/>
        <v>0</v>
      </c>
      <c r="BD26" s="6">
        <f t="shared" si="66"/>
        <v>0</v>
      </c>
      <c r="BF26" s="6">
        <f t="shared" si="67"/>
        <v>0</v>
      </c>
      <c r="BG26" s="6">
        <f t="shared" si="68"/>
        <v>0</v>
      </c>
      <c r="BH26" s="6">
        <f t="shared" si="69"/>
        <v>0</v>
      </c>
      <c r="BI26" s="6">
        <f t="shared" si="70"/>
        <v>0</v>
      </c>
      <c r="BJ26" s="6">
        <f t="shared" si="71"/>
        <v>0</v>
      </c>
      <c r="BK26" s="6">
        <f t="shared" si="72"/>
        <v>0</v>
      </c>
      <c r="BL26" s="6">
        <f t="shared" si="73"/>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T27" s="6">
        <f t="shared" si="54"/>
        <v>0</v>
      </c>
      <c r="W27" s="6">
        <f t="shared" si="55"/>
        <v>0</v>
      </c>
      <c r="Y27" s="6">
        <f t="shared" si="56"/>
        <v>0</v>
      </c>
      <c r="AA27" s="6">
        <f t="shared" si="57"/>
        <v>0</v>
      </c>
      <c r="AD27" s="6">
        <f t="shared" si="58"/>
        <v>0</v>
      </c>
      <c r="AE27" s="6">
        <f t="shared" si="59"/>
        <v>0</v>
      </c>
      <c r="AX27" s="6">
        <f t="shared" si="60"/>
        <v>0</v>
      </c>
      <c r="AY27" s="6">
        <f t="shared" si="61"/>
        <v>0</v>
      </c>
      <c r="AZ27" s="6">
        <f t="shared" si="62"/>
        <v>0</v>
      </c>
      <c r="BA27" s="6">
        <f t="shared" si="63"/>
        <v>0</v>
      </c>
      <c r="BB27" s="6">
        <f t="shared" si="64"/>
        <v>0</v>
      </c>
      <c r="BC27" s="6">
        <f t="shared" si="65"/>
        <v>0</v>
      </c>
      <c r="BD27" s="6">
        <f t="shared" si="66"/>
        <v>0</v>
      </c>
      <c r="BF27" s="6">
        <f t="shared" si="67"/>
        <v>0</v>
      </c>
      <c r="BG27" s="6">
        <f t="shared" si="68"/>
        <v>0</v>
      </c>
      <c r="BH27" s="6">
        <f t="shared" si="69"/>
        <v>0</v>
      </c>
      <c r="BI27" s="6">
        <f t="shared" si="70"/>
        <v>0</v>
      </c>
      <c r="BJ27" s="6">
        <f t="shared" si="71"/>
        <v>0</v>
      </c>
      <c r="BK27" s="6">
        <f t="shared" si="72"/>
        <v>0</v>
      </c>
      <c r="BL27" s="6">
        <f t="shared" si="73"/>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AG33</f>
        <v>0</v>
      </c>
      <c r="S30" s="69"/>
      <c r="T30" s="69">
        <f>AI33</f>
        <v>0</v>
      </c>
      <c r="U30" s="69"/>
      <c r="V30" s="69"/>
      <c r="W30" s="69">
        <f>AL33</f>
        <v>0</v>
      </c>
      <c r="X30" s="69"/>
      <c r="Y30" s="69">
        <f>AN33</f>
        <v>0</v>
      </c>
      <c r="Z30" s="69"/>
      <c r="AA30" s="69">
        <f>AP33</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4">$A6</f>
        <v>1</v>
      </c>
      <c r="F31" s="6">
        <f t="shared" ref="F31:F36" si="75">F$30*$AD31*$F6</f>
        <v>0</v>
      </c>
      <c r="G31" s="6">
        <f t="shared" ref="G31:G36" si="76">G$30*$AD31*$G6</f>
        <v>0</v>
      </c>
      <c r="J31" s="6">
        <f t="shared" ref="J31:J36" si="77">J$30*$AD31*$J6</f>
        <v>0</v>
      </c>
      <c r="K31" s="6">
        <f t="shared" ref="K31:K36" si="78">K$30*$AD31*$K6</f>
        <v>0</v>
      </c>
      <c r="N31" s="6">
        <f t="shared" ref="N31:N36" si="79">N$30*$AD31*$N6</f>
        <v>0</v>
      </c>
      <c r="O31" s="6">
        <f t="shared" ref="O31:O36" si="80">O$30*$AD31*$O6</f>
        <v>0</v>
      </c>
      <c r="R31" s="6">
        <f t="shared" ref="R31:R36" si="81">R$30*$AD31*$O6</f>
        <v>0</v>
      </c>
      <c r="T31" s="6">
        <f t="shared" ref="T31:T36" si="82">T$30*$AD31*$O6</f>
        <v>0</v>
      </c>
      <c r="W31" s="6">
        <f t="shared" ref="W31:W36" si="83">W$30*$AD31*$O6</f>
        <v>0</v>
      </c>
      <c r="Y31" s="6">
        <f t="shared" ref="Y31:Y36" si="84">Y$30*$AD31*$O6</f>
        <v>0</v>
      </c>
      <c r="AA31" s="6">
        <f t="shared" ref="AA31:AA36" si="85">AA$30*$AD31*$O6</f>
        <v>0</v>
      </c>
      <c r="AD31" s="6">
        <f t="shared" ref="AD31:AD36" si="86">IF(AE31=$A$30,1,0)</f>
        <v>0</v>
      </c>
      <c r="AE31" s="6">
        <f t="shared" ref="AE31:AE36" si="87">$AE6</f>
        <v>0</v>
      </c>
      <c r="AX31" s="6">
        <f t="shared" ref="AX31:AX36" si="88">IF(F31&gt;G31,1,0)</f>
        <v>0</v>
      </c>
      <c r="AY31" s="6">
        <f t="shared" ref="AY31:AY36" si="89">IF(J31&gt;K31,1,0)</f>
        <v>0</v>
      </c>
      <c r="AZ31" s="6">
        <f t="shared" ref="AZ31:AZ36" si="90">IF(N31&gt;O31,1,0)</f>
        <v>0</v>
      </c>
      <c r="BA31" s="6">
        <f t="shared" ref="BA31:BA36" si="91">IF(R31&gt;S31,1,0)</f>
        <v>0</v>
      </c>
      <c r="BB31" s="6">
        <f t="shared" ref="BB31:BB36" si="92">IF(V31&gt;W31,1,0)</f>
        <v>0</v>
      </c>
      <c r="BC31" s="6">
        <f t="shared" ref="BC31:BC36" si="93">IF(Z31&gt;AA31,1,0)</f>
        <v>0</v>
      </c>
      <c r="BD31" s="6">
        <f t="shared" ref="BD31:BD36" si="94">SUM(AX31:BC31)</f>
        <v>0</v>
      </c>
      <c r="BF31" s="6">
        <f t="shared" ref="BF31:BF36" si="95">F31-G31</f>
        <v>0</v>
      </c>
      <c r="BG31" s="6">
        <f t="shared" ref="BG31:BG36" si="96">J31-K31</f>
        <v>0</v>
      </c>
      <c r="BH31" s="6">
        <f t="shared" ref="BH31:BH36" si="97">N31-O31</f>
        <v>0</v>
      </c>
      <c r="BI31" s="6">
        <f t="shared" ref="BI31:BI36" si="98">R31-S31</f>
        <v>0</v>
      </c>
      <c r="BJ31" s="6">
        <f t="shared" ref="BJ31:BJ36" si="99">V31-W31</f>
        <v>0</v>
      </c>
      <c r="BK31" s="6">
        <f t="shared" ref="BK31:BK36" si="100">Z31-AA31</f>
        <v>0</v>
      </c>
      <c r="BL31" s="6">
        <f t="shared" ref="BL31:BL36" si="101">SUM(BF31:BK31)</f>
        <v>0</v>
      </c>
    </row>
    <row r="32" spans="1:64" ht="12" hidden="1" customHeight="1">
      <c r="A32" s="6">
        <f t="shared" si="74"/>
        <v>2</v>
      </c>
      <c r="F32" s="6">
        <f t="shared" si="75"/>
        <v>0</v>
      </c>
      <c r="G32" s="6">
        <f t="shared" si="76"/>
        <v>0</v>
      </c>
      <c r="J32" s="6">
        <f t="shared" si="77"/>
        <v>0</v>
      </c>
      <c r="K32" s="6">
        <f t="shared" si="78"/>
        <v>0</v>
      </c>
      <c r="N32" s="6">
        <f t="shared" si="79"/>
        <v>0</v>
      </c>
      <c r="O32" s="6">
        <f t="shared" si="80"/>
        <v>0</v>
      </c>
      <c r="R32" s="6">
        <f t="shared" si="81"/>
        <v>0</v>
      </c>
      <c r="T32" s="6">
        <f t="shared" si="82"/>
        <v>0</v>
      </c>
      <c r="W32" s="6">
        <f t="shared" si="83"/>
        <v>0</v>
      </c>
      <c r="Y32" s="6">
        <f t="shared" si="84"/>
        <v>0</v>
      </c>
      <c r="AA32" s="6">
        <f t="shared" si="85"/>
        <v>0</v>
      </c>
      <c r="AD32" s="6">
        <f t="shared" si="86"/>
        <v>0</v>
      </c>
      <c r="AE32" s="6">
        <f t="shared" si="87"/>
        <v>0</v>
      </c>
      <c r="AX32" s="6">
        <f t="shared" si="88"/>
        <v>0</v>
      </c>
      <c r="AY32" s="6">
        <f t="shared" si="89"/>
        <v>0</v>
      </c>
      <c r="AZ32" s="6">
        <f t="shared" si="90"/>
        <v>0</v>
      </c>
      <c r="BA32" s="6">
        <f t="shared" si="91"/>
        <v>0</v>
      </c>
      <c r="BB32" s="6">
        <f t="shared" si="92"/>
        <v>0</v>
      </c>
      <c r="BC32" s="6">
        <f t="shared" si="93"/>
        <v>0</v>
      </c>
      <c r="BD32" s="6">
        <f t="shared" si="94"/>
        <v>0</v>
      </c>
      <c r="BF32" s="6">
        <f t="shared" si="95"/>
        <v>0</v>
      </c>
      <c r="BG32" s="6">
        <f t="shared" si="96"/>
        <v>0</v>
      </c>
      <c r="BH32" s="6">
        <f t="shared" si="97"/>
        <v>0</v>
      </c>
      <c r="BI32" s="6">
        <f t="shared" si="98"/>
        <v>0</v>
      </c>
      <c r="BJ32" s="6">
        <f t="shared" si="99"/>
        <v>0</v>
      </c>
      <c r="BK32" s="6">
        <f t="shared" si="100"/>
        <v>0</v>
      </c>
      <c r="BL32" s="6">
        <f t="shared" si="101"/>
        <v>0</v>
      </c>
    </row>
    <row r="33" spans="1:64" ht="12" hidden="1" customHeight="1">
      <c r="A33" s="6">
        <f t="shared" si="74"/>
        <v>3</v>
      </c>
      <c r="F33" s="6">
        <f t="shared" si="75"/>
        <v>0</v>
      </c>
      <c r="G33" s="6">
        <f t="shared" si="76"/>
        <v>0</v>
      </c>
      <c r="J33" s="6">
        <f t="shared" si="77"/>
        <v>0</v>
      </c>
      <c r="K33" s="6">
        <f t="shared" si="78"/>
        <v>0</v>
      </c>
      <c r="N33" s="6">
        <f t="shared" si="79"/>
        <v>0</v>
      </c>
      <c r="O33" s="6">
        <f t="shared" si="80"/>
        <v>0</v>
      </c>
      <c r="R33" s="6">
        <f t="shared" si="81"/>
        <v>0</v>
      </c>
      <c r="T33" s="6">
        <f t="shared" si="82"/>
        <v>0</v>
      </c>
      <c r="W33" s="6">
        <f t="shared" si="83"/>
        <v>0</v>
      </c>
      <c r="Y33" s="6">
        <f t="shared" si="84"/>
        <v>0</v>
      </c>
      <c r="AA33" s="6">
        <f t="shared" si="85"/>
        <v>0</v>
      </c>
      <c r="AD33" s="6">
        <f t="shared" si="86"/>
        <v>0</v>
      </c>
      <c r="AE33" s="6">
        <f t="shared" si="87"/>
        <v>0</v>
      </c>
      <c r="AX33" s="6">
        <f t="shared" si="88"/>
        <v>0</v>
      </c>
      <c r="AY33" s="6">
        <f t="shared" si="89"/>
        <v>0</v>
      </c>
      <c r="AZ33" s="6">
        <f t="shared" si="90"/>
        <v>0</v>
      </c>
      <c r="BA33" s="6">
        <f t="shared" si="91"/>
        <v>0</v>
      </c>
      <c r="BB33" s="6">
        <f t="shared" si="92"/>
        <v>0</v>
      </c>
      <c r="BC33" s="6">
        <f t="shared" si="93"/>
        <v>0</v>
      </c>
      <c r="BD33" s="6">
        <f t="shared" si="94"/>
        <v>0</v>
      </c>
      <c r="BF33" s="6">
        <f t="shared" si="95"/>
        <v>0</v>
      </c>
      <c r="BG33" s="6">
        <f t="shared" si="96"/>
        <v>0</v>
      </c>
      <c r="BH33" s="6">
        <f t="shared" si="97"/>
        <v>0</v>
      </c>
      <c r="BI33" s="6">
        <f t="shared" si="98"/>
        <v>0</v>
      </c>
      <c r="BJ33" s="6">
        <f t="shared" si="99"/>
        <v>0</v>
      </c>
      <c r="BK33" s="6">
        <f t="shared" si="100"/>
        <v>0</v>
      </c>
      <c r="BL33" s="6">
        <f t="shared" si="101"/>
        <v>0</v>
      </c>
    </row>
    <row r="34" spans="1:64" ht="12" hidden="1" customHeight="1">
      <c r="A34" s="6">
        <f t="shared" si="74"/>
        <v>4</v>
      </c>
      <c r="F34" s="6">
        <f t="shared" si="75"/>
        <v>0</v>
      </c>
      <c r="G34" s="6">
        <f t="shared" si="76"/>
        <v>0</v>
      </c>
      <c r="J34" s="6">
        <f t="shared" si="77"/>
        <v>0</v>
      </c>
      <c r="K34" s="6">
        <f t="shared" si="78"/>
        <v>0</v>
      </c>
      <c r="N34" s="6">
        <f t="shared" si="79"/>
        <v>0</v>
      </c>
      <c r="O34" s="6">
        <f t="shared" si="80"/>
        <v>0</v>
      </c>
      <c r="R34" s="6">
        <f t="shared" si="81"/>
        <v>0</v>
      </c>
      <c r="T34" s="6">
        <f t="shared" si="82"/>
        <v>0</v>
      </c>
      <c r="W34" s="6">
        <f t="shared" si="83"/>
        <v>0</v>
      </c>
      <c r="Y34" s="6">
        <f t="shared" si="84"/>
        <v>0</v>
      </c>
      <c r="AA34" s="6">
        <f t="shared" si="85"/>
        <v>0</v>
      </c>
      <c r="AD34" s="6">
        <f t="shared" si="86"/>
        <v>0</v>
      </c>
      <c r="AE34" s="6">
        <f t="shared" si="87"/>
        <v>0</v>
      </c>
      <c r="AX34" s="6">
        <f t="shared" si="88"/>
        <v>0</v>
      </c>
      <c r="AY34" s="6">
        <f t="shared" si="89"/>
        <v>0</v>
      </c>
      <c r="AZ34" s="6">
        <f t="shared" si="90"/>
        <v>0</v>
      </c>
      <c r="BA34" s="6">
        <f t="shared" si="91"/>
        <v>0</v>
      </c>
      <c r="BB34" s="6">
        <f t="shared" si="92"/>
        <v>0</v>
      </c>
      <c r="BC34" s="6">
        <f t="shared" si="93"/>
        <v>0</v>
      </c>
      <c r="BD34" s="6">
        <f t="shared" si="94"/>
        <v>0</v>
      </c>
      <c r="BF34" s="6">
        <f t="shared" si="95"/>
        <v>0</v>
      </c>
      <c r="BG34" s="6">
        <f t="shared" si="96"/>
        <v>0</v>
      </c>
      <c r="BH34" s="6">
        <f t="shared" si="97"/>
        <v>0</v>
      </c>
      <c r="BI34" s="6">
        <f t="shared" si="98"/>
        <v>0</v>
      </c>
      <c r="BJ34" s="6">
        <f t="shared" si="99"/>
        <v>0</v>
      </c>
      <c r="BK34" s="6">
        <f t="shared" si="100"/>
        <v>0</v>
      </c>
      <c r="BL34" s="6">
        <f t="shared" si="101"/>
        <v>0</v>
      </c>
    </row>
    <row r="35" spans="1:64" ht="12" hidden="1" customHeight="1">
      <c r="A35" s="6">
        <f t="shared" si="74"/>
        <v>5</v>
      </c>
      <c r="F35" s="6">
        <f t="shared" si="75"/>
        <v>0</v>
      </c>
      <c r="G35" s="6">
        <f t="shared" si="76"/>
        <v>0</v>
      </c>
      <c r="J35" s="6">
        <f t="shared" si="77"/>
        <v>0</v>
      </c>
      <c r="K35" s="6">
        <f t="shared" si="78"/>
        <v>0</v>
      </c>
      <c r="N35" s="6">
        <f t="shared" si="79"/>
        <v>0</v>
      </c>
      <c r="O35" s="6">
        <f t="shared" si="80"/>
        <v>0</v>
      </c>
      <c r="R35" s="6">
        <f t="shared" si="81"/>
        <v>0</v>
      </c>
      <c r="T35" s="6">
        <f t="shared" si="82"/>
        <v>0</v>
      </c>
      <c r="W35" s="6">
        <f t="shared" si="83"/>
        <v>0</v>
      </c>
      <c r="Y35" s="6">
        <f t="shared" si="84"/>
        <v>0</v>
      </c>
      <c r="AA35" s="6">
        <f t="shared" si="85"/>
        <v>0</v>
      </c>
      <c r="AD35" s="6">
        <f t="shared" si="86"/>
        <v>0</v>
      </c>
      <c r="AE35" s="6">
        <f t="shared" si="87"/>
        <v>0</v>
      </c>
      <c r="AX35" s="6">
        <f t="shared" si="88"/>
        <v>0</v>
      </c>
      <c r="AY35" s="6">
        <f t="shared" si="89"/>
        <v>0</v>
      </c>
      <c r="AZ35" s="6">
        <f t="shared" si="90"/>
        <v>0</v>
      </c>
      <c r="BA35" s="6">
        <f t="shared" si="91"/>
        <v>0</v>
      </c>
      <c r="BB35" s="6">
        <f t="shared" si="92"/>
        <v>0</v>
      </c>
      <c r="BC35" s="6">
        <f t="shared" si="93"/>
        <v>0</v>
      </c>
      <c r="BD35" s="6">
        <f t="shared" si="94"/>
        <v>0</v>
      </c>
      <c r="BF35" s="6">
        <f t="shared" si="95"/>
        <v>0</v>
      </c>
      <c r="BG35" s="6">
        <f t="shared" si="96"/>
        <v>0</v>
      </c>
      <c r="BH35" s="6">
        <f t="shared" si="97"/>
        <v>0</v>
      </c>
      <c r="BI35" s="6">
        <f t="shared" si="98"/>
        <v>0</v>
      </c>
      <c r="BJ35" s="6">
        <f t="shared" si="99"/>
        <v>0</v>
      </c>
      <c r="BK35" s="6">
        <f t="shared" si="100"/>
        <v>0</v>
      </c>
      <c r="BL35" s="6">
        <f t="shared" si="101"/>
        <v>0</v>
      </c>
    </row>
    <row r="36" spans="1:64" ht="12" hidden="1" customHeight="1">
      <c r="A36" s="6">
        <f t="shared" si="74"/>
        <v>6</v>
      </c>
      <c r="F36" s="6">
        <f t="shared" si="75"/>
        <v>0</v>
      </c>
      <c r="G36" s="6">
        <f t="shared" si="76"/>
        <v>0</v>
      </c>
      <c r="J36" s="6">
        <f t="shared" si="77"/>
        <v>0</v>
      </c>
      <c r="K36" s="6">
        <f t="shared" si="78"/>
        <v>0</v>
      </c>
      <c r="N36" s="6">
        <f t="shared" si="79"/>
        <v>0</v>
      </c>
      <c r="O36" s="6">
        <f t="shared" si="80"/>
        <v>0</v>
      </c>
      <c r="R36" s="6">
        <f t="shared" si="81"/>
        <v>0</v>
      </c>
      <c r="T36" s="6">
        <f t="shared" si="82"/>
        <v>0</v>
      </c>
      <c r="W36" s="6">
        <f t="shared" si="83"/>
        <v>0</v>
      </c>
      <c r="Y36" s="6">
        <f t="shared" si="84"/>
        <v>0</v>
      </c>
      <c r="AA36" s="6">
        <f t="shared" si="85"/>
        <v>0</v>
      </c>
      <c r="AD36" s="6">
        <f t="shared" si="86"/>
        <v>0</v>
      </c>
      <c r="AE36" s="6">
        <f t="shared" si="87"/>
        <v>0</v>
      </c>
      <c r="AX36" s="6">
        <f t="shared" si="88"/>
        <v>0</v>
      </c>
      <c r="AY36" s="6">
        <f t="shared" si="89"/>
        <v>0</v>
      </c>
      <c r="AZ36" s="6">
        <f t="shared" si="90"/>
        <v>0</v>
      </c>
      <c r="BA36" s="6">
        <f t="shared" si="91"/>
        <v>0</v>
      </c>
      <c r="BB36" s="6">
        <f t="shared" si="92"/>
        <v>0</v>
      </c>
      <c r="BC36" s="6">
        <f t="shared" si="93"/>
        <v>0</v>
      </c>
      <c r="BD36" s="6">
        <f t="shared" si="94"/>
        <v>0</v>
      </c>
      <c r="BF36" s="6">
        <f t="shared" si="95"/>
        <v>0</v>
      </c>
      <c r="BG36" s="6">
        <f t="shared" si="96"/>
        <v>0</v>
      </c>
      <c r="BH36" s="6">
        <f t="shared" si="97"/>
        <v>0</v>
      </c>
      <c r="BI36" s="6">
        <f t="shared" si="98"/>
        <v>0</v>
      </c>
      <c r="BJ36" s="6">
        <f t="shared" si="99"/>
        <v>0</v>
      </c>
      <c r="BK36" s="6">
        <f t="shared" si="100"/>
        <v>0</v>
      </c>
      <c r="BL36" s="6">
        <f t="shared" si="101"/>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AG42</f>
        <v>0</v>
      </c>
      <c r="S39" s="69"/>
      <c r="T39" s="69">
        <f>AI42</f>
        <v>0</v>
      </c>
      <c r="U39" s="69"/>
      <c r="V39" s="69"/>
      <c r="W39" s="69">
        <f>AL42</f>
        <v>0</v>
      </c>
      <c r="X39" s="69"/>
      <c r="Y39" s="69">
        <f>AN42</f>
        <v>0</v>
      </c>
      <c r="Z39" s="69"/>
      <c r="AA39" s="69">
        <f>AP42</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2">$A6</f>
        <v>1</v>
      </c>
      <c r="F40" s="6">
        <f t="shared" ref="F40:F45" si="103">F$39*$AD40*$F6</f>
        <v>0</v>
      </c>
      <c r="G40" s="6">
        <f t="shared" ref="G40:G45" si="104">G$39*$AD40*$G6</f>
        <v>0</v>
      </c>
      <c r="J40" s="6">
        <f t="shared" ref="J40:J45" si="105">J$39*$AD40*$J6</f>
        <v>0</v>
      </c>
      <c r="K40" s="6">
        <f t="shared" ref="K40:K45" si="106">K$39*$AD40*$K6</f>
        <v>0</v>
      </c>
      <c r="N40" s="6">
        <f t="shared" ref="N40:N45" si="107">N$39*$AD40*$N6</f>
        <v>0</v>
      </c>
      <c r="O40" s="6">
        <f t="shared" ref="O40:O45" si="108">O$39*$AD40*$O6</f>
        <v>0</v>
      </c>
      <c r="R40" s="6">
        <f t="shared" ref="R40:R45" si="109">R$39*$AD40*$O6</f>
        <v>0</v>
      </c>
      <c r="T40" s="6">
        <f t="shared" ref="T40:T45" si="110">T$39*$AD40*$O6</f>
        <v>0</v>
      </c>
      <c r="W40" s="6">
        <f t="shared" ref="W40:W45" si="111">W$39*$AD40*$O6</f>
        <v>0</v>
      </c>
      <c r="Y40" s="6">
        <f t="shared" ref="Y40:Y45" si="112">Y$39*$AD40*$O6</f>
        <v>0</v>
      </c>
      <c r="AA40" s="6">
        <f t="shared" ref="AA40:AA45" si="113">AA$39*$AD40*$O6</f>
        <v>0</v>
      </c>
      <c r="AD40" s="6">
        <f t="shared" ref="AD40:AD45" si="114">IF(AE40=$A$39,1,0)</f>
        <v>0</v>
      </c>
      <c r="AE40" s="6">
        <f t="shared" ref="AE40:AE45" si="115">$AE6</f>
        <v>0</v>
      </c>
      <c r="AX40" s="6">
        <f t="shared" ref="AX40:AX45" si="116">IF(F40&gt;G40,1,0)</f>
        <v>0</v>
      </c>
      <c r="AY40" s="6">
        <f t="shared" ref="AY40:AY45" si="117">IF(J40&gt;K40,1,0)</f>
        <v>0</v>
      </c>
      <c r="AZ40" s="6">
        <f t="shared" ref="AZ40:AZ45" si="118">IF(N40&gt;O40,1,0)</f>
        <v>0</v>
      </c>
      <c r="BA40" s="6">
        <f t="shared" ref="BA40:BA45" si="119">IF(R40&gt;S40,1,0)</f>
        <v>0</v>
      </c>
      <c r="BB40" s="6">
        <f t="shared" ref="BB40:BB45" si="120">IF(V40&gt;W40,1,0)</f>
        <v>0</v>
      </c>
      <c r="BC40" s="6">
        <f t="shared" ref="BC40:BC45" si="121">IF(Z40&gt;AA40,1,0)</f>
        <v>0</v>
      </c>
      <c r="BD40" s="6">
        <f t="shared" ref="BD40:BD45" si="122">SUM(AX40:BC40)</f>
        <v>0</v>
      </c>
      <c r="BF40" s="6">
        <f t="shared" ref="BF40:BF45" si="123">F40-G40</f>
        <v>0</v>
      </c>
      <c r="BG40" s="6">
        <f t="shared" ref="BG40:BG45" si="124">J40-K40</f>
        <v>0</v>
      </c>
      <c r="BH40" s="6">
        <f t="shared" ref="BH40:BH45" si="125">N40-O40</f>
        <v>0</v>
      </c>
      <c r="BI40" s="6">
        <f t="shared" ref="BI40:BI45" si="126">R40-S40</f>
        <v>0</v>
      </c>
      <c r="BJ40" s="6">
        <f t="shared" ref="BJ40:BJ45" si="127">V40-W40</f>
        <v>0</v>
      </c>
      <c r="BK40" s="6">
        <f t="shared" ref="BK40:BK45" si="128">Z40-AA40</f>
        <v>0</v>
      </c>
      <c r="BL40" s="6">
        <f t="shared" ref="BL40:BL45" si="129">SUM(BF40:BK40)</f>
        <v>0</v>
      </c>
    </row>
    <row r="41" spans="1:64" ht="12" hidden="1" customHeight="1">
      <c r="A41" s="6">
        <f t="shared" si="102"/>
        <v>2</v>
      </c>
      <c r="F41" s="6">
        <f t="shared" si="103"/>
        <v>0</v>
      </c>
      <c r="G41" s="6">
        <f t="shared" si="104"/>
        <v>0</v>
      </c>
      <c r="J41" s="6">
        <f t="shared" si="105"/>
        <v>0</v>
      </c>
      <c r="K41" s="6">
        <f t="shared" si="106"/>
        <v>0</v>
      </c>
      <c r="N41" s="6">
        <f t="shared" si="107"/>
        <v>0</v>
      </c>
      <c r="O41" s="6">
        <f t="shared" si="108"/>
        <v>0</v>
      </c>
      <c r="R41" s="6">
        <f t="shared" si="109"/>
        <v>0</v>
      </c>
      <c r="T41" s="6">
        <f t="shared" si="110"/>
        <v>0</v>
      </c>
      <c r="W41" s="6">
        <f t="shared" si="111"/>
        <v>0</v>
      </c>
      <c r="Y41" s="6">
        <f t="shared" si="112"/>
        <v>0</v>
      </c>
      <c r="AA41" s="6">
        <f t="shared" si="113"/>
        <v>0</v>
      </c>
      <c r="AD41" s="6">
        <f t="shared" si="114"/>
        <v>0</v>
      </c>
      <c r="AE41" s="6">
        <f t="shared" si="115"/>
        <v>0</v>
      </c>
      <c r="AX41" s="6">
        <f t="shared" si="116"/>
        <v>0</v>
      </c>
      <c r="AY41" s="6">
        <f t="shared" si="117"/>
        <v>0</v>
      </c>
      <c r="AZ41" s="6">
        <f t="shared" si="118"/>
        <v>0</v>
      </c>
      <c r="BA41" s="6">
        <f t="shared" si="119"/>
        <v>0</v>
      </c>
      <c r="BB41" s="6">
        <f t="shared" si="120"/>
        <v>0</v>
      </c>
      <c r="BC41" s="6">
        <f t="shared" si="121"/>
        <v>0</v>
      </c>
      <c r="BD41" s="6">
        <f t="shared" si="122"/>
        <v>0</v>
      </c>
      <c r="BF41" s="6">
        <f t="shared" si="123"/>
        <v>0</v>
      </c>
      <c r="BG41" s="6">
        <f t="shared" si="124"/>
        <v>0</v>
      </c>
      <c r="BH41" s="6">
        <f t="shared" si="125"/>
        <v>0</v>
      </c>
      <c r="BI41" s="6">
        <f t="shared" si="126"/>
        <v>0</v>
      </c>
      <c r="BJ41" s="6">
        <f t="shared" si="127"/>
        <v>0</v>
      </c>
      <c r="BK41" s="6">
        <f t="shared" si="128"/>
        <v>0</v>
      </c>
      <c r="BL41" s="6">
        <f t="shared" si="129"/>
        <v>0</v>
      </c>
    </row>
    <row r="42" spans="1:64" ht="12" hidden="1" customHeight="1">
      <c r="A42" s="6">
        <f t="shared" si="102"/>
        <v>3</v>
      </c>
      <c r="F42" s="6">
        <f t="shared" si="103"/>
        <v>0</v>
      </c>
      <c r="G42" s="6">
        <f t="shared" si="104"/>
        <v>0</v>
      </c>
      <c r="J42" s="6">
        <f t="shared" si="105"/>
        <v>0</v>
      </c>
      <c r="K42" s="6">
        <f t="shared" si="106"/>
        <v>0</v>
      </c>
      <c r="N42" s="6">
        <f t="shared" si="107"/>
        <v>0</v>
      </c>
      <c r="O42" s="6">
        <f t="shared" si="108"/>
        <v>0</v>
      </c>
      <c r="R42" s="6">
        <f t="shared" si="109"/>
        <v>0</v>
      </c>
      <c r="T42" s="6">
        <f t="shared" si="110"/>
        <v>0</v>
      </c>
      <c r="W42" s="6">
        <f t="shared" si="111"/>
        <v>0</v>
      </c>
      <c r="Y42" s="6">
        <f t="shared" si="112"/>
        <v>0</v>
      </c>
      <c r="AA42" s="6">
        <f t="shared" si="113"/>
        <v>0</v>
      </c>
      <c r="AD42" s="6">
        <f t="shared" si="114"/>
        <v>0</v>
      </c>
      <c r="AE42" s="6">
        <f t="shared" si="115"/>
        <v>0</v>
      </c>
      <c r="AX42" s="6">
        <f t="shared" si="116"/>
        <v>0</v>
      </c>
      <c r="AY42" s="6">
        <f t="shared" si="117"/>
        <v>0</v>
      </c>
      <c r="AZ42" s="6">
        <f t="shared" si="118"/>
        <v>0</v>
      </c>
      <c r="BA42" s="6">
        <f t="shared" si="119"/>
        <v>0</v>
      </c>
      <c r="BB42" s="6">
        <f t="shared" si="120"/>
        <v>0</v>
      </c>
      <c r="BC42" s="6">
        <f t="shared" si="121"/>
        <v>0</v>
      </c>
      <c r="BD42" s="6">
        <f t="shared" si="122"/>
        <v>0</v>
      </c>
      <c r="BF42" s="6">
        <f t="shared" si="123"/>
        <v>0</v>
      </c>
      <c r="BG42" s="6">
        <f t="shared" si="124"/>
        <v>0</v>
      </c>
      <c r="BH42" s="6">
        <f t="shared" si="125"/>
        <v>0</v>
      </c>
      <c r="BI42" s="6">
        <f t="shared" si="126"/>
        <v>0</v>
      </c>
      <c r="BJ42" s="6">
        <f t="shared" si="127"/>
        <v>0</v>
      </c>
      <c r="BK42" s="6">
        <f t="shared" si="128"/>
        <v>0</v>
      </c>
      <c r="BL42" s="6">
        <f t="shared" si="129"/>
        <v>0</v>
      </c>
    </row>
    <row r="43" spans="1:64" ht="12" hidden="1" customHeight="1">
      <c r="A43" s="6">
        <f t="shared" si="102"/>
        <v>4</v>
      </c>
      <c r="F43" s="6">
        <f t="shared" si="103"/>
        <v>0</v>
      </c>
      <c r="G43" s="6">
        <f t="shared" si="104"/>
        <v>0</v>
      </c>
      <c r="J43" s="6">
        <f t="shared" si="105"/>
        <v>0</v>
      </c>
      <c r="K43" s="6">
        <f t="shared" si="106"/>
        <v>0</v>
      </c>
      <c r="N43" s="6">
        <f t="shared" si="107"/>
        <v>0</v>
      </c>
      <c r="O43" s="6">
        <f t="shared" si="108"/>
        <v>0</v>
      </c>
      <c r="R43" s="6">
        <f t="shared" si="109"/>
        <v>0</v>
      </c>
      <c r="T43" s="6">
        <f t="shared" si="110"/>
        <v>0</v>
      </c>
      <c r="W43" s="6">
        <f t="shared" si="111"/>
        <v>0</v>
      </c>
      <c r="Y43" s="6">
        <f t="shared" si="112"/>
        <v>0</v>
      </c>
      <c r="AA43" s="6">
        <f t="shared" si="113"/>
        <v>0</v>
      </c>
      <c r="AD43" s="6">
        <f t="shared" si="114"/>
        <v>0</v>
      </c>
      <c r="AE43" s="6">
        <f t="shared" si="115"/>
        <v>0</v>
      </c>
      <c r="AX43" s="6">
        <f t="shared" si="116"/>
        <v>0</v>
      </c>
      <c r="AY43" s="6">
        <f t="shared" si="117"/>
        <v>0</v>
      </c>
      <c r="AZ43" s="6">
        <f t="shared" si="118"/>
        <v>0</v>
      </c>
      <c r="BA43" s="6">
        <f t="shared" si="119"/>
        <v>0</v>
      </c>
      <c r="BB43" s="6">
        <f t="shared" si="120"/>
        <v>0</v>
      </c>
      <c r="BC43" s="6">
        <f t="shared" si="121"/>
        <v>0</v>
      </c>
      <c r="BD43" s="6">
        <f t="shared" si="122"/>
        <v>0</v>
      </c>
      <c r="BF43" s="6">
        <f t="shared" si="123"/>
        <v>0</v>
      </c>
      <c r="BG43" s="6">
        <f t="shared" si="124"/>
        <v>0</v>
      </c>
      <c r="BH43" s="6">
        <f t="shared" si="125"/>
        <v>0</v>
      </c>
      <c r="BI43" s="6">
        <f t="shared" si="126"/>
        <v>0</v>
      </c>
      <c r="BJ43" s="6">
        <f t="shared" si="127"/>
        <v>0</v>
      </c>
      <c r="BK43" s="6">
        <f t="shared" si="128"/>
        <v>0</v>
      </c>
      <c r="BL43" s="6">
        <f t="shared" si="129"/>
        <v>0</v>
      </c>
    </row>
    <row r="44" spans="1:64" ht="12" hidden="1" customHeight="1">
      <c r="A44" s="6">
        <f t="shared" si="102"/>
        <v>5</v>
      </c>
      <c r="F44" s="6">
        <f t="shared" si="103"/>
        <v>0</v>
      </c>
      <c r="G44" s="6">
        <f t="shared" si="104"/>
        <v>0</v>
      </c>
      <c r="J44" s="6">
        <f t="shared" si="105"/>
        <v>0</v>
      </c>
      <c r="K44" s="6">
        <f t="shared" si="106"/>
        <v>0</v>
      </c>
      <c r="N44" s="6">
        <f t="shared" si="107"/>
        <v>0</v>
      </c>
      <c r="O44" s="6">
        <f t="shared" si="108"/>
        <v>0</v>
      </c>
      <c r="R44" s="6">
        <f t="shared" si="109"/>
        <v>0</v>
      </c>
      <c r="T44" s="6">
        <f t="shared" si="110"/>
        <v>0</v>
      </c>
      <c r="W44" s="6">
        <f t="shared" si="111"/>
        <v>0</v>
      </c>
      <c r="Y44" s="6">
        <f t="shared" si="112"/>
        <v>0</v>
      </c>
      <c r="AA44" s="6">
        <f t="shared" si="113"/>
        <v>0</v>
      </c>
      <c r="AD44" s="6">
        <f t="shared" si="114"/>
        <v>0</v>
      </c>
      <c r="AE44" s="6">
        <f t="shared" si="115"/>
        <v>0</v>
      </c>
      <c r="AX44" s="6">
        <f t="shared" si="116"/>
        <v>0</v>
      </c>
      <c r="AY44" s="6">
        <f t="shared" si="117"/>
        <v>0</v>
      </c>
      <c r="AZ44" s="6">
        <f t="shared" si="118"/>
        <v>0</v>
      </c>
      <c r="BA44" s="6">
        <f t="shared" si="119"/>
        <v>0</v>
      </c>
      <c r="BB44" s="6">
        <f t="shared" si="120"/>
        <v>0</v>
      </c>
      <c r="BC44" s="6">
        <f t="shared" si="121"/>
        <v>0</v>
      </c>
      <c r="BD44" s="6">
        <f t="shared" si="122"/>
        <v>0</v>
      </c>
      <c r="BF44" s="6">
        <f t="shared" si="123"/>
        <v>0</v>
      </c>
      <c r="BG44" s="6">
        <f t="shared" si="124"/>
        <v>0</v>
      </c>
      <c r="BH44" s="6">
        <f t="shared" si="125"/>
        <v>0</v>
      </c>
      <c r="BI44" s="6">
        <f t="shared" si="126"/>
        <v>0</v>
      </c>
      <c r="BJ44" s="6">
        <f t="shared" si="127"/>
        <v>0</v>
      </c>
      <c r="BK44" s="6">
        <f t="shared" si="128"/>
        <v>0</v>
      </c>
      <c r="BL44" s="6">
        <f t="shared" si="129"/>
        <v>0</v>
      </c>
    </row>
    <row r="45" spans="1:64" ht="12" hidden="1" customHeight="1">
      <c r="A45" s="6">
        <f t="shared" si="102"/>
        <v>6</v>
      </c>
      <c r="F45" s="6">
        <f t="shared" si="103"/>
        <v>0</v>
      </c>
      <c r="G45" s="6">
        <f t="shared" si="104"/>
        <v>0</v>
      </c>
      <c r="J45" s="6">
        <f t="shared" si="105"/>
        <v>0</v>
      </c>
      <c r="K45" s="6">
        <f t="shared" si="106"/>
        <v>0</v>
      </c>
      <c r="N45" s="6">
        <f t="shared" si="107"/>
        <v>0</v>
      </c>
      <c r="O45" s="6">
        <f t="shared" si="108"/>
        <v>0</v>
      </c>
      <c r="R45" s="6">
        <f t="shared" si="109"/>
        <v>0</v>
      </c>
      <c r="T45" s="6">
        <f t="shared" si="110"/>
        <v>0</v>
      </c>
      <c r="W45" s="6">
        <f t="shared" si="111"/>
        <v>0</v>
      </c>
      <c r="Y45" s="6">
        <f t="shared" si="112"/>
        <v>0</v>
      </c>
      <c r="AA45" s="6">
        <f t="shared" si="113"/>
        <v>0</v>
      </c>
      <c r="AD45" s="6">
        <f t="shared" si="114"/>
        <v>0</v>
      </c>
      <c r="AE45" s="6">
        <f t="shared" si="115"/>
        <v>0</v>
      </c>
      <c r="AX45" s="6">
        <f t="shared" si="116"/>
        <v>0</v>
      </c>
      <c r="AY45" s="6">
        <f t="shared" si="117"/>
        <v>0</v>
      </c>
      <c r="AZ45" s="6">
        <f t="shared" si="118"/>
        <v>0</v>
      </c>
      <c r="BA45" s="6">
        <f t="shared" si="119"/>
        <v>0</v>
      </c>
      <c r="BB45" s="6">
        <f t="shared" si="120"/>
        <v>0</v>
      </c>
      <c r="BC45" s="6">
        <f t="shared" si="121"/>
        <v>0</v>
      </c>
      <c r="BD45" s="6">
        <f t="shared" si="122"/>
        <v>0</v>
      </c>
      <c r="BF45" s="6">
        <f t="shared" si="123"/>
        <v>0</v>
      </c>
      <c r="BG45" s="6">
        <f t="shared" si="124"/>
        <v>0</v>
      </c>
      <c r="BH45" s="6">
        <f t="shared" si="125"/>
        <v>0</v>
      </c>
      <c r="BI45" s="6">
        <f t="shared" si="126"/>
        <v>0</v>
      </c>
      <c r="BJ45" s="6">
        <f t="shared" si="127"/>
        <v>0</v>
      </c>
      <c r="BK45" s="6">
        <f t="shared" si="128"/>
        <v>0</v>
      </c>
      <c r="BL45" s="6">
        <f t="shared" si="129"/>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AG51</f>
        <v>0</v>
      </c>
      <c r="S48" s="69"/>
      <c r="T48" s="69">
        <f>AI51</f>
        <v>0</v>
      </c>
      <c r="U48" s="69"/>
      <c r="V48" s="69"/>
      <c r="W48" s="69">
        <f>AL51</f>
        <v>0</v>
      </c>
      <c r="X48" s="69"/>
      <c r="Y48" s="69">
        <f>AN51</f>
        <v>0</v>
      </c>
      <c r="Z48" s="69"/>
      <c r="AA48" s="69">
        <f>AP51</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0">$A6</f>
        <v>1</v>
      </c>
      <c r="F49" s="6">
        <f t="shared" ref="F49:F54" si="131">F$48*$AD49*$F6</f>
        <v>0</v>
      </c>
      <c r="G49" s="6">
        <f t="shared" ref="G49:G54" si="132">G$48*$AD49*$G6</f>
        <v>0</v>
      </c>
      <c r="J49" s="6">
        <f t="shared" ref="J49:J54" si="133">J$48*$AD49*$J6</f>
        <v>0</v>
      </c>
      <c r="K49" s="6">
        <f t="shared" ref="K49:K54" si="134">K$48*$AD49*$K6</f>
        <v>0</v>
      </c>
      <c r="N49" s="6">
        <f t="shared" ref="N49:N54" si="135">N$48*$AD49*$N6</f>
        <v>0</v>
      </c>
      <c r="O49" s="6">
        <f t="shared" ref="O49:O54" si="136">O$48*$AD49*$O6</f>
        <v>0</v>
      </c>
      <c r="R49" s="6">
        <f t="shared" ref="R49:R54" si="137">R$48*$AD49*$O6</f>
        <v>0</v>
      </c>
      <c r="T49" s="6">
        <f t="shared" ref="T49:T54" si="138">T$48*$AD49*$O6</f>
        <v>0</v>
      </c>
      <c r="W49" s="6">
        <f t="shared" ref="W49:W54" si="139">W$48*$AD49*$O6</f>
        <v>0</v>
      </c>
      <c r="Y49" s="6">
        <f t="shared" ref="Y49:Y54" si="140">Y$48*$AD49*$O6</f>
        <v>0</v>
      </c>
      <c r="AA49" s="6">
        <f t="shared" ref="AA49:AA54" si="141">AA$48*$AD49*$O6</f>
        <v>0</v>
      </c>
      <c r="AD49" s="6">
        <f t="shared" ref="AD49:AD54" si="142">IF(AE49=$A$48,1,0)</f>
        <v>0</v>
      </c>
      <c r="AE49" s="6">
        <f t="shared" ref="AE49:AE54" si="143">$AE6</f>
        <v>0</v>
      </c>
      <c r="AX49" s="6">
        <f t="shared" ref="AX49:AX54" si="144">IF(F49&gt;G49,1,0)</f>
        <v>0</v>
      </c>
      <c r="AY49" s="6">
        <f t="shared" ref="AY49:AY54" si="145">IF(J49&gt;K49,1,0)</f>
        <v>0</v>
      </c>
      <c r="AZ49" s="6">
        <f t="shared" ref="AZ49:AZ54" si="146">IF(N49&gt;O49,1,0)</f>
        <v>0</v>
      </c>
      <c r="BA49" s="6">
        <f t="shared" ref="BA49:BA54" si="147">IF(R49&gt;S49,1,0)</f>
        <v>0</v>
      </c>
      <c r="BB49" s="6">
        <f t="shared" ref="BB49:BB54" si="148">IF(V49&gt;W49,1,0)</f>
        <v>0</v>
      </c>
      <c r="BC49" s="6">
        <f t="shared" ref="BC49:BC54" si="149">IF(Z49&gt;AA49,1,0)</f>
        <v>0</v>
      </c>
      <c r="BD49" s="6">
        <f t="shared" ref="BD49:BD54" si="150">SUM(AX49:BC49)</f>
        <v>0</v>
      </c>
      <c r="BF49" s="6">
        <f t="shared" ref="BF49:BF54" si="151">F49-G49</f>
        <v>0</v>
      </c>
      <c r="BG49" s="6">
        <f t="shared" ref="BG49:BG54" si="152">J49-K49</f>
        <v>0</v>
      </c>
      <c r="BH49" s="6">
        <f t="shared" ref="BH49:BH54" si="153">N49-O49</f>
        <v>0</v>
      </c>
      <c r="BI49" s="6">
        <f t="shared" ref="BI49:BI54" si="154">R49-S49</f>
        <v>0</v>
      </c>
      <c r="BJ49" s="6">
        <f t="shared" ref="BJ49:BJ54" si="155">V49-W49</f>
        <v>0</v>
      </c>
      <c r="BK49" s="6">
        <f t="shared" ref="BK49:BK54" si="156">Z49-AA49</f>
        <v>0</v>
      </c>
      <c r="BL49" s="6">
        <f t="shared" ref="BL49:BL54" si="157">SUM(BF49:BK49)</f>
        <v>0</v>
      </c>
    </row>
    <row r="50" spans="1:64" ht="12" hidden="1" customHeight="1">
      <c r="A50" s="6">
        <f t="shared" si="130"/>
        <v>2</v>
      </c>
      <c r="F50" s="6">
        <f t="shared" si="131"/>
        <v>0</v>
      </c>
      <c r="G50" s="6">
        <f t="shared" si="132"/>
        <v>0</v>
      </c>
      <c r="J50" s="6">
        <f t="shared" si="133"/>
        <v>0</v>
      </c>
      <c r="K50" s="6">
        <f t="shared" si="134"/>
        <v>0</v>
      </c>
      <c r="N50" s="6">
        <f t="shared" si="135"/>
        <v>0</v>
      </c>
      <c r="O50" s="6">
        <f t="shared" si="136"/>
        <v>0</v>
      </c>
      <c r="R50" s="6">
        <f t="shared" si="137"/>
        <v>0</v>
      </c>
      <c r="T50" s="6">
        <f t="shared" si="138"/>
        <v>0</v>
      </c>
      <c r="W50" s="6">
        <f t="shared" si="139"/>
        <v>0</v>
      </c>
      <c r="Y50" s="6">
        <f t="shared" si="140"/>
        <v>0</v>
      </c>
      <c r="AA50" s="6">
        <f t="shared" si="141"/>
        <v>0</v>
      </c>
      <c r="AD50" s="6">
        <f t="shared" si="142"/>
        <v>0</v>
      </c>
      <c r="AE50" s="6">
        <f t="shared" si="143"/>
        <v>0</v>
      </c>
      <c r="AX50" s="6">
        <f t="shared" si="144"/>
        <v>0</v>
      </c>
      <c r="AY50" s="6">
        <f t="shared" si="145"/>
        <v>0</v>
      </c>
      <c r="AZ50" s="6">
        <f t="shared" si="146"/>
        <v>0</v>
      </c>
      <c r="BA50" s="6">
        <f t="shared" si="147"/>
        <v>0</v>
      </c>
      <c r="BB50" s="6">
        <f t="shared" si="148"/>
        <v>0</v>
      </c>
      <c r="BC50" s="6">
        <f t="shared" si="149"/>
        <v>0</v>
      </c>
      <c r="BD50" s="6">
        <f t="shared" si="150"/>
        <v>0</v>
      </c>
      <c r="BF50" s="6">
        <f t="shared" si="151"/>
        <v>0</v>
      </c>
      <c r="BG50" s="6">
        <f t="shared" si="152"/>
        <v>0</v>
      </c>
      <c r="BH50" s="6">
        <f t="shared" si="153"/>
        <v>0</v>
      </c>
      <c r="BI50" s="6">
        <f t="shared" si="154"/>
        <v>0</v>
      </c>
      <c r="BJ50" s="6">
        <f t="shared" si="155"/>
        <v>0</v>
      </c>
      <c r="BK50" s="6">
        <f t="shared" si="156"/>
        <v>0</v>
      </c>
      <c r="BL50" s="6">
        <f t="shared" si="157"/>
        <v>0</v>
      </c>
    </row>
    <row r="51" spans="1:64" ht="12" hidden="1" customHeight="1">
      <c r="A51" s="6">
        <f t="shared" si="130"/>
        <v>3</v>
      </c>
      <c r="F51" s="6">
        <f t="shared" si="131"/>
        <v>0</v>
      </c>
      <c r="G51" s="6">
        <f t="shared" si="132"/>
        <v>0</v>
      </c>
      <c r="J51" s="6">
        <f t="shared" si="133"/>
        <v>0</v>
      </c>
      <c r="K51" s="6">
        <f t="shared" si="134"/>
        <v>0</v>
      </c>
      <c r="N51" s="6">
        <f t="shared" si="135"/>
        <v>0</v>
      </c>
      <c r="O51" s="6">
        <f t="shared" si="136"/>
        <v>0</v>
      </c>
      <c r="R51" s="6">
        <f t="shared" si="137"/>
        <v>0</v>
      </c>
      <c r="T51" s="6">
        <f t="shared" si="138"/>
        <v>0</v>
      </c>
      <c r="W51" s="6">
        <f t="shared" si="139"/>
        <v>0</v>
      </c>
      <c r="Y51" s="6">
        <f t="shared" si="140"/>
        <v>0</v>
      </c>
      <c r="AA51" s="6">
        <f t="shared" si="141"/>
        <v>0</v>
      </c>
      <c r="AD51" s="6">
        <f t="shared" si="142"/>
        <v>0</v>
      </c>
      <c r="AE51" s="6">
        <f t="shared" si="143"/>
        <v>0</v>
      </c>
      <c r="AX51" s="6">
        <f t="shared" si="144"/>
        <v>0</v>
      </c>
      <c r="AY51" s="6">
        <f t="shared" si="145"/>
        <v>0</v>
      </c>
      <c r="AZ51" s="6">
        <f t="shared" si="146"/>
        <v>0</v>
      </c>
      <c r="BA51" s="6">
        <f t="shared" si="147"/>
        <v>0</v>
      </c>
      <c r="BB51" s="6">
        <f t="shared" si="148"/>
        <v>0</v>
      </c>
      <c r="BC51" s="6">
        <f t="shared" si="149"/>
        <v>0</v>
      </c>
      <c r="BD51" s="6">
        <f t="shared" si="150"/>
        <v>0</v>
      </c>
      <c r="BF51" s="6">
        <f t="shared" si="151"/>
        <v>0</v>
      </c>
      <c r="BG51" s="6">
        <f t="shared" si="152"/>
        <v>0</v>
      </c>
      <c r="BH51" s="6">
        <f t="shared" si="153"/>
        <v>0</v>
      </c>
      <c r="BI51" s="6">
        <f t="shared" si="154"/>
        <v>0</v>
      </c>
      <c r="BJ51" s="6">
        <f t="shared" si="155"/>
        <v>0</v>
      </c>
      <c r="BK51" s="6">
        <f t="shared" si="156"/>
        <v>0</v>
      </c>
      <c r="BL51" s="6">
        <f t="shared" si="157"/>
        <v>0</v>
      </c>
    </row>
    <row r="52" spans="1:64" ht="12" hidden="1" customHeight="1">
      <c r="A52" s="6">
        <f t="shared" si="130"/>
        <v>4</v>
      </c>
      <c r="F52" s="6">
        <f t="shared" si="131"/>
        <v>0</v>
      </c>
      <c r="G52" s="6">
        <f t="shared" si="132"/>
        <v>0</v>
      </c>
      <c r="J52" s="6">
        <f t="shared" si="133"/>
        <v>0</v>
      </c>
      <c r="K52" s="6">
        <f t="shared" si="134"/>
        <v>0</v>
      </c>
      <c r="N52" s="6">
        <f t="shared" si="135"/>
        <v>0</v>
      </c>
      <c r="O52" s="6">
        <f t="shared" si="136"/>
        <v>0</v>
      </c>
      <c r="R52" s="6">
        <f t="shared" si="137"/>
        <v>0</v>
      </c>
      <c r="T52" s="6">
        <f t="shared" si="138"/>
        <v>0</v>
      </c>
      <c r="W52" s="6">
        <f t="shared" si="139"/>
        <v>0</v>
      </c>
      <c r="Y52" s="6">
        <f t="shared" si="140"/>
        <v>0</v>
      </c>
      <c r="AA52" s="6">
        <f t="shared" si="141"/>
        <v>0</v>
      </c>
      <c r="AD52" s="6">
        <f t="shared" si="142"/>
        <v>0</v>
      </c>
      <c r="AE52" s="6">
        <f t="shared" si="143"/>
        <v>0</v>
      </c>
      <c r="AX52" s="6">
        <f t="shared" si="144"/>
        <v>0</v>
      </c>
      <c r="AY52" s="6">
        <f t="shared" si="145"/>
        <v>0</v>
      </c>
      <c r="AZ52" s="6">
        <f t="shared" si="146"/>
        <v>0</v>
      </c>
      <c r="BA52" s="6">
        <f t="shared" si="147"/>
        <v>0</v>
      </c>
      <c r="BB52" s="6">
        <f t="shared" si="148"/>
        <v>0</v>
      </c>
      <c r="BC52" s="6">
        <f t="shared" si="149"/>
        <v>0</v>
      </c>
      <c r="BD52" s="6">
        <f t="shared" si="150"/>
        <v>0</v>
      </c>
      <c r="BF52" s="6">
        <f t="shared" si="151"/>
        <v>0</v>
      </c>
      <c r="BG52" s="6">
        <f t="shared" si="152"/>
        <v>0</v>
      </c>
      <c r="BH52" s="6">
        <f t="shared" si="153"/>
        <v>0</v>
      </c>
      <c r="BI52" s="6">
        <f t="shared" si="154"/>
        <v>0</v>
      </c>
      <c r="BJ52" s="6">
        <f t="shared" si="155"/>
        <v>0</v>
      </c>
      <c r="BK52" s="6">
        <f t="shared" si="156"/>
        <v>0</v>
      </c>
      <c r="BL52" s="6">
        <f t="shared" si="157"/>
        <v>0</v>
      </c>
    </row>
    <row r="53" spans="1:64" ht="12" hidden="1" customHeight="1">
      <c r="A53" s="6">
        <f t="shared" si="130"/>
        <v>5</v>
      </c>
      <c r="F53" s="6">
        <f t="shared" si="131"/>
        <v>0</v>
      </c>
      <c r="G53" s="6">
        <f t="shared" si="132"/>
        <v>0</v>
      </c>
      <c r="J53" s="6">
        <f t="shared" si="133"/>
        <v>0</v>
      </c>
      <c r="K53" s="6">
        <f t="shared" si="134"/>
        <v>0</v>
      </c>
      <c r="N53" s="6">
        <f t="shared" si="135"/>
        <v>0</v>
      </c>
      <c r="O53" s="6">
        <f t="shared" si="136"/>
        <v>0</v>
      </c>
      <c r="R53" s="6">
        <f t="shared" si="137"/>
        <v>0</v>
      </c>
      <c r="T53" s="6">
        <f t="shared" si="138"/>
        <v>0</v>
      </c>
      <c r="W53" s="6">
        <f t="shared" si="139"/>
        <v>0</v>
      </c>
      <c r="Y53" s="6">
        <f t="shared" si="140"/>
        <v>0</v>
      </c>
      <c r="AA53" s="6">
        <f t="shared" si="141"/>
        <v>0</v>
      </c>
      <c r="AD53" s="6">
        <f t="shared" si="142"/>
        <v>0</v>
      </c>
      <c r="AE53" s="6">
        <f t="shared" si="143"/>
        <v>0</v>
      </c>
      <c r="AX53" s="6">
        <f t="shared" si="144"/>
        <v>0</v>
      </c>
      <c r="AY53" s="6">
        <f t="shared" si="145"/>
        <v>0</v>
      </c>
      <c r="AZ53" s="6">
        <f t="shared" si="146"/>
        <v>0</v>
      </c>
      <c r="BA53" s="6">
        <f t="shared" si="147"/>
        <v>0</v>
      </c>
      <c r="BB53" s="6">
        <f t="shared" si="148"/>
        <v>0</v>
      </c>
      <c r="BC53" s="6">
        <f t="shared" si="149"/>
        <v>0</v>
      </c>
      <c r="BD53" s="6">
        <f t="shared" si="150"/>
        <v>0</v>
      </c>
      <c r="BF53" s="6">
        <f t="shared" si="151"/>
        <v>0</v>
      </c>
      <c r="BG53" s="6">
        <f t="shared" si="152"/>
        <v>0</v>
      </c>
      <c r="BH53" s="6">
        <f t="shared" si="153"/>
        <v>0</v>
      </c>
      <c r="BI53" s="6">
        <f t="shared" si="154"/>
        <v>0</v>
      </c>
      <c r="BJ53" s="6">
        <f t="shared" si="155"/>
        <v>0</v>
      </c>
      <c r="BK53" s="6">
        <f t="shared" si="156"/>
        <v>0</v>
      </c>
      <c r="BL53" s="6">
        <f t="shared" si="157"/>
        <v>0</v>
      </c>
    </row>
    <row r="54" spans="1:64" ht="12" hidden="1" customHeight="1">
      <c r="A54" s="6">
        <f t="shared" si="130"/>
        <v>6</v>
      </c>
      <c r="F54" s="6">
        <f t="shared" si="131"/>
        <v>0</v>
      </c>
      <c r="G54" s="6">
        <f t="shared" si="132"/>
        <v>0</v>
      </c>
      <c r="J54" s="6">
        <f t="shared" si="133"/>
        <v>0</v>
      </c>
      <c r="K54" s="6">
        <f t="shared" si="134"/>
        <v>0</v>
      </c>
      <c r="N54" s="6">
        <f t="shared" si="135"/>
        <v>0</v>
      </c>
      <c r="O54" s="6">
        <f t="shared" si="136"/>
        <v>0</v>
      </c>
      <c r="R54" s="6">
        <f t="shared" si="137"/>
        <v>0</v>
      </c>
      <c r="T54" s="6">
        <f t="shared" si="138"/>
        <v>0</v>
      </c>
      <c r="W54" s="6">
        <f t="shared" si="139"/>
        <v>0</v>
      </c>
      <c r="Y54" s="6">
        <f t="shared" si="140"/>
        <v>0</v>
      </c>
      <c r="AA54" s="6">
        <f t="shared" si="141"/>
        <v>0</v>
      </c>
      <c r="AD54" s="6">
        <f t="shared" si="142"/>
        <v>0</v>
      </c>
      <c r="AE54" s="6">
        <f t="shared" si="143"/>
        <v>0</v>
      </c>
      <c r="AX54" s="6">
        <f t="shared" si="144"/>
        <v>0</v>
      </c>
      <c r="AY54" s="6">
        <f t="shared" si="145"/>
        <v>0</v>
      </c>
      <c r="AZ54" s="6">
        <f t="shared" si="146"/>
        <v>0</v>
      </c>
      <c r="BA54" s="6">
        <f t="shared" si="147"/>
        <v>0</v>
      </c>
      <c r="BB54" s="6">
        <f t="shared" si="148"/>
        <v>0</v>
      </c>
      <c r="BC54" s="6">
        <f t="shared" si="149"/>
        <v>0</v>
      </c>
      <c r="BD54" s="6">
        <f t="shared" si="150"/>
        <v>0</v>
      </c>
      <c r="BF54" s="6">
        <f t="shared" si="151"/>
        <v>0</v>
      </c>
      <c r="BG54" s="6">
        <f t="shared" si="152"/>
        <v>0</v>
      </c>
      <c r="BH54" s="6">
        <f t="shared" si="153"/>
        <v>0</v>
      </c>
      <c r="BI54" s="6">
        <f t="shared" si="154"/>
        <v>0</v>
      </c>
      <c r="BJ54" s="6">
        <f t="shared" si="155"/>
        <v>0</v>
      </c>
      <c r="BK54" s="6">
        <f t="shared" si="156"/>
        <v>0</v>
      </c>
      <c r="BL54" s="6">
        <f t="shared" si="157"/>
        <v>0</v>
      </c>
    </row>
    <row r="55" spans="1:64" ht="33.75" customHeight="1">
      <c r="A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row>
    <row r="56" spans="1:64" ht="19.5" customHeight="1">
      <c r="A56" s="255"/>
      <c r="B56" s="265" t="str">
        <f>IF($G$1&lt;2,"","Rozpis hry")</f>
        <v>Rozpis hry</v>
      </c>
      <c r="C56" s="266" t="str">
        <f>IF($G$1&lt;2,"","kolo")</f>
        <v>kolo</v>
      </c>
      <c r="D56" s="255"/>
      <c r="F56" s="266" t="str">
        <f>IF($G$1&lt;2,"","hřiště")</f>
        <v>hřiště</v>
      </c>
      <c r="G56" s="267">
        <f ca="1">IF($G$1&lt;2,"",$R$1)</f>
        <v>1</v>
      </c>
      <c r="H56" s="255"/>
      <c r="I56" s="255"/>
      <c r="J56" s="266" t="str">
        <f>IF($G$1&gt;3,"hřiště","")</f>
        <v>hřiště</v>
      </c>
      <c r="K56" s="267">
        <f ca="1">IF($G$1&gt;3,G56+1,"")</f>
        <v>2</v>
      </c>
      <c r="L56" s="255"/>
      <c r="M56" s="255"/>
      <c r="N56" s="266" t="str">
        <f>IF($G$1&gt;5,"hřiště","")</f>
        <v/>
      </c>
      <c r="O56" s="267" t="str">
        <f>IF($G$1&gt;5,G56+2,"")</f>
        <v/>
      </c>
      <c r="P56" s="255"/>
      <c r="Q56" s="255"/>
      <c r="R56" s="255"/>
      <c r="S56" s="255"/>
      <c r="T56" s="255"/>
      <c r="U56" s="255"/>
      <c r="V56" s="255"/>
      <c r="W56" s="255"/>
      <c r="X56" s="255"/>
      <c r="Y56" s="255"/>
      <c r="Z56" s="255"/>
      <c r="AA56" s="255"/>
      <c r="AB56" s="255"/>
      <c r="AC56" s="255"/>
    </row>
    <row r="57" spans="1:64" ht="6" customHeight="1">
      <c r="A57" s="255"/>
      <c r="B57" s="255"/>
      <c r="C57" s="268"/>
      <c r="D57" s="255"/>
      <c r="E57" s="255"/>
      <c r="F57" s="255"/>
      <c r="G57" s="255"/>
      <c r="H57" s="269"/>
      <c r="I57" s="255"/>
      <c r="J57" s="255"/>
      <c r="K57" s="269"/>
      <c r="L57" s="255"/>
      <c r="M57" s="255"/>
      <c r="N57" s="255"/>
      <c r="O57" s="255"/>
      <c r="P57" s="255"/>
      <c r="Q57" s="255"/>
      <c r="R57" s="255"/>
      <c r="S57" s="255"/>
      <c r="T57" s="255"/>
      <c r="U57" s="255"/>
      <c r="V57" s="255"/>
      <c r="W57" s="255"/>
      <c r="X57" s="255"/>
      <c r="Y57" s="255"/>
      <c r="Z57" s="255"/>
      <c r="AA57" s="255"/>
      <c r="AB57" s="255"/>
      <c r="AC57" s="255"/>
    </row>
    <row r="58" spans="1:64" ht="11.25" customHeight="1">
      <c r="A58" s="255"/>
      <c r="B58" s="255"/>
      <c r="C58" s="270" t="str">
        <f>IF($G$1&lt;2,"","1.")</f>
        <v>1.</v>
      </c>
      <c r="D58" s="271"/>
      <c r="E58" s="271"/>
      <c r="F58" s="272">
        <f>IF($G$1=0,"",CHOOSE($G$1,"",1,1,1,2,1))</f>
        <v>2</v>
      </c>
      <c r="G58" s="271">
        <f>IF($G$1=0,"",CHOOSE($G$1,"",2,3,4,4,5))</f>
        <v>4</v>
      </c>
      <c r="H58" s="271"/>
      <c r="I58" s="271"/>
      <c r="J58" s="272">
        <f>IF($G$1=0,"",CHOOSE($G$1,"","","",2,5,2))</f>
        <v>5</v>
      </c>
      <c r="K58" s="271">
        <f>IF($G$1=0,"",CHOOSE($G$1,"","","",3,1,4))</f>
        <v>1</v>
      </c>
      <c r="L58" s="271"/>
      <c r="M58" s="271"/>
      <c r="N58" s="272" t="str">
        <f>IF($G$1=0,"",CHOOSE($G$1,"","","","","",3))</f>
        <v/>
      </c>
      <c r="O58" s="271" t="str">
        <f>IF($G$1=0,"",CHOOSE($G$1,"","","","","",6))</f>
        <v/>
      </c>
      <c r="P58" s="255"/>
      <c r="Q58" s="255"/>
      <c r="R58" s="255"/>
      <c r="S58" s="255"/>
      <c r="T58" s="255"/>
      <c r="U58" s="255"/>
      <c r="V58" s="255"/>
      <c r="W58" s="255"/>
      <c r="X58" s="255"/>
      <c r="Y58" s="255"/>
      <c r="Z58" s="255"/>
      <c r="AA58" s="255"/>
      <c r="AB58" s="255"/>
      <c r="AC58" s="255"/>
    </row>
    <row r="59" spans="1:64" ht="11.25" customHeight="1">
      <c r="A59" s="255"/>
      <c r="B59" s="255"/>
      <c r="C59" s="270" t="str">
        <f>IF($G$1&gt;2,"2.","")</f>
        <v>2.</v>
      </c>
      <c r="D59" s="271"/>
      <c r="E59" s="271"/>
      <c r="F59" s="272">
        <f>IF($G$1=0,"",CHOOSE($G$1,"","",1,1,1,1))</f>
        <v>1</v>
      </c>
      <c r="G59" s="271">
        <f>IF($G$1=0,"",CHOOSE($G$1,"","",2,3,4,4))</f>
        <v>4</v>
      </c>
      <c r="H59" s="271"/>
      <c r="I59" s="271"/>
      <c r="J59" s="272">
        <f>IF($G$1=0,"",CHOOSE($G$1,"","","",2,2,5))</f>
        <v>2</v>
      </c>
      <c r="K59" s="271">
        <f>IF($G$1=0,"",CHOOSE($G$1,"","","",4,3,6))</f>
        <v>3</v>
      </c>
      <c r="L59" s="271"/>
      <c r="M59" s="271"/>
      <c r="N59" s="272" t="str">
        <f>IF($G$1=0,"",CHOOSE($G$1,"","","","","",2))</f>
        <v/>
      </c>
      <c r="O59" s="271" t="str">
        <f>IF($G$1=0,"",CHOOSE($G$1,"","","","","",3))</f>
        <v/>
      </c>
      <c r="P59" s="255"/>
      <c r="Q59" s="255"/>
      <c r="R59" s="255"/>
      <c r="S59" s="255"/>
      <c r="T59" s="255"/>
      <c r="U59" s="255"/>
      <c r="V59" s="255"/>
      <c r="W59" s="255"/>
      <c r="X59" s="255"/>
      <c r="Y59" s="255"/>
      <c r="Z59" s="255"/>
      <c r="AA59" s="255"/>
      <c r="AB59" s="255"/>
      <c r="AC59" s="255"/>
    </row>
    <row r="60" spans="1:64" ht="11.25" customHeight="1">
      <c r="A60" s="255"/>
      <c r="B60" s="255"/>
      <c r="C60" s="270" t="str">
        <f>IF($G$1&gt;2,"3.","")</f>
        <v>3.</v>
      </c>
      <c r="D60" s="271"/>
      <c r="E60" s="271"/>
      <c r="F60" s="272">
        <f>IF($G$1=0,"",CHOOSE($G$1,"","",2,1,1,2))</f>
        <v>1</v>
      </c>
      <c r="G60" s="271">
        <f>IF($G$1=0,"",CHOOSE($G$1,"","",3,2,3,6))</f>
        <v>3</v>
      </c>
      <c r="H60" s="271"/>
      <c r="I60" s="271"/>
      <c r="J60" s="272">
        <f>IF($G$1=0,"",CHOOSE($G$1,"","","",3,4,1))</f>
        <v>4</v>
      </c>
      <c r="K60" s="271">
        <f>IF($G$1=0,"",CHOOSE($G$1,"","","",4,5,3))</f>
        <v>5</v>
      </c>
      <c r="L60" s="271"/>
      <c r="M60" s="271"/>
      <c r="N60" s="272" t="str">
        <f>IF($G$1=0,"",CHOOSE($G$1,"","","","","",4))</f>
        <v/>
      </c>
      <c r="O60" s="271" t="str">
        <f>IF($G$1=0,"",CHOOSE($G$1,"","","","","",5))</f>
        <v/>
      </c>
      <c r="P60" s="255"/>
      <c r="Q60" s="255"/>
      <c r="R60" s="255"/>
      <c r="S60" s="255"/>
      <c r="T60" s="255"/>
      <c r="U60" s="255"/>
      <c r="V60" s="255"/>
      <c r="W60" s="255"/>
      <c r="X60" s="255"/>
      <c r="Y60" s="255"/>
      <c r="Z60" s="255"/>
      <c r="AA60" s="255"/>
      <c r="AB60" s="255"/>
      <c r="AC60" s="255"/>
    </row>
    <row r="61" spans="1:64" ht="11.25" customHeight="1">
      <c r="A61" s="255"/>
      <c r="B61" s="255"/>
      <c r="C61" s="270" t="str">
        <f>IF($G$1&gt;4,"4.","")</f>
        <v>4.</v>
      </c>
      <c r="D61" s="271"/>
      <c r="E61" s="271"/>
      <c r="F61" s="272">
        <f>IF($G$1=0,"",CHOOSE($G$1,"","","","",3,3))</f>
        <v>3</v>
      </c>
      <c r="G61" s="271">
        <f>IF($G$1=0,"",CHOOSE($G$1,"","","","",5,5))</f>
        <v>5</v>
      </c>
      <c r="H61" s="271"/>
      <c r="I61" s="271"/>
      <c r="J61" s="272">
        <f>IF($G$1=0,"",CHOOSE($G$1,"","","","",1,4))</f>
        <v>1</v>
      </c>
      <c r="K61" s="271">
        <f>IF($G$1=0,"",CHOOSE($G$1,"","","","",2,6))</f>
        <v>2</v>
      </c>
      <c r="L61" s="271"/>
      <c r="M61" s="271"/>
      <c r="N61" s="272" t="str">
        <f t="shared" ref="N61:N62" si="158">IF($G$1=0,"",CHOOSE($G$1,"","","","","",1))</f>
        <v/>
      </c>
      <c r="O61" s="271" t="str">
        <f>IF($G$1=0,"",CHOOSE($G$1,"","","","","",2))</f>
        <v/>
      </c>
      <c r="P61" s="255"/>
      <c r="Q61" s="255"/>
      <c r="R61" s="255"/>
      <c r="S61" s="255"/>
      <c r="T61" s="255"/>
      <c r="U61" s="255"/>
      <c r="V61" s="255"/>
      <c r="W61" s="255"/>
      <c r="X61" s="255"/>
      <c r="Y61" s="255"/>
      <c r="Z61" s="255"/>
      <c r="AA61" s="255"/>
      <c r="AB61" s="255"/>
      <c r="AC61" s="255"/>
    </row>
    <row r="62" spans="1:64" ht="11.25" customHeight="1">
      <c r="A62" s="255"/>
      <c r="B62" s="255"/>
      <c r="C62" s="270" t="str">
        <f>IF($G$1&gt;4,"5.","")</f>
        <v>5.</v>
      </c>
      <c r="D62" s="271"/>
      <c r="E62" s="271"/>
      <c r="F62" s="272">
        <f>IF($G$1=0,"",CHOOSE($G$1,"","","","",2,3))</f>
        <v>2</v>
      </c>
      <c r="G62" s="271">
        <f>IF($G$1=0,"",CHOOSE($G$1,"","","","",5,4))</f>
        <v>5</v>
      </c>
      <c r="H62" s="271"/>
      <c r="I62" s="271"/>
      <c r="J62" s="272">
        <f>IF($G$1=0,"",CHOOSE($G$1,"","","","",3,2))</f>
        <v>3</v>
      </c>
      <c r="K62" s="271">
        <f>IF($G$1=0,"",CHOOSE($G$1,"","","","",4,5))</f>
        <v>4</v>
      </c>
      <c r="L62" s="271"/>
      <c r="M62" s="271"/>
      <c r="N62" s="272" t="str">
        <f t="shared" si="158"/>
        <v/>
      </c>
      <c r="O62" s="271" t="str">
        <f>IF($G$1=0,"",CHOOSE($G$1,"","","","","",6))</f>
        <v/>
      </c>
      <c r="P62" s="255"/>
      <c r="Q62" s="255"/>
      <c r="R62" s="255"/>
      <c r="S62" s="255"/>
      <c r="T62" s="255"/>
      <c r="U62" s="255"/>
      <c r="V62" s="255"/>
      <c r="W62" s="255"/>
      <c r="X62" s="255"/>
      <c r="Y62" s="255"/>
      <c r="Z62" s="255"/>
      <c r="AA62" s="255"/>
      <c r="AB62" s="255"/>
      <c r="AC62" s="255"/>
    </row>
    <row r="63" spans="1:64" ht="12" customHeight="1">
      <c r="A63" s="255"/>
      <c r="B63" s="255"/>
      <c r="C63" s="273"/>
      <c r="D63" s="255"/>
      <c r="E63" s="255"/>
      <c r="F63" s="255"/>
      <c r="G63" s="255"/>
      <c r="H63" s="255"/>
      <c r="I63" s="255"/>
      <c r="J63" s="255"/>
      <c r="K63" s="255"/>
      <c r="L63" s="255"/>
      <c r="M63" s="255"/>
      <c r="N63" s="255"/>
      <c r="O63" s="273"/>
      <c r="P63" s="273"/>
      <c r="Q63" s="273"/>
      <c r="R63" s="255"/>
      <c r="S63" s="273"/>
      <c r="T63" s="255"/>
      <c r="U63" s="255"/>
      <c r="V63" s="255"/>
      <c r="W63" s="255"/>
      <c r="X63" s="255"/>
      <c r="Y63" s="255"/>
      <c r="Z63" s="255"/>
      <c r="AA63" s="255"/>
      <c r="AB63" s="255"/>
      <c r="AC63" s="255"/>
      <c r="AD63" s="255"/>
    </row>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80" priority="1" operator="equal">
      <formula>0</formula>
    </cfRule>
  </conditionalFormatting>
  <conditionalFormatting sqref="J6:K6 N6:O7 R6:S8 V6:W9 Z6:AA10">
    <cfRule type="cellIs" dxfId="179" priority="2" operator="equal">
      <formula>0</formula>
    </cfRule>
  </conditionalFormatting>
  <conditionalFormatting sqref="B6:B11">
    <cfRule type="expression" dxfId="178" priority="3">
      <formula>IF(C6=1,TRUE,FALSE)</formula>
    </cfRule>
  </conditionalFormatting>
  <conditionalFormatting sqref="B6:B11">
    <cfRule type="expression" dxfId="177" priority="4">
      <formula>IF(C6=2,TRUE,FALSE)</formula>
    </cfRule>
  </conditionalFormatting>
  <pageMargins left="0.7" right="0.7" top="0.75" bottom="0.75" header="0" footer="0"/>
  <pageSetup orientation="landscape"/>
  <headerFooter>
    <oddHeader>&amp;LČAPEK - Česká asociace pétanque klubů&amp;C&amp;F&amp;R&amp;D   &amp;T</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v>
      </c>
      <c r="B1" s="175" t="s">
        <v>1794</v>
      </c>
      <c r="C1" s="274" t="s">
        <v>1831</v>
      </c>
      <c r="D1" s="69"/>
      <c r="E1" s="69"/>
      <c r="F1" s="177" t="s">
        <v>1712</v>
      </c>
      <c r="G1" s="178">
        <f>$AV$12</f>
        <v>5</v>
      </c>
      <c r="H1" s="179" t="s">
        <v>1796</v>
      </c>
      <c r="I1" s="69"/>
      <c r="J1" s="69"/>
      <c r="K1" s="69"/>
      <c r="L1" s="69"/>
      <c r="M1" s="69"/>
      <c r="N1" s="69"/>
      <c r="O1" s="69"/>
      <c r="P1" s="180" t="s">
        <v>1797</v>
      </c>
      <c r="Q1" s="74"/>
      <c r="R1" s="181">
        <f ca="1">INDIRECT(ADDRESS(4,A1,1,1,"Hřiště"))</f>
        <v>1</v>
      </c>
      <c r="S1" s="181">
        <f ca="1">INDIRECT(ADDRESS(5,A1,1,1,"Hřiště"))</f>
        <v>2</v>
      </c>
      <c r="T1" s="181"/>
      <c r="U1" s="69"/>
      <c r="V1" s="69"/>
      <c r="W1" s="69"/>
      <c r="X1" s="69"/>
      <c r="Y1" s="69"/>
      <c r="Z1" s="177" t="s">
        <v>1798</v>
      </c>
      <c r="AA1" s="178">
        <f>IF(G1=0,0,CHOOSE(G1,0,1,1,2,2,3))</f>
        <v>2</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Carreau Brno - Michálek Ivo</v>
      </c>
      <c r="C6" s="208">
        <f t="shared" ref="C6:C11" si="0">IF(CB6=0,"",CB6)</f>
        <v>1</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2</v>
      </c>
      <c r="J6" s="215">
        <f>$G$7</f>
        <v>11</v>
      </c>
      <c r="K6" s="216">
        <f>$F$7</f>
        <v>10</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1</v>
      </c>
      <c r="N6" s="215">
        <f>$G$8</f>
        <v>13</v>
      </c>
      <c r="O6" s="216">
        <f>$F$8</f>
        <v>6</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v>
      </c>
      <c r="R6" s="215">
        <f>$G$9</f>
        <v>13</v>
      </c>
      <c r="S6" s="216">
        <f>$F$9</f>
        <v>3</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2</v>
      </c>
      <c r="V6" s="215">
        <f>$G$10</f>
        <v>13</v>
      </c>
      <c r="W6" s="216">
        <f>$F$10</f>
        <v>9</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1</v>
      </c>
      <c r="AE6" s="218">
        <f t="shared" ref="AE6:AE11" si="2">SUM(AX6:BC6)</f>
        <v>4</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22</v>
      </c>
      <c r="AQ6" s="220">
        <f t="shared" ref="AQ6:AQ11" si="12">SUM(BN6:BS6)</f>
        <v>50</v>
      </c>
      <c r="AR6" s="221"/>
      <c r="AS6" s="222" t="str">
        <f t="shared" ref="AS6:AS11" si="13">CONCATENATE(TEXT(AD6,"0"),TEXT(AE6,"0"),TEXT(AG6,"0"),TEXT(AH6,"0"),TEXT(AI6,"0"),TEXT(AJ6,"0"),TEXT(100+AL6,"000"),TEXT(100+AM6,"000"),TEXT(100+AN6,"000"),TEXT(100+AO6,"000"),TEXT(100+AP6,"000"),TEXT(AQ6,"000"))</f>
        <v>140000100100100100122050</v>
      </c>
      <c r="AT6" s="223">
        <f t="shared" ref="AT6:AT11" si="14">CB6</f>
        <v>1</v>
      </c>
      <c r="AU6" s="69"/>
      <c r="AV6" s="217">
        <f t="shared" ref="AV6:AV11" si="15">IF(OR(B6="",B6=" - "),0,1)</f>
        <v>1</v>
      </c>
      <c r="AX6" s="224">
        <f t="shared" ref="AX6:AX11" si="16">IF(F6&gt;G6,1,0)</f>
        <v>0</v>
      </c>
      <c r="AY6" s="224">
        <f t="shared" ref="AY6:AY11" si="17">IF(J6&gt;K6,1,0)</f>
        <v>1</v>
      </c>
      <c r="AZ6" s="224">
        <f t="shared" ref="AZ6:AZ11" si="18">IF(N6&gt;O6,1,0)</f>
        <v>1</v>
      </c>
      <c r="BA6" s="224">
        <f t="shared" ref="BA6:BA11" si="19">IF(R6&gt;S6,1,0)</f>
        <v>1</v>
      </c>
      <c r="BB6" s="224">
        <f t="shared" ref="BB6:BB11" si="20">IF(V6&gt;W6,1,0)</f>
        <v>1</v>
      </c>
      <c r="BC6" s="224">
        <f t="shared" ref="BC6:BC11" si="21">IF(Z6&gt;AA6,1,0)</f>
        <v>0</v>
      </c>
      <c r="BD6" s="224">
        <f t="shared" ref="BD6:BD11" si="22">SUM(AX6:BC6)</f>
        <v>4</v>
      </c>
      <c r="BF6" s="224">
        <f t="shared" ref="BF6:BF11" si="23">F6-G6</f>
        <v>0</v>
      </c>
      <c r="BG6" s="224">
        <f t="shared" ref="BG6:BG11" si="24">J6-K6</f>
        <v>1</v>
      </c>
      <c r="BH6" s="224">
        <f t="shared" ref="BH6:BH11" si="25">N6-O6</f>
        <v>7</v>
      </c>
      <c r="BI6" s="224">
        <f t="shared" ref="BI6:BI11" si="26">R6-S6</f>
        <v>10</v>
      </c>
      <c r="BJ6" s="224">
        <f t="shared" ref="BJ6:BJ11" si="27">V6-W6</f>
        <v>4</v>
      </c>
      <c r="BK6" s="224">
        <f t="shared" ref="BK6:BK11" si="28">Z6-AA6</f>
        <v>0</v>
      </c>
      <c r="BL6" s="224">
        <f t="shared" ref="BL6:BL11" si="29">SUM(BF6:BK6)</f>
        <v>22</v>
      </c>
      <c r="BN6" s="224">
        <f t="shared" ref="BN6:BN11" si="30">F6</f>
        <v>0</v>
      </c>
      <c r="BO6" s="224">
        <f t="shared" ref="BO6:BO11" si="31">J6</f>
        <v>11</v>
      </c>
      <c r="BP6" s="224">
        <f t="shared" ref="BP6:BP11" si="32">N6</f>
        <v>13</v>
      </c>
      <c r="BQ6" s="224">
        <f t="shared" ref="BQ6:BQ11" si="33">R6</f>
        <v>13</v>
      </c>
      <c r="BR6" s="224">
        <f t="shared" ref="BR6:BR11" si="34">V6</f>
        <v>13</v>
      </c>
      <c r="BS6" s="224">
        <f t="shared" ref="BS6:BS11" si="35">Z6</f>
        <v>0</v>
      </c>
      <c r="BT6" s="224">
        <f t="shared" ref="BT6:BT11" si="36">SUM(BN6:BS6)</f>
        <v>50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1</v>
      </c>
    </row>
    <row r="7" spans="1:80" ht="36" customHeight="1">
      <c r="A7" s="225">
        <v>2</v>
      </c>
      <c r="B7" s="226" t="str">
        <f>IF(TYPE(VLOOKUP(CONCATENATE($C$1,A7),Skupiny!$A$3:$B$194,2,0))&gt;3," - ",VLOOKUP(CONCATENATE($C$1,A7),Skupiny!$A$3:$B$194,2,0))</f>
        <v>1. Starobrněnský PK - Strouhalová Terezie</v>
      </c>
      <c r="C7" s="227">
        <f t="shared" si="0"/>
        <v>2</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2</v>
      </c>
      <c r="F7" s="230">
        <v>10</v>
      </c>
      <c r="G7" s="231">
        <v>11</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2</v>
      </c>
      <c r="N7" s="238">
        <f>$K$8</f>
        <v>13</v>
      </c>
      <c r="O7" s="216">
        <f>$J$8</f>
        <v>3</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1</v>
      </c>
      <c r="R7" s="238">
        <f>$K$9</f>
        <v>13</v>
      </c>
      <c r="S7" s="216">
        <f>$J$9</f>
        <v>7</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1</v>
      </c>
      <c r="V7" s="238">
        <f>$K$10</f>
        <v>13</v>
      </c>
      <c r="W7" s="216">
        <f>$J$10</f>
        <v>11</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1</v>
      </c>
      <c r="AE7" s="239">
        <f t="shared" si="2"/>
        <v>3</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17</v>
      </c>
      <c r="AQ7" s="220">
        <f t="shared" si="12"/>
        <v>49</v>
      </c>
      <c r="AR7" s="241"/>
      <c r="AS7" s="242" t="str">
        <f t="shared" si="13"/>
        <v>130000100100100100117049</v>
      </c>
      <c r="AT7" s="243">
        <f t="shared" si="14"/>
        <v>2</v>
      </c>
      <c r="AU7" s="69"/>
      <c r="AV7" s="217">
        <f t="shared" si="15"/>
        <v>1</v>
      </c>
      <c r="AX7" s="224">
        <f t="shared" si="16"/>
        <v>0</v>
      </c>
      <c r="AY7" s="224">
        <f t="shared" si="17"/>
        <v>0</v>
      </c>
      <c r="AZ7" s="224">
        <f t="shared" si="18"/>
        <v>1</v>
      </c>
      <c r="BA7" s="224">
        <f t="shared" si="19"/>
        <v>1</v>
      </c>
      <c r="BB7" s="224">
        <f t="shared" si="20"/>
        <v>1</v>
      </c>
      <c r="BC7" s="224">
        <f t="shared" si="21"/>
        <v>0</v>
      </c>
      <c r="BD7" s="224">
        <f t="shared" si="22"/>
        <v>3</v>
      </c>
      <c r="BF7" s="224">
        <f t="shared" si="23"/>
        <v>-1</v>
      </c>
      <c r="BG7" s="224">
        <f t="shared" si="24"/>
        <v>0</v>
      </c>
      <c r="BH7" s="224">
        <f t="shared" si="25"/>
        <v>10</v>
      </c>
      <c r="BI7" s="224">
        <f t="shared" si="26"/>
        <v>6</v>
      </c>
      <c r="BJ7" s="224">
        <f t="shared" si="27"/>
        <v>2</v>
      </c>
      <c r="BK7" s="224">
        <f t="shared" si="28"/>
        <v>0</v>
      </c>
      <c r="BL7" s="224">
        <f t="shared" si="29"/>
        <v>17</v>
      </c>
      <c r="BN7" s="224">
        <f t="shared" si="30"/>
        <v>10</v>
      </c>
      <c r="BO7" s="224">
        <f t="shared" si="31"/>
        <v>0</v>
      </c>
      <c r="BP7" s="224">
        <f t="shared" si="32"/>
        <v>13</v>
      </c>
      <c r="BQ7" s="224">
        <f t="shared" si="33"/>
        <v>13</v>
      </c>
      <c r="BR7" s="224">
        <f t="shared" si="34"/>
        <v>13</v>
      </c>
      <c r="BS7" s="224">
        <f t="shared" si="35"/>
        <v>0</v>
      </c>
      <c r="BT7" s="224">
        <f t="shared" si="36"/>
        <v>49</v>
      </c>
      <c r="BV7" s="224">
        <f t="shared" si="37"/>
        <v>1</v>
      </c>
      <c r="BW7" s="224">
        <f t="shared" si="38"/>
        <v>0</v>
      </c>
      <c r="BX7" s="224">
        <f t="shared" si="39"/>
        <v>0</v>
      </c>
      <c r="BY7" s="224">
        <f t="shared" si="40"/>
        <v>0</v>
      </c>
      <c r="BZ7" s="224">
        <f t="shared" si="41"/>
        <v>0</v>
      </c>
      <c r="CA7" s="224">
        <f t="shared" si="42"/>
        <v>0</v>
      </c>
      <c r="CB7" s="224">
        <f t="shared" si="43"/>
        <v>2</v>
      </c>
    </row>
    <row r="8" spans="1:80" ht="36" customHeight="1">
      <c r="A8" s="225">
        <v>3</v>
      </c>
      <c r="B8" s="226" t="str">
        <f>IF(TYPE(VLOOKUP(CONCATENATE($C$1,A8),Skupiny!$A$3:$B$194,2,0))&gt;3," - ",VLOOKUP(CONCATENATE($C$1,A8),Skupiny!$A$3:$B$194,2,0))</f>
        <v>Orel Řečkovice - Marečková Yvonne</v>
      </c>
      <c r="C8" s="227">
        <f t="shared" si="0"/>
        <v>4</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1</v>
      </c>
      <c r="F8" s="230">
        <v>6</v>
      </c>
      <c r="G8" s="231">
        <v>13</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2</v>
      </c>
      <c r="J8" s="230">
        <v>3</v>
      </c>
      <c r="K8" s="231">
        <v>13</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2</v>
      </c>
      <c r="R8" s="238">
        <f>$O$9</f>
        <v>7</v>
      </c>
      <c r="S8" s="216">
        <f>$N$9</f>
        <v>13</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v>
      </c>
      <c r="V8" s="238">
        <f>$O$10</f>
        <v>13</v>
      </c>
      <c r="W8" s="216">
        <f>$N$10</f>
        <v>4</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1</v>
      </c>
      <c r="AE8" s="239">
        <f t="shared" si="2"/>
        <v>1</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-14</v>
      </c>
      <c r="AQ8" s="220">
        <f t="shared" si="12"/>
        <v>29</v>
      </c>
      <c r="AR8" s="241"/>
      <c r="AS8" s="242" t="str">
        <f t="shared" si="13"/>
        <v>110000100100100100086029</v>
      </c>
      <c r="AT8" s="243">
        <f t="shared" si="14"/>
        <v>4</v>
      </c>
      <c r="AU8" s="69"/>
      <c r="AV8" s="217">
        <f t="shared" si="15"/>
        <v>1</v>
      </c>
      <c r="AX8" s="224">
        <f t="shared" si="16"/>
        <v>0</v>
      </c>
      <c r="AY8" s="224">
        <f t="shared" si="17"/>
        <v>0</v>
      </c>
      <c r="AZ8" s="224">
        <f t="shared" si="18"/>
        <v>0</v>
      </c>
      <c r="BA8" s="224">
        <f t="shared" si="19"/>
        <v>0</v>
      </c>
      <c r="BB8" s="224">
        <f t="shared" si="20"/>
        <v>1</v>
      </c>
      <c r="BC8" s="224">
        <f t="shared" si="21"/>
        <v>0</v>
      </c>
      <c r="BD8" s="224">
        <f t="shared" si="22"/>
        <v>1</v>
      </c>
      <c r="BF8" s="224">
        <f t="shared" si="23"/>
        <v>-7</v>
      </c>
      <c r="BG8" s="224">
        <f t="shared" si="24"/>
        <v>-10</v>
      </c>
      <c r="BH8" s="224">
        <f t="shared" si="25"/>
        <v>0</v>
      </c>
      <c r="BI8" s="224">
        <f t="shared" si="26"/>
        <v>-6</v>
      </c>
      <c r="BJ8" s="224">
        <f t="shared" si="27"/>
        <v>9</v>
      </c>
      <c r="BK8" s="224">
        <f t="shared" si="28"/>
        <v>0</v>
      </c>
      <c r="BL8" s="224">
        <f t="shared" si="29"/>
        <v>-14</v>
      </c>
      <c r="BN8" s="224">
        <f t="shared" si="30"/>
        <v>6</v>
      </c>
      <c r="BO8" s="224">
        <f t="shared" si="31"/>
        <v>3</v>
      </c>
      <c r="BP8" s="224">
        <f t="shared" si="32"/>
        <v>0</v>
      </c>
      <c r="BQ8" s="224">
        <f t="shared" si="33"/>
        <v>7</v>
      </c>
      <c r="BR8" s="224">
        <f t="shared" si="34"/>
        <v>13</v>
      </c>
      <c r="BS8" s="224">
        <f t="shared" si="35"/>
        <v>0</v>
      </c>
      <c r="BT8" s="224">
        <f t="shared" si="36"/>
        <v>29</v>
      </c>
      <c r="BV8" s="224">
        <f t="shared" si="37"/>
        <v>1</v>
      </c>
      <c r="BW8" s="224">
        <f t="shared" si="38"/>
        <v>1</v>
      </c>
      <c r="BX8" s="224">
        <f t="shared" si="39"/>
        <v>0</v>
      </c>
      <c r="BY8" s="224">
        <f t="shared" si="40"/>
        <v>1</v>
      </c>
      <c r="BZ8" s="224">
        <f t="shared" si="41"/>
        <v>0</v>
      </c>
      <c r="CA8" s="224">
        <f t="shared" si="42"/>
        <v>0</v>
      </c>
      <c r="CB8" s="224">
        <f t="shared" si="43"/>
        <v>4</v>
      </c>
    </row>
    <row r="9" spans="1:80" ht="36" customHeight="1">
      <c r="A9" s="225">
        <v>4</v>
      </c>
      <c r="B9" s="226" t="str">
        <f>IF(TYPE(VLOOKUP(CONCATENATE($C$1,A9),Skupiny!$A$3:$B$194,2,0))&gt;3," - ",VLOOKUP(CONCATENATE($C$1,A9),Skupiny!$A$3:$B$194,2,0))</f>
        <v>PK Polouvsí - Valošek Hugo</v>
      </c>
      <c r="C9" s="227">
        <f t="shared" si="0"/>
        <v>3</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v>
      </c>
      <c r="F9" s="230">
        <v>3</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1</v>
      </c>
      <c r="J9" s="230">
        <v>7</v>
      </c>
      <c r="K9" s="231">
        <v>13</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2</v>
      </c>
      <c r="N9" s="230">
        <v>13</v>
      </c>
      <c r="O9" s="231">
        <v>7</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2</v>
      </c>
      <c r="V9" s="238">
        <f>$S$10</f>
        <v>13</v>
      </c>
      <c r="W9" s="216">
        <f>$R$10</f>
        <v>7</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1</v>
      </c>
      <c r="AE9" s="239">
        <f t="shared" si="2"/>
        <v>2</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-4</v>
      </c>
      <c r="AQ9" s="220">
        <f t="shared" si="12"/>
        <v>36</v>
      </c>
      <c r="AR9" s="241"/>
      <c r="AS9" s="242" t="str">
        <f t="shared" si="13"/>
        <v>120000100100100100096036</v>
      </c>
      <c r="AT9" s="243">
        <f t="shared" si="14"/>
        <v>3</v>
      </c>
      <c r="AU9" s="69"/>
      <c r="AV9" s="217">
        <f t="shared" si="15"/>
        <v>1</v>
      </c>
      <c r="AX9" s="224">
        <f t="shared" si="16"/>
        <v>0</v>
      </c>
      <c r="AY9" s="224">
        <f t="shared" si="17"/>
        <v>0</v>
      </c>
      <c r="AZ9" s="224">
        <f t="shared" si="18"/>
        <v>1</v>
      </c>
      <c r="BA9" s="224">
        <f t="shared" si="19"/>
        <v>0</v>
      </c>
      <c r="BB9" s="224">
        <f t="shared" si="20"/>
        <v>1</v>
      </c>
      <c r="BC9" s="224">
        <f t="shared" si="21"/>
        <v>0</v>
      </c>
      <c r="BD9" s="224">
        <f t="shared" si="22"/>
        <v>2</v>
      </c>
      <c r="BF9" s="224">
        <f t="shared" si="23"/>
        <v>-10</v>
      </c>
      <c r="BG9" s="224">
        <f t="shared" si="24"/>
        <v>-6</v>
      </c>
      <c r="BH9" s="224">
        <f t="shared" si="25"/>
        <v>6</v>
      </c>
      <c r="BI9" s="224">
        <f t="shared" si="26"/>
        <v>0</v>
      </c>
      <c r="BJ9" s="224">
        <f t="shared" si="27"/>
        <v>6</v>
      </c>
      <c r="BK9" s="224">
        <f t="shared" si="28"/>
        <v>0</v>
      </c>
      <c r="BL9" s="224">
        <f t="shared" si="29"/>
        <v>-4</v>
      </c>
      <c r="BN9" s="224">
        <f t="shared" si="30"/>
        <v>3</v>
      </c>
      <c r="BO9" s="224">
        <f t="shared" si="31"/>
        <v>7</v>
      </c>
      <c r="BP9" s="224">
        <f t="shared" si="32"/>
        <v>13</v>
      </c>
      <c r="BQ9" s="224">
        <f t="shared" si="33"/>
        <v>0</v>
      </c>
      <c r="BR9" s="224">
        <f t="shared" si="34"/>
        <v>13</v>
      </c>
      <c r="BS9" s="224">
        <f t="shared" si="35"/>
        <v>0</v>
      </c>
      <c r="BT9" s="224">
        <f t="shared" si="36"/>
        <v>36</v>
      </c>
      <c r="BV9" s="224">
        <f t="shared" si="37"/>
        <v>1</v>
      </c>
      <c r="BW9" s="224">
        <f t="shared" si="38"/>
        <v>1</v>
      </c>
      <c r="BX9" s="224">
        <f t="shared" si="39"/>
        <v>0</v>
      </c>
      <c r="BY9" s="224">
        <f t="shared" si="40"/>
        <v>0</v>
      </c>
      <c r="BZ9" s="224">
        <f t="shared" si="41"/>
        <v>0</v>
      </c>
      <c r="CA9" s="224">
        <f t="shared" si="42"/>
        <v>0</v>
      </c>
      <c r="CB9" s="224">
        <f t="shared" si="43"/>
        <v>3</v>
      </c>
    </row>
    <row r="10" spans="1:80" ht="36" customHeight="1">
      <c r="A10" s="225">
        <v>5</v>
      </c>
      <c r="B10" s="226" t="str">
        <f>IF(TYPE(VLOOKUP(CONCATENATE($C$1,A10),Skupiny!$A$3:$B$194,2,0))&gt;3," - ",VLOOKUP(CONCATENATE($C$1,A10),Skupiny!$A$3:$B$194,2,0))</f>
        <v>SLOPE Brno - Daněk Patrik</v>
      </c>
      <c r="C10" s="227">
        <f t="shared" si="0"/>
        <v>5</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2</v>
      </c>
      <c r="F10" s="230">
        <v>9</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1</v>
      </c>
      <c r="J10" s="230">
        <v>11</v>
      </c>
      <c r="K10" s="231">
        <v>13</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v>
      </c>
      <c r="N10" s="230">
        <v>4</v>
      </c>
      <c r="O10" s="231">
        <v>13</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2</v>
      </c>
      <c r="R10" s="230">
        <v>7</v>
      </c>
      <c r="S10" s="231">
        <v>13</v>
      </c>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1</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-21</v>
      </c>
      <c r="AQ10" s="220">
        <f t="shared" si="12"/>
        <v>31</v>
      </c>
      <c r="AR10" s="241"/>
      <c r="AS10" s="242" t="str">
        <f t="shared" si="13"/>
        <v>100000100100100100079031</v>
      </c>
      <c r="AT10" s="243">
        <f t="shared" si="14"/>
        <v>5</v>
      </c>
      <c r="AU10" s="69"/>
      <c r="AV10" s="217">
        <f t="shared" si="15"/>
        <v>1</v>
      </c>
      <c r="AX10" s="224">
        <f t="shared" si="16"/>
        <v>0</v>
      </c>
      <c r="AY10" s="224">
        <f t="shared" si="17"/>
        <v>0</v>
      </c>
      <c r="AZ10" s="224">
        <f t="shared" si="18"/>
        <v>0</v>
      </c>
      <c r="BA10" s="224">
        <f t="shared" si="19"/>
        <v>0</v>
      </c>
      <c r="BB10" s="224">
        <f t="shared" si="20"/>
        <v>0</v>
      </c>
      <c r="BC10" s="224">
        <f t="shared" si="21"/>
        <v>0</v>
      </c>
      <c r="BD10" s="224">
        <f t="shared" si="22"/>
        <v>0</v>
      </c>
      <c r="BF10" s="224">
        <f t="shared" si="23"/>
        <v>-4</v>
      </c>
      <c r="BG10" s="224">
        <f t="shared" si="24"/>
        <v>-2</v>
      </c>
      <c r="BH10" s="224">
        <f t="shared" si="25"/>
        <v>-9</v>
      </c>
      <c r="BI10" s="224">
        <f t="shared" si="26"/>
        <v>-6</v>
      </c>
      <c r="BJ10" s="224">
        <f t="shared" si="27"/>
        <v>0</v>
      </c>
      <c r="BK10" s="224">
        <f t="shared" si="28"/>
        <v>0</v>
      </c>
      <c r="BL10" s="224">
        <f t="shared" si="29"/>
        <v>-21</v>
      </c>
      <c r="BN10" s="224">
        <f t="shared" si="30"/>
        <v>9</v>
      </c>
      <c r="BO10" s="224">
        <f t="shared" si="31"/>
        <v>11</v>
      </c>
      <c r="BP10" s="224">
        <f t="shared" si="32"/>
        <v>4</v>
      </c>
      <c r="BQ10" s="224">
        <f t="shared" si="33"/>
        <v>7</v>
      </c>
      <c r="BR10" s="224">
        <f t="shared" si="34"/>
        <v>0</v>
      </c>
      <c r="BS10" s="224">
        <f t="shared" si="35"/>
        <v>0</v>
      </c>
      <c r="BT10" s="224">
        <f t="shared" si="36"/>
        <v>31</v>
      </c>
      <c r="BV10" s="224">
        <f t="shared" si="37"/>
        <v>1</v>
      </c>
      <c r="BW10" s="224">
        <f t="shared" si="38"/>
        <v>1</v>
      </c>
      <c r="BX10" s="224">
        <f t="shared" si="39"/>
        <v>1</v>
      </c>
      <c r="BY10" s="224">
        <f t="shared" si="40"/>
        <v>1</v>
      </c>
      <c r="BZ10" s="224">
        <f t="shared" si="41"/>
        <v>0</v>
      </c>
      <c r="CA10" s="224">
        <f t="shared" si="42"/>
        <v>0</v>
      </c>
      <c r="CB10" s="224">
        <f t="shared" si="43"/>
        <v>5</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1</v>
      </c>
      <c r="BW11" s="224">
        <f t="shared" si="38"/>
        <v>1</v>
      </c>
      <c r="BX11" s="224">
        <f t="shared" si="39"/>
        <v>1</v>
      </c>
      <c r="BY11" s="224">
        <f t="shared" si="40"/>
        <v>1</v>
      </c>
      <c r="BZ11" s="224">
        <f t="shared" si="41"/>
        <v>1</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5</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Carreau Brno - Michálek Ivo</v>
      </c>
      <c r="C14" s="261" t="str">
        <f t="shared" ref="C14:C17" si="45">CONCATENATE($C$1,A6)</f>
        <v>A1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1. Starobrněnský PK - Strouhalová Terezie</v>
      </c>
      <c r="C15" s="261" t="str">
        <f t="shared" si="45"/>
        <v>A2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PK Polouvsí - Valošek Hugo</v>
      </c>
      <c r="C16" s="261" t="str">
        <f t="shared" si="45"/>
        <v>A3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Orel Řečkovice - Marečková Yvonne</v>
      </c>
      <c r="C17" s="261" t="str">
        <f t="shared" si="45"/>
        <v>A4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1</v>
      </c>
      <c r="G21" s="69">
        <f>AD22</f>
        <v>1</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1</v>
      </c>
      <c r="AE22" s="6">
        <f t="shared" ref="AE22:AE27" si="60">$AE6</f>
        <v>4</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3</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1</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2</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1</v>
      </c>
      <c r="K30" s="69">
        <f>AD32</f>
        <v>1</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4</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1</v>
      </c>
      <c r="AE32" s="6">
        <f t="shared" si="89"/>
        <v>3</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1</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2</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1</v>
      </c>
      <c r="S39" s="69">
        <f>AD43</f>
        <v>1</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4</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3</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1</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1</v>
      </c>
      <c r="AE43" s="6">
        <f t="shared" si="118"/>
        <v>2</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1</v>
      </c>
      <c r="O48" s="69">
        <f>AD51</f>
        <v>1</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4</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3</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1</v>
      </c>
      <c r="AE51" s="6">
        <f t="shared" si="147"/>
        <v>1</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2</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76" priority="1" operator="equal">
      <formula>0</formula>
    </cfRule>
  </conditionalFormatting>
  <conditionalFormatting sqref="J6:K6 N6:O7 R6:S8 V6:W9 Z6:AA10">
    <cfRule type="cellIs" dxfId="175" priority="2" operator="equal">
      <formula>0</formula>
    </cfRule>
  </conditionalFormatting>
  <conditionalFormatting sqref="B6:B11">
    <cfRule type="expression" dxfId="174" priority="3">
      <formula>IF(C6=1,TRUE,FALSE)</formula>
    </cfRule>
  </conditionalFormatting>
  <conditionalFormatting sqref="B6:B11">
    <cfRule type="expression" dxfId="17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v>
      </c>
      <c r="B1" s="175" t="s">
        <v>1794</v>
      </c>
      <c r="C1" s="274" t="s">
        <v>1832</v>
      </c>
      <c r="D1" s="69"/>
      <c r="E1" s="69"/>
      <c r="F1" s="177" t="s">
        <v>1712</v>
      </c>
      <c r="G1" s="178">
        <f>$AV$12</f>
        <v>5</v>
      </c>
      <c r="H1" s="179" t="s">
        <v>1796</v>
      </c>
      <c r="I1" s="69"/>
      <c r="J1" s="69"/>
      <c r="K1" s="69"/>
      <c r="L1" s="69"/>
      <c r="M1" s="69"/>
      <c r="N1" s="69"/>
      <c r="O1" s="69"/>
      <c r="P1" s="180" t="s">
        <v>1797</v>
      </c>
      <c r="Q1" s="74"/>
      <c r="R1" s="181">
        <f ca="1">INDIRECT(ADDRESS(4,A1,1,1,"Hřiště"))</f>
        <v>3</v>
      </c>
      <c r="S1" s="181">
        <f ca="1">INDIRECT(ADDRESS(5,A1,1,1,"Hřiště"))</f>
        <v>4</v>
      </c>
      <c r="T1" s="181"/>
      <c r="U1" s="69"/>
      <c r="V1" s="69"/>
      <c r="W1" s="69"/>
      <c r="X1" s="69"/>
      <c r="Y1" s="69"/>
      <c r="Z1" s="177" t="s">
        <v>1798</v>
      </c>
      <c r="AA1" s="178">
        <f>IF(G1=0,0,CHOOSE(G1,0,1,1,2,2,3))</f>
        <v>2</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PLUK Jablonec - Lukáš Vojtěch</v>
      </c>
      <c r="C6" s="208">
        <f t="shared" ref="C6:C11" si="0">IF(CB6=0,"",CB6)</f>
        <v>1</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4</v>
      </c>
      <c r="J6" s="215">
        <f>$G$7</f>
        <v>9</v>
      </c>
      <c r="K6" s="216">
        <f>$F$7</f>
        <v>8</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3</v>
      </c>
      <c r="N6" s="215">
        <f>$G$8</f>
        <v>13</v>
      </c>
      <c r="O6" s="216">
        <f>$F$8</f>
        <v>5</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3</v>
      </c>
      <c r="R6" s="215">
        <f>$G$9</f>
        <v>13</v>
      </c>
      <c r="S6" s="216">
        <f>$F$9</f>
        <v>2</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4</v>
      </c>
      <c r="V6" s="215">
        <f>$G$10</f>
        <v>13</v>
      </c>
      <c r="W6" s="216">
        <f>$F$10</f>
        <v>5</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1</v>
      </c>
      <c r="AE6" s="218">
        <f t="shared" ref="AE6:AE11" si="2">SUM(AX6:BC6)</f>
        <v>4</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28</v>
      </c>
      <c r="AQ6" s="220">
        <f t="shared" ref="AQ6:AQ11" si="12">SUM(BN6:BS6)</f>
        <v>48</v>
      </c>
      <c r="AR6" s="221"/>
      <c r="AS6" s="222" t="str">
        <f t="shared" ref="AS6:AS11" si="13">CONCATENATE(TEXT(AD6,"0"),TEXT(AE6,"0"),TEXT(AG6,"0"),TEXT(AH6,"0"),TEXT(AI6,"0"),TEXT(AJ6,"0"),TEXT(100+AL6,"000"),TEXT(100+AM6,"000"),TEXT(100+AN6,"000"),TEXT(100+AO6,"000"),TEXT(100+AP6,"000"),TEXT(AQ6,"000"))</f>
        <v>140000100100100100128048</v>
      </c>
      <c r="AT6" s="223">
        <f t="shared" ref="AT6:AT11" si="14">CB6</f>
        <v>1</v>
      </c>
      <c r="AU6" s="69"/>
      <c r="AV6" s="217">
        <f t="shared" ref="AV6:AV11" si="15">IF(OR(B6="",B6=" - "),0,1)</f>
        <v>1</v>
      </c>
      <c r="AX6" s="224">
        <f t="shared" ref="AX6:AX11" si="16">IF(F6&gt;G6,1,0)</f>
        <v>0</v>
      </c>
      <c r="AY6" s="224">
        <f t="shared" ref="AY6:AY11" si="17">IF(J6&gt;K6,1,0)</f>
        <v>1</v>
      </c>
      <c r="AZ6" s="224">
        <f t="shared" ref="AZ6:AZ11" si="18">IF(N6&gt;O6,1,0)</f>
        <v>1</v>
      </c>
      <c r="BA6" s="224">
        <f t="shared" ref="BA6:BA11" si="19">IF(R6&gt;S6,1,0)</f>
        <v>1</v>
      </c>
      <c r="BB6" s="224">
        <f t="shared" ref="BB6:BB11" si="20">IF(V6&gt;W6,1,0)</f>
        <v>1</v>
      </c>
      <c r="BC6" s="224">
        <f t="shared" ref="BC6:BC11" si="21">IF(Z6&gt;AA6,1,0)</f>
        <v>0</v>
      </c>
      <c r="BD6" s="224">
        <f t="shared" ref="BD6:BD11" si="22">SUM(AX6:BC6)</f>
        <v>4</v>
      </c>
      <c r="BF6" s="224">
        <f t="shared" ref="BF6:BF11" si="23">F6-G6</f>
        <v>0</v>
      </c>
      <c r="BG6" s="224">
        <f t="shared" ref="BG6:BG11" si="24">J6-K6</f>
        <v>1</v>
      </c>
      <c r="BH6" s="224">
        <f t="shared" ref="BH6:BH11" si="25">N6-O6</f>
        <v>8</v>
      </c>
      <c r="BI6" s="224">
        <f t="shared" ref="BI6:BI11" si="26">R6-S6</f>
        <v>11</v>
      </c>
      <c r="BJ6" s="224">
        <f t="shared" ref="BJ6:BJ11" si="27">V6-W6</f>
        <v>8</v>
      </c>
      <c r="BK6" s="224">
        <f t="shared" ref="BK6:BK11" si="28">Z6-AA6</f>
        <v>0</v>
      </c>
      <c r="BL6" s="224">
        <f t="shared" ref="BL6:BL11" si="29">SUM(BF6:BK6)</f>
        <v>28</v>
      </c>
      <c r="BN6" s="224">
        <f t="shared" ref="BN6:BN11" si="30">F6</f>
        <v>0</v>
      </c>
      <c r="BO6" s="224">
        <f t="shared" ref="BO6:BO11" si="31">J6</f>
        <v>9</v>
      </c>
      <c r="BP6" s="224">
        <f t="shared" ref="BP6:BP11" si="32">N6</f>
        <v>13</v>
      </c>
      <c r="BQ6" s="224">
        <f t="shared" ref="BQ6:BQ11" si="33">R6</f>
        <v>13</v>
      </c>
      <c r="BR6" s="224">
        <f t="shared" ref="BR6:BR11" si="34">V6</f>
        <v>13</v>
      </c>
      <c r="BS6" s="224">
        <f t="shared" ref="BS6:BS11" si="35">Z6</f>
        <v>0</v>
      </c>
      <c r="BT6" s="224">
        <f t="shared" ref="BT6:BT11" si="36">SUM(BN6:BS6)</f>
        <v>48</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1</v>
      </c>
    </row>
    <row r="7" spans="1:80" ht="36" customHeight="1">
      <c r="A7" s="225">
        <v>2</v>
      </c>
      <c r="B7" s="226" t="str">
        <f>IF(TYPE(VLOOKUP(CONCATENATE($C$1,A7),Skupiny!$A$3:$B$194,2,0))&gt;3," - ",VLOOKUP(CONCATENATE($C$1,A7),Skupiny!$A$3:$B$194,2,0))</f>
        <v>FENYX Adamov - Král Pavel</v>
      </c>
      <c r="C7" s="227">
        <f t="shared" si="0"/>
        <v>5</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4</v>
      </c>
      <c r="F7" s="230">
        <v>8</v>
      </c>
      <c r="G7" s="231">
        <v>9</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4</v>
      </c>
      <c r="N7" s="238">
        <f>$K$8</f>
        <v>5</v>
      </c>
      <c r="O7" s="216">
        <f>$J$8</f>
        <v>13</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3</v>
      </c>
      <c r="R7" s="238">
        <f>$K$9</f>
        <v>8</v>
      </c>
      <c r="S7" s="216">
        <f>$J$9</f>
        <v>7</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3</v>
      </c>
      <c r="V7" s="238">
        <f>$K$10</f>
        <v>4</v>
      </c>
      <c r="W7" s="216">
        <f>$J$10</f>
        <v>13</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1</v>
      </c>
      <c r="AE7" s="239">
        <f t="shared" si="2"/>
        <v>1</v>
      </c>
      <c r="AF7" s="240"/>
      <c r="AG7" s="240">
        <f t="shared" si="3"/>
        <v>0</v>
      </c>
      <c r="AH7" s="240">
        <f t="shared" si="4"/>
        <v>0</v>
      </c>
      <c r="AI7" s="240">
        <f t="shared" si="5"/>
        <v>0</v>
      </c>
      <c r="AJ7" s="240">
        <f t="shared" si="6"/>
        <v>1</v>
      </c>
      <c r="AK7" s="240"/>
      <c r="AL7" s="219">
        <f t="shared" si="7"/>
        <v>0</v>
      </c>
      <c r="AM7" s="219">
        <f t="shared" si="8"/>
        <v>0</v>
      </c>
      <c r="AN7" s="219">
        <f t="shared" si="9"/>
        <v>0</v>
      </c>
      <c r="AO7" s="219">
        <f t="shared" si="10"/>
        <v>-8</v>
      </c>
      <c r="AP7" s="220">
        <f t="shared" si="11"/>
        <v>-17</v>
      </c>
      <c r="AQ7" s="220">
        <f t="shared" si="12"/>
        <v>25</v>
      </c>
      <c r="AR7" s="241"/>
      <c r="AS7" s="242" t="str">
        <f t="shared" si="13"/>
        <v>110001100100100092083025</v>
      </c>
      <c r="AT7" s="243">
        <f t="shared" si="14"/>
        <v>5</v>
      </c>
      <c r="AU7" s="69"/>
      <c r="AV7" s="217">
        <f t="shared" si="15"/>
        <v>1</v>
      </c>
      <c r="AX7" s="224">
        <f t="shared" si="16"/>
        <v>0</v>
      </c>
      <c r="AY7" s="224">
        <f t="shared" si="17"/>
        <v>0</v>
      </c>
      <c r="AZ7" s="224">
        <f t="shared" si="18"/>
        <v>0</v>
      </c>
      <c r="BA7" s="224">
        <f t="shared" si="19"/>
        <v>1</v>
      </c>
      <c r="BB7" s="224">
        <f t="shared" si="20"/>
        <v>0</v>
      </c>
      <c r="BC7" s="224">
        <f t="shared" si="21"/>
        <v>0</v>
      </c>
      <c r="BD7" s="224">
        <f t="shared" si="22"/>
        <v>1</v>
      </c>
      <c r="BF7" s="224">
        <f t="shared" si="23"/>
        <v>-1</v>
      </c>
      <c r="BG7" s="224">
        <f t="shared" si="24"/>
        <v>0</v>
      </c>
      <c r="BH7" s="224">
        <f t="shared" si="25"/>
        <v>-8</v>
      </c>
      <c r="BI7" s="224">
        <f t="shared" si="26"/>
        <v>1</v>
      </c>
      <c r="BJ7" s="224">
        <f t="shared" si="27"/>
        <v>-9</v>
      </c>
      <c r="BK7" s="224">
        <f t="shared" si="28"/>
        <v>0</v>
      </c>
      <c r="BL7" s="224">
        <f t="shared" si="29"/>
        <v>-17</v>
      </c>
      <c r="BN7" s="224">
        <f t="shared" si="30"/>
        <v>8</v>
      </c>
      <c r="BO7" s="224">
        <f t="shared" si="31"/>
        <v>0</v>
      </c>
      <c r="BP7" s="224">
        <f t="shared" si="32"/>
        <v>5</v>
      </c>
      <c r="BQ7" s="224">
        <f t="shared" si="33"/>
        <v>8</v>
      </c>
      <c r="BR7" s="224">
        <f t="shared" si="34"/>
        <v>4</v>
      </c>
      <c r="BS7" s="224">
        <f t="shared" si="35"/>
        <v>0</v>
      </c>
      <c r="BT7" s="224">
        <f t="shared" si="36"/>
        <v>25</v>
      </c>
      <c r="BV7" s="224">
        <f t="shared" si="37"/>
        <v>1</v>
      </c>
      <c r="BW7" s="224">
        <f t="shared" si="38"/>
        <v>0</v>
      </c>
      <c r="BX7" s="224">
        <f t="shared" si="39"/>
        <v>1</v>
      </c>
      <c r="BY7" s="224">
        <f t="shared" si="40"/>
        <v>1</v>
      </c>
      <c r="BZ7" s="224">
        <f t="shared" si="41"/>
        <v>1</v>
      </c>
      <c r="CA7" s="224">
        <f t="shared" si="42"/>
        <v>0</v>
      </c>
      <c r="CB7" s="224">
        <f t="shared" si="43"/>
        <v>5</v>
      </c>
    </row>
    <row r="8" spans="1:80" ht="36" customHeight="1">
      <c r="A8" s="225">
        <v>3</v>
      </c>
      <c r="B8" s="226" t="str">
        <f>IF(TYPE(VLOOKUP(CONCATENATE($C$1,A8),Skupiny!$A$3:$B$194,2,0))&gt;3," - ",VLOOKUP(CONCATENATE($C$1,A8),Skupiny!$A$3:$B$194,2,0))</f>
        <v>UBU Únětice - Kot Pavel</v>
      </c>
      <c r="C8" s="227">
        <f t="shared" si="0"/>
        <v>2</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3</v>
      </c>
      <c r="F8" s="230">
        <v>5</v>
      </c>
      <c r="G8" s="231">
        <v>13</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4</v>
      </c>
      <c r="J8" s="230">
        <v>13</v>
      </c>
      <c r="K8" s="231">
        <v>5</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4</v>
      </c>
      <c r="R8" s="238">
        <f>$O$9</f>
        <v>9</v>
      </c>
      <c r="S8" s="216">
        <f>$N$9</f>
        <v>6</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3</v>
      </c>
      <c r="V8" s="238">
        <f>$O$10</f>
        <v>10</v>
      </c>
      <c r="W8" s="216">
        <f>$N$10</f>
        <v>6</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1</v>
      </c>
      <c r="AE8" s="239">
        <f t="shared" si="2"/>
        <v>3</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7</v>
      </c>
      <c r="AQ8" s="220">
        <f t="shared" si="12"/>
        <v>37</v>
      </c>
      <c r="AR8" s="241"/>
      <c r="AS8" s="242" t="str">
        <f t="shared" si="13"/>
        <v>130000100100100100107037</v>
      </c>
      <c r="AT8" s="243">
        <f t="shared" si="14"/>
        <v>2</v>
      </c>
      <c r="AU8" s="69"/>
      <c r="AV8" s="217">
        <f t="shared" si="15"/>
        <v>1</v>
      </c>
      <c r="AX8" s="224">
        <f t="shared" si="16"/>
        <v>0</v>
      </c>
      <c r="AY8" s="224">
        <f t="shared" si="17"/>
        <v>1</v>
      </c>
      <c r="AZ8" s="224">
        <f t="shared" si="18"/>
        <v>0</v>
      </c>
      <c r="BA8" s="224">
        <f t="shared" si="19"/>
        <v>1</v>
      </c>
      <c r="BB8" s="224">
        <f t="shared" si="20"/>
        <v>1</v>
      </c>
      <c r="BC8" s="224">
        <f t="shared" si="21"/>
        <v>0</v>
      </c>
      <c r="BD8" s="224">
        <f t="shared" si="22"/>
        <v>3</v>
      </c>
      <c r="BF8" s="224">
        <f t="shared" si="23"/>
        <v>-8</v>
      </c>
      <c r="BG8" s="224">
        <f t="shared" si="24"/>
        <v>8</v>
      </c>
      <c r="BH8" s="224">
        <f t="shared" si="25"/>
        <v>0</v>
      </c>
      <c r="BI8" s="224">
        <f t="shared" si="26"/>
        <v>3</v>
      </c>
      <c r="BJ8" s="224">
        <f t="shared" si="27"/>
        <v>4</v>
      </c>
      <c r="BK8" s="224">
        <f t="shared" si="28"/>
        <v>0</v>
      </c>
      <c r="BL8" s="224">
        <f t="shared" si="29"/>
        <v>7</v>
      </c>
      <c r="BN8" s="224">
        <f t="shared" si="30"/>
        <v>5</v>
      </c>
      <c r="BO8" s="224">
        <f t="shared" si="31"/>
        <v>13</v>
      </c>
      <c r="BP8" s="224">
        <f t="shared" si="32"/>
        <v>0</v>
      </c>
      <c r="BQ8" s="224">
        <f t="shared" si="33"/>
        <v>9</v>
      </c>
      <c r="BR8" s="224">
        <f t="shared" si="34"/>
        <v>10</v>
      </c>
      <c r="BS8" s="224">
        <f t="shared" si="35"/>
        <v>0</v>
      </c>
      <c r="BT8" s="224">
        <f t="shared" si="36"/>
        <v>37</v>
      </c>
      <c r="BV8" s="224">
        <f t="shared" si="37"/>
        <v>1</v>
      </c>
      <c r="BW8" s="224">
        <f t="shared" si="38"/>
        <v>0</v>
      </c>
      <c r="BX8" s="224">
        <f t="shared" si="39"/>
        <v>0</v>
      </c>
      <c r="BY8" s="224">
        <f t="shared" si="40"/>
        <v>0</v>
      </c>
      <c r="BZ8" s="224">
        <f t="shared" si="41"/>
        <v>0</v>
      </c>
      <c r="CA8" s="224">
        <f t="shared" si="42"/>
        <v>0</v>
      </c>
      <c r="CB8" s="224">
        <f t="shared" si="43"/>
        <v>2</v>
      </c>
    </row>
    <row r="9" spans="1:80" ht="36" customHeight="1">
      <c r="A9" s="225">
        <v>4</v>
      </c>
      <c r="B9" s="226" t="str">
        <f>IF(TYPE(VLOOKUP(CONCATENATE($C$1,A9),Skupiny!$A$3:$B$194,2,0))&gt;3," - ",VLOOKUP(CONCATENATE($C$1,A9),Skupiny!$A$3:$B$194,2,0))</f>
        <v>SOKOL Staříč - Plesník Vladimír</v>
      </c>
      <c r="C9" s="227">
        <f t="shared" si="0"/>
        <v>4</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3</v>
      </c>
      <c r="F9" s="230">
        <v>2</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3</v>
      </c>
      <c r="J9" s="230">
        <v>7</v>
      </c>
      <c r="K9" s="231">
        <v>8</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4</v>
      </c>
      <c r="N9" s="230">
        <v>6</v>
      </c>
      <c r="O9" s="231">
        <v>9</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4</v>
      </c>
      <c r="V9" s="238">
        <f>$S$10</f>
        <v>13</v>
      </c>
      <c r="W9" s="216">
        <f>$R$10</f>
        <v>11</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1</v>
      </c>
      <c r="AE9" s="239">
        <f t="shared" si="2"/>
        <v>1</v>
      </c>
      <c r="AF9" s="240"/>
      <c r="AG9" s="240">
        <f t="shared" si="3"/>
        <v>0</v>
      </c>
      <c r="AH9" s="240">
        <f t="shared" si="4"/>
        <v>0</v>
      </c>
      <c r="AI9" s="240">
        <f t="shared" si="5"/>
        <v>0</v>
      </c>
      <c r="AJ9" s="240">
        <f t="shared" si="6"/>
        <v>1</v>
      </c>
      <c r="AK9" s="240"/>
      <c r="AL9" s="219">
        <f t="shared" si="7"/>
        <v>0</v>
      </c>
      <c r="AM9" s="219">
        <f t="shared" si="8"/>
        <v>0</v>
      </c>
      <c r="AN9" s="219">
        <f t="shared" si="9"/>
        <v>0</v>
      </c>
      <c r="AO9" s="219">
        <f t="shared" si="10"/>
        <v>1</v>
      </c>
      <c r="AP9" s="220">
        <f t="shared" si="11"/>
        <v>-13</v>
      </c>
      <c r="AQ9" s="220">
        <f t="shared" si="12"/>
        <v>28</v>
      </c>
      <c r="AR9" s="241"/>
      <c r="AS9" s="242" t="str">
        <f t="shared" si="13"/>
        <v>110001100100100101087028</v>
      </c>
      <c r="AT9" s="243">
        <f t="shared" si="14"/>
        <v>4</v>
      </c>
      <c r="AU9" s="69"/>
      <c r="AV9" s="217">
        <f t="shared" si="15"/>
        <v>1</v>
      </c>
      <c r="AX9" s="224">
        <f t="shared" si="16"/>
        <v>0</v>
      </c>
      <c r="AY9" s="224">
        <f t="shared" si="17"/>
        <v>0</v>
      </c>
      <c r="AZ9" s="224">
        <f t="shared" si="18"/>
        <v>0</v>
      </c>
      <c r="BA9" s="224">
        <f t="shared" si="19"/>
        <v>0</v>
      </c>
      <c r="BB9" s="224">
        <f t="shared" si="20"/>
        <v>1</v>
      </c>
      <c r="BC9" s="224">
        <f t="shared" si="21"/>
        <v>0</v>
      </c>
      <c r="BD9" s="224">
        <f t="shared" si="22"/>
        <v>1</v>
      </c>
      <c r="BF9" s="224">
        <f t="shared" si="23"/>
        <v>-11</v>
      </c>
      <c r="BG9" s="224">
        <f t="shared" si="24"/>
        <v>-1</v>
      </c>
      <c r="BH9" s="224">
        <f t="shared" si="25"/>
        <v>-3</v>
      </c>
      <c r="BI9" s="224">
        <f t="shared" si="26"/>
        <v>0</v>
      </c>
      <c r="BJ9" s="224">
        <f t="shared" si="27"/>
        <v>2</v>
      </c>
      <c r="BK9" s="224">
        <f t="shared" si="28"/>
        <v>0</v>
      </c>
      <c r="BL9" s="224">
        <f t="shared" si="29"/>
        <v>-13</v>
      </c>
      <c r="BN9" s="224">
        <f t="shared" si="30"/>
        <v>2</v>
      </c>
      <c r="BO9" s="224">
        <f t="shared" si="31"/>
        <v>7</v>
      </c>
      <c r="BP9" s="224">
        <f t="shared" si="32"/>
        <v>6</v>
      </c>
      <c r="BQ9" s="224">
        <f t="shared" si="33"/>
        <v>0</v>
      </c>
      <c r="BR9" s="224">
        <f t="shared" si="34"/>
        <v>13</v>
      </c>
      <c r="BS9" s="224">
        <f t="shared" si="35"/>
        <v>0</v>
      </c>
      <c r="BT9" s="224">
        <f t="shared" si="36"/>
        <v>28</v>
      </c>
      <c r="BV9" s="224">
        <f t="shared" si="37"/>
        <v>1</v>
      </c>
      <c r="BW9" s="224">
        <f t="shared" si="38"/>
        <v>0</v>
      </c>
      <c r="BX9" s="224">
        <f t="shared" si="39"/>
        <v>1</v>
      </c>
      <c r="BY9" s="224">
        <f t="shared" si="40"/>
        <v>0</v>
      </c>
      <c r="BZ9" s="224">
        <f t="shared" si="41"/>
        <v>1</v>
      </c>
      <c r="CA9" s="224">
        <f t="shared" si="42"/>
        <v>0</v>
      </c>
      <c r="CB9" s="224">
        <f t="shared" si="43"/>
        <v>4</v>
      </c>
    </row>
    <row r="10" spans="1:80" ht="36" customHeight="1">
      <c r="A10" s="225">
        <v>5</v>
      </c>
      <c r="B10" s="226" t="str">
        <f>IF(TYPE(VLOOKUP(CONCATENATE($C$1,A10),Skupiny!$A$3:$B$194,2,0))&gt;3," - ",VLOOKUP(CONCATENATE($C$1,A10),Skupiny!$A$3:$B$194,2,0))</f>
        <v>PK Polouvsí - Vrzal Martin</v>
      </c>
      <c r="C10" s="227">
        <f t="shared" si="0"/>
        <v>3</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4</v>
      </c>
      <c r="F10" s="230">
        <v>5</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3</v>
      </c>
      <c r="J10" s="230">
        <v>13</v>
      </c>
      <c r="K10" s="231">
        <v>4</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3</v>
      </c>
      <c r="N10" s="230">
        <v>6</v>
      </c>
      <c r="O10" s="231">
        <v>10</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4</v>
      </c>
      <c r="R10" s="230">
        <v>11</v>
      </c>
      <c r="S10" s="231">
        <v>13</v>
      </c>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1</v>
      </c>
      <c r="AE10" s="239">
        <f t="shared" si="2"/>
        <v>1</v>
      </c>
      <c r="AF10" s="240"/>
      <c r="AG10" s="240">
        <f t="shared" si="3"/>
        <v>0</v>
      </c>
      <c r="AH10" s="240">
        <f t="shared" si="4"/>
        <v>0</v>
      </c>
      <c r="AI10" s="240">
        <f t="shared" si="5"/>
        <v>0</v>
      </c>
      <c r="AJ10" s="240">
        <f t="shared" si="6"/>
        <v>1</v>
      </c>
      <c r="AK10" s="240"/>
      <c r="AL10" s="219">
        <f t="shared" si="7"/>
        <v>0</v>
      </c>
      <c r="AM10" s="219">
        <f t="shared" si="8"/>
        <v>0</v>
      </c>
      <c r="AN10" s="219">
        <f t="shared" si="9"/>
        <v>0</v>
      </c>
      <c r="AO10" s="219">
        <f t="shared" si="10"/>
        <v>7</v>
      </c>
      <c r="AP10" s="220">
        <f t="shared" si="11"/>
        <v>-5</v>
      </c>
      <c r="AQ10" s="220">
        <f t="shared" si="12"/>
        <v>35</v>
      </c>
      <c r="AR10" s="241"/>
      <c r="AS10" s="242" t="str">
        <f t="shared" si="13"/>
        <v>110001100100100107095035</v>
      </c>
      <c r="AT10" s="243">
        <f t="shared" si="14"/>
        <v>3</v>
      </c>
      <c r="AU10" s="69"/>
      <c r="AV10" s="217">
        <f t="shared" si="15"/>
        <v>1</v>
      </c>
      <c r="AX10" s="224">
        <f t="shared" si="16"/>
        <v>0</v>
      </c>
      <c r="AY10" s="224">
        <f t="shared" si="17"/>
        <v>1</v>
      </c>
      <c r="AZ10" s="224">
        <f t="shared" si="18"/>
        <v>0</v>
      </c>
      <c r="BA10" s="224">
        <f t="shared" si="19"/>
        <v>0</v>
      </c>
      <c r="BB10" s="224">
        <f t="shared" si="20"/>
        <v>0</v>
      </c>
      <c r="BC10" s="224">
        <f t="shared" si="21"/>
        <v>0</v>
      </c>
      <c r="BD10" s="224">
        <f t="shared" si="22"/>
        <v>1</v>
      </c>
      <c r="BF10" s="224">
        <f t="shared" si="23"/>
        <v>-8</v>
      </c>
      <c r="BG10" s="224">
        <f t="shared" si="24"/>
        <v>9</v>
      </c>
      <c r="BH10" s="224">
        <f t="shared" si="25"/>
        <v>-4</v>
      </c>
      <c r="BI10" s="224">
        <f t="shared" si="26"/>
        <v>-2</v>
      </c>
      <c r="BJ10" s="224">
        <f t="shared" si="27"/>
        <v>0</v>
      </c>
      <c r="BK10" s="224">
        <f t="shared" si="28"/>
        <v>0</v>
      </c>
      <c r="BL10" s="224">
        <f t="shared" si="29"/>
        <v>-5</v>
      </c>
      <c r="BN10" s="224">
        <f t="shared" si="30"/>
        <v>5</v>
      </c>
      <c r="BO10" s="224">
        <f t="shared" si="31"/>
        <v>13</v>
      </c>
      <c r="BP10" s="224">
        <f t="shared" si="32"/>
        <v>6</v>
      </c>
      <c r="BQ10" s="224">
        <f t="shared" si="33"/>
        <v>11</v>
      </c>
      <c r="BR10" s="224">
        <f t="shared" si="34"/>
        <v>0</v>
      </c>
      <c r="BS10" s="224">
        <f t="shared" si="35"/>
        <v>0</v>
      </c>
      <c r="BT10" s="224">
        <f t="shared" si="36"/>
        <v>35</v>
      </c>
      <c r="BV10" s="224">
        <f t="shared" si="37"/>
        <v>1</v>
      </c>
      <c r="BW10" s="224">
        <f t="shared" si="38"/>
        <v>0</v>
      </c>
      <c r="BX10" s="224">
        <f t="shared" si="39"/>
        <v>1</v>
      </c>
      <c r="BY10" s="224">
        <f t="shared" si="40"/>
        <v>0</v>
      </c>
      <c r="BZ10" s="224">
        <f t="shared" si="41"/>
        <v>0</v>
      </c>
      <c r="CA10" s="224">
        <f t="shared" si="42"/>
        <v>0</v>
      </c>
      <c r="CB10" s="224">
        <f t="shared" si="43"/>
        <v>3</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1</v>
      </c>
      <c r="BW11" s="224">
        <f t="shared" si="38"/>
        <v>1</v>
      </c>
      <c r="BX11" s="224">
        <f t="shared" si="39"/>
        <v>1</v>
      </c>
      <c r="BY11" s="224">
        <f t="shared" si="40"/>
        <v>1</v>
      </c>
      <c r="BZ11" s="224">
        <f t="shared" si="41"/>
        <v>1</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5</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PLUK Jablonec - Lukáš Vojtěch</v>
      </c>
      <c r="C14" s="261" t="str">
        <f t="shared" ref="C14:C17" si="45">CONCATENATE($C$1,A6)</f>
        <v>B1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UBU Únětice - Kot Pavel</v>
      </c>
      <c r="C15" s="261" t="str">
        <f t="shared" si="45"/>
        <v>B2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PK Polouvsí - Vrzal Martin</v>
      </c>
      <c r="C16" s="261" t="str">
        <f t="shared" si="45"/>
        <v>B3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SOKOL Staříč - Plesník Vladimír</v>
      </c>
      <c r="C17" s="261" t="str">
        <f t="shared" si="45"/>
        <v>B4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1</v>
      </c>
      <c r="G21" s="69">
        <f>AD22</f>
        <v>1</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1</v>
      </c>
      <c r="AE22" s="6">
        <f t="shared" ref="AE22:AE27" si="60">$AE6</f>
        <v>4</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1</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3</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1</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1</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1</v>
      </c>
      <c r="O30" s="69">
        <f>AD33</f>
        <v>1</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4</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1</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1</v>
      </c>
      <c r="AE33" s="6">
        <f t="shared" si="89"/>
        <v>3</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1</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1</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4</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1</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3</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1</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1</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1</v>
      </c>
      <c r="K48" s="69">
        <f>AD50</f>
        <v>1</v>
      </c>
      <c r="L48" s="69"/>
      <c r="M48" s="69"/>
      <c r="N48" s="69">
        <f>AD51</f>
        <v>0</v>
      </c>
      <c r="O48" s="69">
        <f>AD51</f>
        <v>0</v>
      </c>
      <c r="P48" s="69"/>
      <c r="Q48" s="69"/>
      <c r="R48" s="69">
        <f>AD52</f>
        <v>1</v>
      </c>
      <c r="S48" s="69">
        <f>AD52</f>
        <v>1</v>
      </c>
      <c r="T48" s="69"/>
      <c r="U48" s="69"/>
      <c r="V48" s="69">
        <f>AD53</f>
        <v>1</v>
      </c>
      <c r="W48" s="69">
        <f>AD53</f>
        <v>1</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4</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8</v>
      </c>
      <c r="S50" s="6">
        <f t="shared" si="141"/>
        <v>7</v>
      </c>
      <c r="V50" s="6">
        <f t="shared" si="142"/>
        <v>4</v>
      </c>
      <c r="W50" s="6">
        <f t="shared" si="143"/>
        <v>13</v>
      </c>
      <c r="Z50" s="6">
        <f t="shared" si="144"/>
        <v>0</v>
      </c>
      <c r="AA50" s="6">
        <f t="shared" si="145"/>
        <v>0</v>
      </c>
      <c r="AD50" s="6">
        <f t="shared" si="146"/>
        <v>1</v>
      </c>
      <c r="AE50" s="6">
        <f t="shared" si="147"/>
        <v>1</v>
      </c>
      <c r="AX50" s="6">
        <f t="shared" si="148"/>
        <v>0</v>
      </c>
      <c r="AY50" s="6">
        <f t="shared" si="149"/>
        <v>0</v>
      </c>
      <c r="AZ50" s="6">
        <f t="shared" si="150"/>
        <v>0</v>
      </c>
      <c r="BA50" s="6">
        <f t="shared" si="151"/>
        <v>1</v>
      </c>
      <c r="BB50" s="6">
        <f t="shared" si="152"/>
        <v>0</v>
      </c>
      <c r="BC50" s="6">
        <f t="shared" si="153"/>
        <v>0</v>
      </c>
      <c r="BD50" s="6">
        <f t="shared" si="154"/>
        <v>1</v>
      </c>
      <c r="BF50" s="6">
        <f t="shared" si="155"/>
        <v>0</v>
      </c>
      <c r="BG50" s="6">
        <f t="shared" si="156"/>
        <v>0</v>
      </c>
      <c r="BH50" s="6">
        <f t="shared" si="157"/>
        <v>0</v>
      </c>
      <c r="BI50" s="6">
        <f t="shared" si="158"/>
        <v>1</v>
      </c>
      <c r="BJ50" s="6">
        <f t="shared" si="159"/>
        <v>-9</v>
      </c>
      <c r="BK50" s="6">
        <f t="shared" si="160"/>
        <v>0</v>
      </c>
      <c r="BL50" s="6">
        <f t="shared" si="161"/>
        <v>-8</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3</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7</v>
      </c>
      <c r="K52" s="6">
        <f t="shared" si="137"/>
        <v>8</v>
      </c>
      <c r="N52" s="6">
        <f t="shared" si="138"/>
        <v>0</v>
      </c>
      <c r="O52" s="6">
        <f t="shared" si="139"/>
        <v>0</v>
      </c>
      <c r="R52" s="6">
        <f t="shared" si="140"/>
        <v>0</v>
      </c>
      <c r="S52" s="6">
        <f t="shared" si="141"/>
        <v>0</v>
      </c>
      <c r="V52" s="6">
        <f t="shared" si="142"/>
        <v>13</v>
      </c>
      <c r="W52" s="6">
        <f t="shared" si="143"/>
        <v>11</v>
      </c>
      <c r="Z52" s="6">
        <f t="shared" si="144"/>
        <v>0</v>
      </c>
      <c r="AA52" s="6">
        <f t="shared" si="145"/>
        <v>0</v>
      </c>
      <c r="AD52" s="6">
        <f t="shared" si="146"/>
        <v>1</v>
      </c>
      <c r="AE52" s="6">
        <f t="shared" si="147"/>
        <v>1</v>
      </c>
      <c r="AX52" s="6">
        <f t="shared" si="148"/>
        <v>0</v>
      </c>
      <c r="AY52" s="6">
        <f t="shared" si="149"/>
        <v>0</v>
      </c>
      <c r="AZ52" s="6">
        <f t="shared" si="150"/>
        <v>0</v>
      </c>
      <c r="BA52" s="6">
        <f t="shared" si="151"/>
        <v>0</v>
      </c>
      <c r="BB52" s="6">
        <f t="shared" si="152"/>
        <v>1</v>
      </c>
      <c r="BC52" s="6">
        <f t="shared" si="153"/>
        <v>0</v>
      </c>
      <c r="BD52" s="6">
        <f t="shared" si="154"/>
        <v>1</v>
      </c>
      <c r="BF52" s="6">
        <f t="shared" si="155"/>
        <v>0</v>
      </c>
      <c r="BG52" s="6">
        <f t="shared" si="156"/>
        <v>-1</v>
      </c>
      <c r="BH52" s="6">
        <f t="shared" si="157"/>
        <v>0</v>
      </c>
      <c r="BI52" s="6">
        <f t="shared" si="158"/>
        <v>0</v>
      </c>
      <c r="BJ52" s="6">
        <f t="shared" si="159"/>
        <v>2</v>
      </c>
      <c r="BK52" s="6">
        <f t="shared" si="160"/>
        <v>0</v>
      </c>
      <c r="BL52" s="6">
        <f t="shared" si="161"/>
        <v>1</v>
      </c>
    </row>
    <row r="53" spans="1:64" ht="12" hidden="1" customHeight="1">
      <c r="A53" s="6">
        <f t="shared" si="133"/>
        <v>5</v>
      </c>
      <c r="F53" s="6">
        <f t="shared" si="134"/>
        <v>0</v>
      </c>
      <c r="G53" s="6">
        <f t="shared" si="135"/>
        <v>0</v>
      </c>
      <c r="J53" s="6">
        <f t="shared" si="136"/>
        <v>13</v>
      </c>
      <c r="K53" s="6">
        <f t="shared" si="137"/>
        <v>4</v>
      </c>
      <c r="N53" s="6">
        <f t="shared" si="138"/>
        <v>0</v>
      </c>
      <c r="O53" s="6">
        <f t="shared" si="139"/>
        <v>0</v>
      </c>
      <c r="R53" s="6">
        <f t="shared" si="140"/>
        <v>11</v>
      </c>
      <c r="S53" s="6">
        <f t="shared" si="141"/>
        <v>13</v>
      </c>
      <c r="V53" s="6">
        <f t="shared" si="142"/>
        <v>0</v>
      </c>
      <c r="W53" s="6">
        <f t="shared" si="143"/>
        <v>0</v>
      </c>
      <c r="Z53" s="6">
        <f t="shared" si="144"/>
        <v>0</v>
      </c>
      <c r="AA53" s="6">
        <f t="shared" si="145"/>
        <v>0</v>
      </c>
      <c r="AD53" s="6">
        <f t="shared" si="146"/>
        <v>1</v>
      </c>
      <c r="AE53" s="6">
        <f t="shared" si="147"/>
        <v>1</v>
      </c>
      <c r="AX53" s="6">
        <f t="shared" si="148"/>
        <v>0</v>
      </c>
      <c r="AY53" s="6">
        <f t="shared" si="149"/>
        <v>1</v>
      </c>
      <c r="AZ53" s="6">
        <f t="shared" si="150"/>
        <v>0</v>
      </c>
      <c r="BA53" s="6">
        <f t="shared" si="151"/>
        <v>0</v>
      </c>
      <c r="BB53" s="6">
        <f t="shared" si="152"/>
        <v>0</v>
      </c>
      <c r="BC53" s="6">
        <f t="shared" si="153"/>
        <v>0</v>
      </c>
      <c r="BD53" s="6">
        <f t="shared" si="154"/>
        <v>1</v>
      </c>
      <c r="BF53" s="6">
        <f t="shared" si="155"/>
        <v>0</v>
      </c>
      <c r="BG53" s="6">
        <f t="shared" si="156"/>
        <v>9</v>
      </c>
      <c r="BH53" s="6">
        <f t="shared" si="157"/>
        <v>0</v>
      </c>
      <c r="BI53" s="6">
        <f t="shared" si="158"/>
        <v>-2</v>
      </c>
      <c r="BJ53" s="6">
        <f t="shared" si="159"/>
        <v>0</v>
      </c>
      <c r="BK53" s="6">
        <f t="shared" si="160"/>
        <v>0</v>
      </c>
      <c r="BL53" s="6">
        <f t="shared" si="161"/>
        <v>7</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72" priority="1" operator="equal">
      <formula>0</formula>
    </cfRule>
  </conditionalFormatting>
  <conditionalFormatting sqref="J6:K6 N6:O7 R6:S8 V6:W9 Z6:AA10">
    <cfRule type="cellIs" dxfId="171" priority="2" operator="equal">
      <formula>0</formula>
    </cfRule>
  </conditionalFormatting>
  <conditionalFormatting sqref="B6:B11">
    <cfRule type="expression" dxfId="170" priority="3">
      <formula>IF(C6=1,TRUE,FALSE)</formula>
    </cfRule>
  </conditionalFormatting>
  <conditionalFormatting sqref="B6:B11">
    <cfRule type="expression" dxfId="16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3</v>
      </c>
      <c r="B1" s="175" t="s">
        <v>1794</v>
      </c>
      <c r="C1" s="274" t="s">
        <v>1833</v>
      </c>
      <c r="D1" s="69"/>
      <c r="E1" s="69"/>
      <c r="F1" s="177" t="s">
        <v>1712</v>
      </c>
      <c r="G1" s="178">
        <f>$AV$12</f>
        <v>5</v>
      </c>
      <c r="H1" s="179" t="s">
        <v>1796</v>
      </c>
      <c r="I1" s="69"/>
      <c r="J1" s="69"/>
      <c r="K1" s="69"/>
      <c r="L1" s="69"/>
      <c r="M1" s="69"/>
      <c r="N1" s="69"/>
      <c r="O1" s="69"/>
      <c r="P1" s="180" t="s">
        <v>1797</v>
      </c>
      <c r="Q1" s="74"/>
      <c r="R1" s="181">
        <f ca="1">INDIRECT(ADDRESS(4,A1,1,1,"Hřiště"))</f>
        <v>5</v>
      </c>
      <c r="S1" s="181">
        <f ca="1">INDIRECT(ADDRESS(5,A1,1,1,"Hřiště"))</f>
        <v>6</v>
      </c>
      <c r="T1" s="181"/>
      <c r="U1" s="69"/>
      <c r="V1" s="69"/>
      <c r="W1" s="69"/>
      <c r="X1" s="69"/>
      <c r="Y1" s="69"/>
      <c r="Z1" s="177" t="s">
        <v>1798</v>
      </c>
      <c r="AA1" s="178">
        <f>IF(G1=0,0,CHOOSE(G1,0,1,1,2,2,3))</f>
        <v>2</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SKP Hranice VI-Valšovice - Kutá Miloslava</v>
      </c>
      <c r="C6" s="208">
        <f t="shared" ref="C6:C11" si="0">IF(CB6=0,"",CB6)</f>
        <v>1</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6</v>
      </c>
      <c r="J6" s="215">
        <f>$G$7</f>
        <v>13</v>
      </c>
      <c r="K6" s="216">
        <f>$F$7</f>
        <v>7</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5</v>
      </c>
      <c r="N6" s="215">
        <f>$G$8</f>
        <v>13</v>
      </c>
      <c r="O6" s="216">
        <f>$F$8</f>
        <v>4</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5</v>
      </c>
      <c r="R6" s="215">
        <f>$G$9</f>
        <v>12</v>
      </c>
      <c r="S6" s="216">
        <f>$F$9</f>
        <v>13</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6</v>
      </c>
      <c r="V6" s="215">
        <f>$G$10</f>
        <v>13</v>
      </c>
      <c r="W6" s="216">
        <f>$F$10</f>
        <v>4</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1</v>
      </c>
      <c r="AE6" s="218">
        <f t="shared" ref="AE6:AE11" si="2">SUM(AX6:BC6)</f>
        <v>3</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23</v>
      </c>
      <c r="AQ6" s="220">
        <f t="shared" ref="AQ6:AQ11" si="12">SUM(BN6:BS6)</f>
        <v>51</v>
      </c>
      <c r="AR6" s="221"/>
      <c r="AS6" s="222" t="str">
        <f t="shared" ref="AS6:AS11" si="13">CONCATENATE(TEXT(AD6,"0"),TEXT(AE6,"0"),TEXT(AG6,"0"),TEXT(AH6,"0"),TEXT(AI6,"0"),TEXT(AJ6,"0"),TEXT(100+AL6,"000"),TEXT(100+AM6,"000"),TEXT(100+AN6,"000"),TEXT(100+AO6,"000"),TEXT(100+AP6,"000"),TEXT(AQ6,"000"))</f>
        <v>130000100100100100123051</v>
      </c>
      <c r="AT6" s="223">
        <f t="shared" ref="AT6:AT11" si="14">CB6</f>
        <v>1</v>
      </c>
      <c r="AU6" s="69"/>
      <c r="AV6" s="217">
        <f t="shared" ref="AV6:AV11" si="15">IF(OR(B6="",B6=" - "),0,1)</f>
        <v>1</v>
      </c>
      <c r="AX6" s="224">
        <f t="shared" ref="AX6:AX11" si="16">IF(F6&gt;G6,1,0)</f>
        <v>0</v>
      </c>
      <c r="AY6" s="224">
        <f t="shared" ref="AY6:AY11" si="17">IF(J6&gt;K6,1,0)</f>
        <v>1</v>
      </c>
      <c r="AZ6" s="224">
        <f t="shared" ref="AZ6:AZ11" si="18">IF(N6&gt;O6,1,0)</f>
        <v>1</v>
      </c>
      <c r="BA6" s="224">
        <f t="shared" ref="BA6:BA11" si="19">IF(R6&gt;S6,1,0)</f>
        <v>0</v>
      </c>
      <c r="BB6" s="224">
        <f t="shared" ref="BB6:BB11" si="20">IF(V6&gt;W6,1,0)</f>
        <v>1</v>
      </c>
      <c r="BC6" s="224">
        <f t="shared" ref="BC6:BC11" si="21">IF(Z6&gt;AA6,1,0)</f>
        <v>0</v>
      </c>
      <c r="BD6" s="224">
        <f t="shared" ref="BD6:BD11" si="22">SUM(AX6:BC6)</f>
        <v>3</v>
      </c>
      <c r="BF6" s="224">
        <f t="shared" ref="BF6:BF11" si="23">F6-G6</f>
        <v>0</v>
      </c>
      <c r="BG6" s="224">
        <f t="shared" ref="BG6:BG11" si="24">J6-K6</f>
        <v>6</v>
      </c>
      <c r="BH6" s="224">
        <f t="shared" ref="BH6:BH11" si="25">N6-O6</f>
        <v>9</v>
      </c>
      <c r="BI6" s="224">
        <f t="shared" ref="BI6:BI11" si="26">R6-S6</f>
        <v>-1</v>
      </c>
      <c r="BJ6" s="224">
        <f t="shared" ref="BJ6:BJ11" si="27">V6-W6</f>
        <v>9</v>
      </c>
      <c r="BK6" s="224">
        <f t="shared" ref="BK6:BK11" si="28">Z6-AA6</f>
        <v>0</v>
      </c>
      <c r="BL6" s="224">
        <f t="shared" ref="BL6:BL11" si="29">SUM(BF6:BK6)</f>
        <v>23</v>
      </c>
      <c r="BN6" s="224">
        <f t="shared" ref="BN6:BN11" si="30">F6</f>
        <v>0</v>
      </c>
      <c r="BO6" s="224">
        <f t="shared" ref="BO6:BO11" si="31">J6</f>
        <v>13</v>
      </c>
      <c r="BP6" s="224">
        <f t="shared" ref="BP6:BP11" si="32">N6</f>
        <v>13</v>
      </c>
      <c r="BQ6" s="224">
        <f t="shared" ref="BQ6:BQ11" si="33">R6</f>
        <v>12</v>
      </c>
      <c r="BR6" s="224">
        <f t="shared" ref="BR6:BR11" si="34">V6</f>
        <v>13</v>
      </c>
      <c r="BS6" s="224">
        <f t="shared" ref="BS6:BS11" si="35">Z6</f>
        <v>0</v>
      </c>
      <c r="BT6" s="224">
        <f t="shared" ref="BT6:BT11" si="36">SUM(BN6:BS6)</f>
        <v>51</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1</v>
      </c>
    </row>
    <row r="7" spans="1:80" ht="36" customHeight="1">
      <c r="A7" s="225">
        <v>2</v>
      </c>
      <c r="B7" s="226" t="str">
        <f>IF(TYPE(VLOOKUP(CONCATENATE($C$1,A7),Skupiny!$A$3:$B$194,2,0))&gt;3," - ",VLOOKUP(CONCATENATE($C$1,A7),Skupiny!$A$3:$B$194,2,0))</f>
        <v>PAK Albrechtice - Bukovčík Jan</v>
      </c>
      <c r="C7" s="227">
        <f t="shared" si="0"/>
        <v>4</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6</v>
      </c>
      <c r="F7" s="230">
        <v>7</v>
      </c>
      <c r="G7" s="231">
        <v>13</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6</v>
      </c>
      <c r="N7" s="238">
        <f>$K$8</f>
        <v>5</v>
      </c>
      <c r="O7" s="216">
        <f>$J$8</f>
        <v>13</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5</v>
      </c>
      <c r="R7" s="238">
        <f>$K$9</f>
        <v>12</v>
      </c>
      <c r="S7" s="216">
        <f>$J$9</f>
        <v>11</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5</v>
      </c>
      <c r="V7" s="238">
        <f>$K$10</f>
        <v>11</v>
      </c>
      <c r="W7" s="216">
        <f>$J$10</f>
        <v>7</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1</v>
      </c>
      <c r="AE7" s="239">
        <f t="shared" si="2"/>
        <v>2</v>
      </c>
      <c r="AF7" s="240"/>
      <c r="AG7" s="240">
        <f t="shared" si="3"/>
        <v>0</v>
      </c>
      <c r="AH7" s="240">
        <f t="shared" si="4"/>
        <v>0</v>
      </c>
      <c r="AI7" s="240">
        <f t="shared" si="5"/>
        <v>1</v>
      </c>
      <c r="AJ7" s="240">
        <f t="shared" si="6"/>
        <v>0</v>
      </c>
      <c r="AK7" s="240"/>
      <c r="AL7" s="219">
        <f t="shared" si="7"/>
        <v>0</v>
      </c>
      <c r="AM7" s="219">
        <f t="shared" si="8"/>
        <v>0</v>
      </c>
      <c r="AN7" s="219">
        <f t="shared" si="9"/>
        <v>-7</v>
      </c>
      <c r="AO7" s="219">
        <f t="shared" si="10"/>
        <v>0</v>
      </c>
      <c r="AP7" s="220">
        <f t="shared" si="11"/>
        <v>-9</v>
      </c>
      <c r="AQ7" s="220">
        <f t="shared" si="12"/>
        <v>35</v>
      </c>
      <c r="AR7" s="241"/>
      <c r="AS7" s="242" t="str">
        <f t="shared" si="13"/>
        <v>120010100100093100091035</v>
      </c>
      <c r="AT7" s="243">
        <f t="shared" si="14"/>
        <v>4</v>
      </c>
      <c r="AU7" s="69"/>
      <c r="AV7" s="217">
        <f t="shared" si="15"/>
        <v>1</v>
      </c>
      <c r="AX7" s="224">
        <f t="shared" si="16"/>
        <v>0</v>
      </c>
      <c r="AY7" s="224">
        <f t="shared" si="17"/>
        <v>0</v>
      </c>
      <c r="AZ7" s="224">
        <f t="shared" si="18"/>
        <v>0</v>
      </c>
      <c r="BA7" s="224">
        <f t="shared" si="19"/>
        <v>1</v>
      </c>
      <c r="BB7" s="224">
        <f t="shared" si="20"/>
        <v>1</v>
      </c>
      <c r="BC7" s="224">
        <f t="shared" si="21"/>
        <v>0</v>
      </c>
      <c r="BD7" s="224">
        <f t="shared" si="22"/>
        <v>2</v>
      </c>
      <c r="BF7" s="224">
        <f t="shared" si="23"/>
        <v>-6</v>
      </c>
      <c r="BG7" s="224">
        <f t="shared" si="24"/>
        <v>0</v>
      </c>
      <c r="BH7" s="224">
        <f t="shared" si="25"/>
        <v>-8</v>
      </c>
      <c r="BI7" s="224">
        <f t="shared" si="26"/>
        <v>1</v>
      </c>
      <c r="BJ7" s="224">
        <f t="shared" si="27"/>
        <v>4</v>
      </c>
      <c r="BK7" s="224">
        <f t="shared" si="28"/>
        <v>0</v>
      </c>
      <c r="BL7" s="224">
        <f t="shared" si="29"/>
        <v>-9</v>
      </c>
      <c r="BN7" s="224">
        <f t="shared" si="30"/>
        <v>7</v>
      </c>
      <c r="BO7" s="224">
        <f t="shared" si="31"/>
        <v>0</v>
      </c>
      <c r="BP7" s="224">
        <f t="shared" si="32"/>
        <v>5</v>
      </c>
      <c r="BQ7" s="224">
        <f t="shared" si="33"/>
        <v>12</v>
      </c>
      <c r="BR7" s="224">
        <f t="shared" si="34"/>
        <v>11</v>
      </c>
      <c r="BS7" s="224">
        <f t="shared" si="35"/>
        <v>0</v>
      </c>
      <c r="BT7" s="224">
        <f t="shared" si="36"/>
        <v>35</v>
      </c>
      <c r="BV7" s="224">
        <f t="shared" si="37"/>
        <v>1</v>
      </c>
      <c r="BW7" s="224">
        <f t="shared" si="38"/>
        <v>0</v>
      </c>
      <c r="BX7" s="224">
        <f t="shared" si="39"/>
        <v>1</v>
      </c>
      <c r="BY7" s="224">
        <f t="shared" si="40"/>
        <v>1</v>
      </c>
      <c r="BZ7" s="224">
        <f t="shared" si="41"/>
        <v>0</v>
      </c>
      <c r="CA7" s="224">
        <f t="shared" si="42"/>
        <v>0</v>
      </c>
      <c r="CB7" s="224">
        <f t="shared" si="43"/>
        <v>4</v>
      </c>
    </row>
    <row r="8" spans="1:80" ht="36" customHeight="1">
      <c r="A8" s="225">
        <v>3</v>
      </c>
      <c r="B8" s="226" t="str">
        <f>IF(TYPE(VLOOKUP(CONCATENATE($C$1,A8),Skupiny!$A$3:$B$194,2,0))&gt;3," - ",VLOOKUP(CONCATENATE($C$1,A8),Skupiny!$A$3:$B$194,2,0))</f>
        <v>Kulový blesk Olomouc - Hildenbrand Benjamin</v>
      </c>
      <c r="C8" s="227">
        <f t="shared" si="0"/>
        <v>2</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5</v>
      </c>
      <c r="F8" s="230">
        <v>4</v>
      </c>
      <c r="G8" s="231">
        <v>13</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6</v>
      </c>
      <c r="J8" s="230">
        <v>13</v>
      </c>
      <c r="K8" s="231">
        <v>5</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6</v>
      </c>
      <c r="R8" s="238">
        <f>$O$9</f>
        <v>11</v>
      </c>
      <c r="S8" s="216">
        <f>$N$9</f>
        <v>13</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5</v>
      </c>
      <c r="V8" s="238">
        <f>$O$10</f>
        <v>13</v>
      </c>
      <c r="W8" s="216">
        <f>$N$10</f>
        <v>5</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1</v>
      </c>
      <c r="AE8" s="239">
        <f t="shared" si="2"/>
        <v>2</v>
      </c>
      <c r="AF8" s="240"/>
      <c r="AG8" s="240">
        <f t="shared" si="3"/>
        <v>0</v>
      </c>
      <c r="AH8" s="240">
        <f t="shared" si="4"/>
        <v>0</v>
      </c>
      <c r="AI8" s="240">
        <f t="shared" si="5"/>
        <v>1</v>
      </c>
      <c r="AJ8" s="240">
        <f t="shared" si="6"/>
        <v>0</v>
      </c>
      <c r="AK8" s="240"/>
      <c r="AL8" s="219">
        <f t="shared" si="7"/>
        <v>0</v>
      </c>
      <c r="AM8" s="219">
        <f t="shared" si="8"/>
        <v>0</v>
      </c>
      <c r="AN8" s="219">
        <f t="shared" si="9"/>
        <v>6</v>
      </c>
      <c r="AO8" s="219">
        <f t="shared" si="10"/>
        <v>0</v>
      </c>
      <c r="AP8" s="220">
        <f t="shared" si="11"/>
        <v>5</v>
      </c>
      <c r="AQ8" s="220">
        <f t="shared" si="12"/>
        <v>41</v>
      </c>
      <c r="AR8" s="241"/>
      <c r="AS8" s="242" t="str">
        <f t="shared" si="13"/>
        <v>120010100100106100105041</v>
      </c>
      <c r="AT8" s="243">
        <f t="shared" si="14"/>
        <v>2</v>
      </c>
      <c r="AU8" s="69"/>
      <c r="AV8" s="217">
        <f t="shared" si="15"/>
        <v>1</v>
      </c>
      <c r="AX8" s="224">
        <f t="shared" si="16"/>
        <v>0</v>
      </c>
      <c r="AY8" s="224">
        <f t="shared" si="17"/>
        <v>1</v>
      </c>
      <c r="AZ8" s="224">
        <f t="shared" si="18"/>
        <v>0</v>
      </c>
      <c r="BA8" s="224">
        <f t="shared" si="19"/>
        <v>0</v>
      </c>
      <c r="BB8" s="224">
        <f t="shared" si="20"/>
        <v>1</v>
      </c>
      <c r="BC8" s="224">
        <f t="shared" si="21"/>
        <v>0</v>
      </c>
      <c r="BD8" s="224">
        <f t="shared" si="22"/>
        <v>2</v>
      </c>
      <c r="BF8" s="224">
        <f t="shared" si="23"/>
        <v>-9</v>
      </c>
      <c r="BG8" s="224">
        <f t="shared" si="24"/>
        <v>8</v>
      </c>
      <c r="BH8" s="224">
        <f t="shared" si="25"/>
        <v>0</v>
      </c>
      <c r="BI8" s="224">
        <f t="shared" si="26"/>
        <v>-2</v>
      </c>
      <c r="BJ8" s="224">
        <f t="shared" si="27"/>
        <v>8</v>
      </c>
      <c r="BK8" s="224">
        <f t="shared" si="28"/>
        <v>0</v>
      </c>
      <c r="BL8" s="224">
        <f t="shared" si="29"/>
        <v>5</v>
      </c>
      <c r="BN8" s="224">
        <f t="shared" si="30"/>
        <v>4</v>
      </c>
      <c r="BO8" s="224">
        <f t="shared" si="31"/>
        <v>13</v>
      </c>
      <c r="BP8" s="224">
        <f t="shared" si="32"/>
        <v>0</v>
      </c>
      <c r="BQ8" s="224">
        <f t="shared" si="33"/>
        <v>11</v>
      </c>
      <c r="BR8" s="224">
        <f t="shared" si="34"/>
        <v>13</v>
      </c>
      <c r="BS8" s="224">
        <f t="shared" si="35"/>
        <v>0</v>
      </c>
      <c r="BT8" s="224">
        <f t="shared" si="36"/>
        <v>41</v>
      </c>
      <c r="BV8" s="224">
        <f t="shared" si="37"/>
        <v>1</v>
      </c>
      <c r="BW8" s="224">
        <f t="shared" si="38"/>
        <v>0</v>
      </c>
      <c r="BX8" s="224">
        <f t="shared" si="39"/>
        <v>0</v>
      </c>
      <c r="BY8" s="224">
        <f t="shared" si="40"/>
        <v>0</v>
      </c>
      <c r="BZ8" s="224">
        <f t="shared" si="41"/>
        <v>0</v>
      </c>
      <c r="CA8" s="224">
        <f t="shared" si="42"/>
        <v>0</v>
      </c>
      <c r="CB8" s="224">
        <f t="shared" si="43"/>
        <v>2</v>
      </c>
    </row>
    <row r="9" spans="1:80" ht="36" customHeight="1">
      <c r="A9" s="225">
        <v>4</v>
      </c>
      <c r="B9" s="226" t="str">
        <f>IF(TYPE(VLOOKUP(CONCATENATE($C$1,A9),Skupiny!$A$3:$B$194,2,0))&gt;3," - ",VLOOKUP(CONCATENATE($C$1,A9),Skupiny!$A$3:$B$194,2,0))</f>
        <v>1. Starobrněnský PK - Kutra Oldřích</v>
      </c>
      <c r="C9" s="227">
        <f t="shared" si="0"/>
        <v>3</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5</v>
      </c>
      <c r="F9" s="230">
        <v>13</v>
      </c>
      <c r="G9" s="231">
        <v>12</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5</v>
      </c>
      <c r="J9" s="230">
        <v>11</v>
      </c>
      <c r="K9" s="231">
        <v>12</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6</v>
      </c>
      <c r="N9" s="230">
        <v>13</v>
      </c>
      <c r="O9" s="231">
        <v>11</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6</v>
      </c>
      <c r="V9" s="238">
        <f>$S$10</f>
        <v>8</v>
      </c>
      <c r="W9" s="216">
        <f>$R$10</f>
        <v>13</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1</v>
      </c>
      <c r="AE9" s="239">
        <f t="shared" si="2"/>
        <v>2</v>
      </c>
      <c r="AF9" s="240"/>
      <c r="AG9" s="240">
        <f t="shared" si="3"/>
        <v>0</v>
      </c>
      <c r="AH9" s="240">
        <f t="shared" si="4"/>
        <v>0</v>
      </c>
      <c r="AI9" s="240">
        <f t="shared" si="5"/>
        <v>1</v>
      </c>
      <c r="AJ9" s="240">
        <f t="shared" si="6"/>
        <v>0</v>
      </c>
      <c r="AK9" s="240"/>
      <c r="AL9" s="219">
        <f t="shared" si="7"/>
        <v>0</v>
      </c>
      <c r="AM9" s="219">
        <f t="shared" si="8"/>
        <v>0</v>
      </c>
      <c r="AN9" s="219">
        <f t="shared" si="9"/>
        <v>1</v>
      </c>
      <c r="AO9" s="219">
        <f t="shared" si="10"/>
        <v>0</v>
      </c>
      <c r="AP9" s="220">
        <f t="shared" si="11"/>
        <v>-3</v>
      </c>
      <c r="AQ9" s="220">
        <f t="shared" si="12"/>
        <v>45</v>
      </c>
      <c r="AR9" s="241"/>
      <c r="AS9" s="242" t="str">
        <f t="shared" si="13"/>
        <v>120010100100101100097045</v>
      </c>
      <c r="AT9" s="243">
        <f t="shared" si="14"/>
        <v>3</v>
      </c>
      <c r="AU9" s="69"/>
      <c r="AV9" s="217">
        <f t="shared" si="15"/>
        <v>1</v>
      </c>
      <c r="AX9" s="224">
        <f t="shared" si="16"/>
        <v>1</v>
      </c>
      <c r="AY9" s="224">
        <f t="shared" si="17"/>
        <v>0</v>
      </c>
      <c r="AZ9" s="224">
        <f t="shared" si="18"/>
        <v>1</v>
      </c>
      <c r="BA9" s="224">
        <f t="shared" si="19"/>
        <v>0</v>
      </c>
      <c r="BB9" s="224">
        <f t="shared" si="20"/>
        <v>0</v>
      </c>
      <c r="BC9" s="224">
        <f t="shared" si="21"/>
        <v>0</v>
      </c>
      <c r="BD9" s="224">
        <f t="shared" si="22"/>
        <v>2</v>
      </c>
      <c r="BF9" s="224">
        <f t="shared" si="23"/>
        <v>1</v>
      </c>
      <c r="BG9" s="224">
        <f t="shared" si="24"/>
        <v>-1</v>
      </c>
      <c r="BH9" s="224">
        <f t="shared" si="25"/>
        <v>2</v>
      </c>
      <c r="BI9" s="224">
        <f t="shared" si="26"/>
        <v>0</v>
      </c>
      <c r="BJ9" s="224">
        <f t="shared" si="27"/>
        <v>-5</v>
      </c>
      <c r="BK9" s="224">
        <f t="shared" si="28"/>
        <v>0</v>
      </c>
      <c r="BL9" s="224">
        <f t="shared" si="29"/>
        <v>-3</v>
      </c>
      <c r="BN9" s="224">
        <f t="shared" si="30"/>
        <v>13</v>
      </c>
      <c r="BO9" s="224">
        <f t="shared" si="31"/>
        <v>11</v>
      </c>
      <c r="BP9" s="224">
        <f t="shared" si="32"/>
        <v>13</v>
      </c>
      <c r="BQ9" s="224">
        <f t="shared" si="33"/>
        <v>0</v>
      </c>
      <c r="BR9" s="224">
        <f t="shared" si="34"/>
        <v>8</v>
      </c>
      <c r="BS9" s="224">
        <f t="shared" si="35"/>
        <v>0</v>
      </c>
      <c r="BT9" s="224">
        <f t="shared" si="36"/>
        <v>45</v>
      </c>
      <c r="BV9" s="224">
        <f t="shared" si="37"/>
        <v>1</v>
      </c>
      <c r="BW9" s="224">
        <f t="shared" si="38"/>
        <v>0</v>
      </c>
      <c r="BX9" s="224">
        <f t="shared" si="39"/>
        <v>1</v>
      </c>
      <c r="BY9" s="224">
        <f t="shared" si="40"/>
        <v>0</v>
      </c>
      <c r="BZ9" s="224">
        <f t="shared" si="41"/>
        <v>0</v>
      </c>
      <c r="CA9" s="224">
        <f t="shared" si="42"/>
        <v>0</v>
      </c>
      <c r="CB9" s="224">
        <f t="shared" si="43"/>
        <v>3</v>
      </c>
    </row>
    <row r="10" spans="1:80" ht="36" customHeight="1">
      <c r="A10" s="225">
        <v>5</v>
      </c>
      <c r="B10" s="226" t="str">
        <f>IF(TYPE(VLOOKUP(CONCATENATE($C$1,A10),Skupiny!$A$3:$B$194,2,0))&gt;3," - ",VLOOKUP(CONCATENATE($C$1,A10),Skupiny!$A$3:$B$194,2,0))</f>
        <v>1. KPK Vrchlabí - Bucek Zdeněk</v>
      </c>
      <c r="C10" s="227">
        <f t="shared" si="0"/>
        <v>5</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6</v>
      </c>
      <c r="F10" s="230">
        <v>4</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5</v>
      </c>
      <c r="J10" s="230">
        <v>7</v>
      </c>
      <c r="K10" s="231">
        <v>11</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5</v>
      </c>
      <c r="N10" s="230">
        <v>5</v>
      </c>
      <c r="O10" s="231">
        <v>13</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6</v>
      </c>
      <c r="R10" s="230">
        <v>13</v>
      </c>
      <c r="S10" s="231">
        <v>8</v>
      </c>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1</v>
      </c>
      <c r="AE10" s="239">
        <f t="shared" si="2"/>
        <v>1</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-16</v>
      </c>
      <c r="AQ10" s="220">
        <f t="shared" si="12"/>
        <v>29</v>
      </c>
      <c r="AR10" s="241"/>
      <c r="AS10" s="242" t="str">
        <f t="shared" si="13"/>
        <v>110000100100100100084029</v>
      </c>
      <c r="AT10" s="243">
        <f t="shared" si="14"/>
        <v>5</v>
      </c>
      <c r="AU10" s="69"/>
      <c r="AV10" s="217">
        <f t="shared" si="15"/>
        <v>1</v>
      </c>
      <c r="AX10" s="224">
        <f t="shared" si="16"/>
        <v>0</v>
      </c>
      <c r="AY10" s="224">
        <f t="shared" si="17"/>
        <v>0</v>
      </c>
      <c r="AZ10" s="224">
        <f t="shared" si="18"/>
        <v>0</v>
      </c>
      <c r="BA10" s="224">
        <f t="shared" si="19"/>
        <v>1</v>
      </c>
      <c r="BB10" s="224">
        <f t="shared" si="20"/>
        <v>0</v>
      </c>
      <c r="BC10" s="224">
        <f t="shared" si="21"/>
        <v>0</v>
      </c>
      <c r="BD10" s="224">
        <f t="shared" si="22"/>
        <v>1</v>
      </c>
      <c r="BF10" s="224">
        <f t="shared" si="23"/>
        <v>-9</v>
      </c>
      <c r="BG10" s="224">
        <f t="shared" si="24"/>
        <v>-4</v>
      </c>
      <c r="BH10" s="224">
        <f t="shared" si="25"/>
        <v>-8</v>
      </c>
      <c r="BI10" s="224">
        <f t="shared" si="26"/>
        <v>5</v>
      </c>
      <c r="BJ10" s="224">
        <f t="shared" si="27"/>
        <v>0</v>
      </c>
      <c r="BK10" s="224">
        <f t="shared" si="28"/>
        <v>0</v>
      </c>
      <c r="BL10" s="224">
        <f t="shared" si="29"/>
        <v>-16</v>
      </c>
      <c r="BN10" s="224">
        <f t="shared" si="30"/>
        <v>4</v>
      </c>
      <c r="BO10" s="224">
        <f t="shared" si="31"/>
        <v>7</v>
      </c>
      <c r="BP10" s="224">
        <f t="shared" si="32"/>
        <v>5</v>
      </c>
      <c r="BQ10" s="224">
        <f t="shared" si="33"/>
        <v>13</v>
      </c>
      <c r="BR10" s="224">
        <f t="shared" si="34"/>
        <v>0</v>
      </c>
      <c r="BS10" s="224">
        <f t="shared" si="35"/>
        <v>0</v>
      </c>
      <c r="BT10" s="224">
        <f t="shared" si="36"/>
        <v>29</v>
      </c>
      <c r="BV10" s="224">
        <f t="shared" si="37"/>
        <v>1</v>
      </c>
      <c r="BW10" s="224">
        <f t="shared" si="38"/>
        <v>1</v>
      </c>
      <c r="BX10" s="224">
        <f t="shared" si="39"/>
        <v>1</v>
      </c>
      <c r="BY10" s="224">
        <f t="shared" si="40"/>
        <v>1</v>
      </c>
      <c r="BZ10" s="224">
        <f t="shared" si="41"/>
        <v>0</v>
      </c>
      <c r="CA10" s="224">
        <f t="shared" si="42"/>
        <v>0</v>
      </c>
      <c r="CB10" s="224">
        <f t="shared" si="43"/>
        <v>5</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1</v>
      </c>
      <c r="BW11" s="224">
        <f t="shared" si="38"/>
        <v>1</v>
      </c>
      <c r="BX11" s="224">
        <f t="shared" si="39"/>
        <v>1</v>
      </c>
      <c r="BY11" s="224">
        <f t="shared" si="40"/>
        <v>1</v>
      </c>
      <c r="BZ11" s="224">
        <f t="shared" si="41"/>
        <v>1</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5</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SKP Hranice VI-Valšovice - Kutá Miloslava</v>
      </c>
      <c r="C14" s="261" t="str">
        <f t="shared" ref="C14:C17" si="45">CONCATENATE($C$1,A6)</f>
        <v>C1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Kulový blesk Olomouc - Hildenbrand Benjamin</v>
      </c>
      <c r="C15" s="261" t="str">
        <f t="shared" si="45"/>
        <v>C2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1. Starobrněnský PK - Kutra Oldřích</v>
      </c>
      <c r="C16" s="261" t="str">
        <f t="shared" si="45"/>
        <v>C3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PAK Albrechtice - Bukovčík Jan</v>
      </c>
      <c r="C17" s="261" t="str">
        <f t="shared" si="45"/>
        <v>C4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3</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2</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2</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2</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1</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1</v>
      </c>
      <c r="G30" s="69">
        <f>AD31</f>
        <v>1</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1</v>
      </c>
      <c r="AE31" s="6">
        <f t="shared" ref="AE31:AE36" si="89">$AE6</f>
        <v>3</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2</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2</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2</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1</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1</v>
      </c>
      <c r="K39" s="69">
        <f>AD41</f>
        <v>1</v>
      </c>
      <c r="L39" s="69"/>
      <c r="M39" s="69"/>
      <c r="N39" s="69">
        <f>AD42</f>
        <v>1</v>
      </c>
      <c r="O39" s="69">
        <f>AD42</f>
        <v>1</v>
      </c>
      <c r="P39" s="69"/>
      <c r="Q39" s="69"/>
      <c r="R39" s="69">
        <f>AD43</f>
        <v>1</v>
      </c>
      <c r="S39" s="69">
        <f>AD43</f>
        <v>1</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3</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5</v>
      </c>
      <c r="O41" s="6">
        <f t="shared" si="110"/>
        <v>13</v>
      </c>
      <c r="R41" s="6">
        <f t="shared" si="111"/>
        <v>12</v>
      </c>
      <c r="S41" s="6">
        <f t="shared" si="112"/>
        <v>11</v>
      </c>
      <c r="V41" s="6">
        <f t="shared" si="113"/>
        <v>0</v>
      </c>
      <c r="W41" s="6">
        <f t="shared" si="114"/>
        <v>0</v>
      </c>
      <c r="Z41" s="6">
        <f t="shared" si="115"/>
        <v>0</v>
      </c>
      <c r="AA41" s="6">
        <f t="shared" si="116"/>
        <v>0</v>
      </c>
      <c r="AD41" s="6">
        <f t="shared" si="117"/>
        <v>1</v>
      </c>
      <c r="AE41" s="6">
        <f t="shared" si="118"/>
        <v>2</v>
      </c>
      <c r="AX41" s="6">
        <f t="shared" si="119"/>
        <v>0</v>
      </c>
      <c r="AY41" s="6">
        <f t="shared" si="120"/>
        <v>0</v>
      </c>
      <c r="AZ41" s="6">
        <f t="shared" si="121"/>
        <v>0</v>
      </c>
      <c r="BA41" s="6">
        <f t="shared" si="122"/>
        <v>1</v>
      </c>
      <c r="BB41" s="6">
        <f t="shared" si="123"/>
        <v>0</v>
      </c>
      <c r="BC41" s="6">
        <f t="shared" si="124"/>
        <v>0</v>
      </c>
      <c r="BD41" s="6">
        <f t="shared" si="125"/>
        <v>1</v>
      </c>
      <c r="BF41" s="6">
        <f t="shared" si="126"/>
        <v>0</v>
      </c>
      <c r="BG41" s="6">
        <f t="shared" si="127"/>
        <v>0</v>
      </c>
      <c r="BH41" s="6">
        <f t="shared" si="128"/>
        <v>-8</v>
      </c>
      <c r="BI41" s="6">
        <f t="shared" si="129"/>
        <v>1</v>
      </c>
      <c r="BJ41" s="6">
        <f t="shared" si="130"/>
        <v>0</v>
      </c>
      <c r="BK41" s="6">
        <f t="shared" si="131"/>
        <v>0</v>
      </c>
      <c r="BL41" s="6">
        <f t="shared" si="132"/>
        <v>-7</v>
      </c>
    </row>
    <row r="42" spans="1:64" ht="12" hidden="1" customHeight="1">
      <c r="A42" s="6">
        <f t="shared" si="104"/>
        <v>3</v>
      </c>
      <c r="F42" s="6">
        <f t="shared" si="105"/>
        <v>0</v>
      </c>
      <c r="G42" s="6">
        <f t="shared" si="106"/>
        <v>0</v>
      </c>
      <c r="J42" s="6">
        <f t="shared" si="107"/>
        <v>13</v>
      </c>
      <c r="K42" s="6">
        <f t="shared" si="108"/>
        <v>5</v>
      </c>
      <c r="N42" s="6">
        <f t="shared" si="109"/>
        <v>0</v>
      </c>
      <c r="O42" s="6">
        <f t="shared" si="110"/>
        <v>0</v>
      </c>
      <c r="R42" s="6">
        <f t="shared" si="111"/>
        <v>11</v>
      </c>
      <c r="S42" s="6">
        <f t="shared" si="112"/>
        <v>13</v>
      </c>
      <c r="V42" s="6">
        <f t="shared" si="113"/>
        <v>0</v>
      </c>
      <c r="W42" s="6">
        <f t="shared" si="114"/>
        <v>0</v>
      </c>
      <c r="Z42" s="6">
        <f t="shared" si="115"/>
        <v>0</v>
      </c>
      <c r="AA42" s="6">
        <f t="shared" si="116"/>
        <v>0</v>
      </c>
      <c r="AD42" s="6">
        <f t="shared" si="117"/>
        <v>1</v>
      </c>
      <c r="AE42" s="6">
        <f t="shared" si="118"/>
        <v>2</v>
      </c>
      <c r="AX42" s="6">
        <f t="shared" si="119"/>
        <v>0</v>
      </c>
      <c r="AY42" s="6">
        <f t="shared" si="120"/>
        <v>1</v>
      </c>
      <c r="AZ42" s="6">
        <f t="shared" si="121"/>
        <v>0</v>
      </c>
      <c r="BA42" s="6">
        <f t="shared" si="122"/>
        <v>0</v>
      </c>
      <c r="BB42" s="6">
        <f t="shared" si="123"/>
        <v>0</v>
      </c>
      <c r="BC42" s="6">
        <f t="shared" si="124"/>
        <v>0</v>
      </c>
      <c r="BD42" s="6">
        <f t="shared" si="125"/>
        <v>1</v>
      </c>
      <c r="BF42" s="6">
        <f t="shared" si="126"/>
        <v>0</v>
      </c>
      <c r="BG42" s="6">
        <f t="shared" si="127"/>
        <v>8</v>
      </c>
      <c r="BH42" s="6">
        <f t="shared" si="128"/>
        <v>0</v>
      </c>
      <c r="BI42" s="6">
        <f t="shared" si="129"/>
        <v>-2</v>
      </c>
      <c r="BJ42" s="6">
        <f t="shared" si="130"/>
        <v>0</v>
      </c>
      <c r="BK42" s="6">
        <f t="shared" si="131"/>
        <v>0</v>
      </c>
      <c r="BL42" s="6">
        <f t="shared" si="132"/>
        <v>6</v>
      </c>
    </row>
    <row r="43" spans="1:64" ht="12" hidden="1" customHeight="1">
      <c r="A43" s="6">
        <f t="shared" si="104"/>
        <v>4</v>
      </c>
      <c r="F43" s="6">
        <f t="shared" si="105"/>
        <v>0</v>
      </c>
      <c r="G43" s="6">
        <f t="shared" si="106"/>
        <v>0</v>
      </c>
      <c r="J43" s="6">
        <f t="shared" si="107"/>
        <v>11</v>
      </c>
      <c r="K43" s="6">
        <f t="shared" si="108"/>
        <v>12</v>
      </c>
      <c r="N43" s="6">
        <f t="shared" si="109"/>
        <v>13</v>
      </c>
      <c r="O43" s="6">
        <f t="shared" si="110"/>
        <v>11</v>
      </c>
      <c r="R43" s="6">
        <f t="shared" si="111"/>
        <v>0</v>
      </c>
      <c r="S43" s="6">
        <f t="shared" si="112"/>
        <v>0</v>
      </c>
      <c r="V43" s="6">
        <f t="shared" si="113"/>
        <v>0</v>
      </c>
      <c r="W43" s="6">
        <f t="shared" si="114"/>
        <v>0</v>
      </c>
      <c r="Z43" s="6">
        <f t="shared" si="115"/>
        <v>0</v>
      </c>
      <c r="AA43" s="6">
        <f t="shared" si="116"/>
        <v>0</v>
      </c>
      <c r="AD43" s="6">
        <f t="shared" si="117"/>
        <v>1</v>
      </c>
      <c r="AE43" s="6">
        <f t="shared" si="118"/>
        <v>2</v>
      </c>
      <c r="AX43" s="6">
        <f t="shared" si="119"/>
        <v>0</v>
      </c>
      <c r="AY43" s="6">
        <f t="shared" si="120"/>
        <v>0</v>
      </c>
      <c r="AZ43" s="6">
        <f t="shared" si="121"/>
        <v>1</v>
      </c>
      <c r="BA43" s="6">
        <f t="shared" si="122"/>
        <v>0</v>
      </c>
      <c r="BB43" s="6">
        <f t="shared" si="123"/>
        <v>0</v>
      </c>
      <c r="BC43" s="6">
        <f t="shared" si="124"/>
        <v>0</v>
      </c>
      <c r="BD43" s="6">
        <f t="shared" si="125"/>
        <v>1</v>
      </c>
      <c r="BF43" s="6">
        <f t="shared" si="126"/>
        <v>0</v>
      </c>
      <c r="BG43" s="6">
        <f t="shared" si="127"/>
        <v>-1</v>
      </c>
      <c r="BH43" s="6">
        <f t="shared" si="128"/>
        <v>2</v>
      </c>
      <c r="BI43" s="6">
        <f t="shared" si="129"/>
        <v>0</v>
      </c>
      <c r="BJ43" s="6">
        <f t="shared" si="130"/>
        <v>0</v>
      </c>
      <c r="BK43" s="6">
        <f t="shared" si="131"/>
        <v>0</v>
      </c>
      <c r="BL43" s="6">
        <f t="shared" si="132"/>
        <v>1</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1</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1</v>
      </c>
      <c r="W48" s="69">
        <f>AD53</f>
        <v>1</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3</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2</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2</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2</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1</v>
      </c>
      <c r="AE53" s="6">
        <f t="shared" si="147"/>
        <v>1</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68" priority="1" operator="equal">
      <formula>0</formula>
    </cfRule>
  </conditionalFormatting>
  <conditionalFormatting sqref="J6:K6 N6:O7 R6:S8 V6:W9 Z6:AA10">
    <cfRule type="cellIs" dxfId="167" priority="2" operator="equal">
      <formula>0</formula>
    </cfRule>
  </conditionalFormatting>
  <conditionalFormatting sqref="B6:B11">
    <cfRule type="expression" dxfId="166" priority="3">
      <formula>IF(C6=1,TRUE,FALSE)</formula>
    </cfRule>
  </conditionalFormatting>
  <conditionalFormatting sqref="B6:B11">
    <cfRule type="expression" dxfId="16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4</v>
      </c>
      <c r="B1" s="175" t="s">
        <v>1794</v>
      </c>
      <c r="C1" s="274" t="s">
        <v>1834</v>
      </c>
      <c r="D1" s="69"/>
      <c r="E1" s="69"/>
      <c r="F1" s="177" t="s">
        <v>1712</v>
      </c>
      <c r="G1" s="178">
        <f>$AV$12</f>
        <v>6</v>
      </c>
      <c r="H1" s="179" t="s">
        <v>1796</v>
      </c>
      <c r="I1" s="69"/>
      <c r="J1" s="69"/>
      <c r="K1" s="69"/>
      <c r="L1" s="69"/>
      <c r="M1" s="69"/>
      <c r="N1" s="69"/>
      <c r="O1" s="69"/>
      <c r="P1" s="180" t="s">
        <v>1797</v>
      </c>
      <c r="Q1" s="74"/>
      <c r="R1" s="181">
        <f ca="1">INDIRECT(ADDRESS(4,A1,1,1,"Hřiště"))</f>
        <v>7</v>
      </c>
      <c r="S1" s="181">
        <f ca="1">INDIRECT(ADDRESS(5,A1,1,1,"Hřiště"))</f>
        <v>9</v>
      </c>
      <c r="T1" s="181"/>
      <c r="U1" s="69"/>
      <c r="V1" s="69"/>
      <c r="W1" s="69"/>
      <c r="X1" s="69"/>
      <c r="Y1" s="69"/>
      <c r="Z1" s="177" t="s">
        <v>1798</v>
      </c>
      <c r="AA1" s="178">
        <f>IF(G1=0,0,CHOOSE(G1,0,1,1,2,2,3))</f>
        <v>3</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PAK Albrechtice - Valík Václav</v>
      </c>
      <c r="C6" s="208">
        <f t="shared" ref="C6:C11" si="0">IF(CB6=0,"",CB6)</f>
        <v>2</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9</v>
      </c>
      <c r="J6" s="215">
        <f>$G$7</f>
        <v>13</v>
      </c>
      <c r="K6" s="216">
        <f>$F$7</f>
        <v>10</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8</v>
      </c>
      <c r="N6" s="215">
        <f>$G$8</f>
        <v>7</v>
      </c>
      <c r="O6" s="216">
        <f>$F$8</f>
        <v>10</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7</v>
      </c>
      <c r="R6" s="215">
        <f>$G$9</f>
        <v>13</v>
      </c>
      <c r="S6" s="216">
        <f>$F$9</f>
        <v>1</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7</v>
      </c>
      <c r="V6" s="215">
        <f>$G$10</f>
        <v>8</v>
      </c>
      <c r="W6" s="216">
        <f>$F$10</f>
        <v>13</v>
      </c>
      <c r="X6" s="213">
        <f>IF(TYPE(VLOOKUP(VALUE(CONCATENATE(TEXT($G$1,"0"),TEXT($A6,"0"),TEXT(AA$3,"0"))),RozpisKK!$AA$3:$AD$76,3,0))&gt;3,"",VLOOKUP(VALUE(CONCATENATE(TEXT($G$1,"0"),TEXT($A6,"0"),TEXT(AA$3,"0"))),RozpisKK!$AA$3:$AD$76,3,0))</f>
        <v>5</v>
      </c>
      <c r="Y6" s="214">
        <f ca="1">IF(TYPE(VLOOKUP(VALUE(CONCATENATE(TEXT($G$1,"0"),TEXT($A6,"0"),TEXT(AA$3,"0"))),RozpisKK!$AA$3:$AD$76,3,0))&gt;3,"",VLOOKUP(VALUE(CONCATENATE(TEXT($G$1,"0"),TEXT($A6,"0"),TEXT(AA$3,"0"))),RozpisKK!$AA$3:$AD$76,4,0)+$R$1-1)</f>
        <v>9</v>
      </c>
      <c r="Z6" s="215">
        <f>$G$11</f>
        <v>13</v>
      </c>
      <c r="AA6" s="216">
        <f>$F$11</f>
        <v>2</v>
      </c>
      <c r="AB6" s="69"/>
      <c r="AC6" s="69"/>
      <c r="AD6" s="217">
        <f t="shared" ref="AD6:AD11" si="1">IF(OR(F6&gt;0,G6&gt;0,J6&gt;0,K6&gt;0,N6&gt;0,O6&gt;0,R6&gt;0,S6&gt;0,V6&gt;0,W6&gt;0,Z6&gt;0,AA6&gt;0),1,0)</f>
        <v>1</v>
      </c>
      <c r="AE6" s="218">
        <f t="shared" ref="AE6:AE11" si="2">SUM(AX6:BC6)</f>
        <v>3</v>
      </c>
      <c r="AF6" s="219"/>
      <c r="AG6" s="219">
        <f t="shared" ref="AG6:AG11" si="3">BD22</f>
        <v>0</v>
      </c>
      <c r="AH6" s="219">
        <f t="shared" ref="AH6:AH11" si="4">BD31</f>
        <v>1</v>
      </c>
      <c r="AI6" s="219">
        <f t="shared" ref="AI6:AI11" si="5">BD40</f>
        <v>0</v>
      </c>
      <c r="AJ6" s="219">
        <f t="shared" ref="AJ6:AJ11" si="6">BD49</f>
        <v>0</v>
      </c>
      <c r="AK6" s="219"/>
      <c r="AL6" s="219">
        <f t="shared" ref="AL6:AL11" si="7">BL22</f>
        <v>0</v>
      </c>
      <c r="AM6" s="219">
        <f t="shared" ref="AM6:AM11" si="8">BL31</f>
        <v>11</v>
      </c>
      <c r="AN6" s="219">
        <f t="shared" ref="AN6:AN11" si="9">BL40</f>
        <v>0</v>
      </c>
      <c r="AO6" s="219">
        <f t="shared" ref="AO6:AO11" si="10">BL49</f>
        <v>0</v>
      </c>
      <c r="AP6" s="220">
        <f t="shared" ref="AP6:AP11" si="11">SUM(BF6:BK6)</f>
        <v>18</v>
      </c>
      <c r="AQ6" s="220">
        <f t="shared" ref="AQ6:AQ11" si="12">SUM(BN6:BS6)</f>
        <v>54</v>
      </c>
      <c r="AR6" s="221"/>
      <c r="AS6" s="222" t="str">
        <f t="shared" ref="AS6:AS11" si="13">CONCATENATE(TEXT(AD6,"0"),TEXT(AE6,"0"),TEXT(AG6,"0"),TEXT(AH6,"0"),TEXT(AI6,"0"),TEXT(AJ6,"0"),TEXT(100+AL6,"000"),TEXT(100+AM6,"000"),TEXT(100+AN6,"000"),TEXT(100+AO6,"000"),TEXT(100+AP6,"000"),TEXT(AQ6,"000"))</f>
        <v>130100100111100100118054</v>
      </c>
      <c r="AT6" s="223">
        <f t="shared" ref="AT6:AT11" si="14">CB6</f>
        <v>2</v>
      </c>
      <c r="AU6" s="69"/>
      <c r="AV6" s="217">
        <f t="shared" ref="AV6:AV11" si="15">IF(OR(B6="",B6=" - "),0,1)</f>
        <v>1</v>
      </c>
      <c r="AX6" s="224">
        <f t="shared" ref="AX6:AX11" si="16">IF(F6&gt;G6,1,0)</f>
        <v>0</v>
      </c>
      <c r="AY6" s="224">
        <f t="shared" ref="AY6:AY11" si="17">IF(J6&gt;K6,1,0)</f>
        <v>1</v>
      </c>
      <c r="AZ6" s="224">
        <f t="shared" ref="AZ6:AZ11" si="18">IF(N6&gt;O6,1,0)</f>
        <v>0</v>
      </c>
      <c r="BA6" s="224">
        <f t="shared" ref="BA6:BA11" si="19">IF(R6&gt;S6,1,0)</f>
        <v>1</v>
      </c>
      <c r="BB6" s="224">
        <f t="shared" ref="BB6:BB11" si="20">IF(V6&gt;W6,1,0)</f>
        <v>0</v>
      </c>
      <c r="BC6" s="224">
        <f t="shared" ref="BC6:BC11" si="21">IF(Z6&gt;AA6,1,0)</f>
        <v>1</v>
      </c>
      <c r="BD6" s="224">
        <f t="shared" ref="BD6:BD11" si="22">SUM(AX6:BC6)</f>
        <v>3</v>
      </c>
      <c r="BF6" s="224">
        <f t="shared" ref="BF6:BF11" si="23">F6-G6</f>
        <v>0</v>
      </c>
      <c r="BG6" s="224">
        <f t="shared" ref="BG6:BG11" si="24">J6-K6</f>
        <v>3</v>
      </c>
      <c r="BH6" s="224">
        <f t="shared" ref="BH6:BH11" si="25">N6-O6</f>
        <v>-3</v>
      </c>
      <c r="BI6" s="224">
        <f t="shared" ref="BI6:BI11" si="26">R6-S6</f>
        <v>12</v>
      </c>
      <c r="BJ6" s="224">
        <f t="shared" ref="BJ6:BJ11" si="27">V6-W6</f>
        <v>-5</v>
      </c>
      <c r="BK6" s="224">
        <f t="shared" ref="BK6:BK11" si="28">Z6-AA6</f>
        <v>11</v>
      </c>
      <c r="BL6" s="224">
        <f t="shared" ref="BL6:BL11" si="29">SUM(BF6:BK6)</f>
        <v>18</v>
      </c>
      <c r="BN6" s="224">
        <f t="shared" ref="BN6:BN11" si="30">F6</f>
        <v>0</v>
      </c>
      <c r="BO6" s="224">
        <f t="shared" ref="BO6:BO11" si="31">J6</f>
        <v>13</v>
      </c>
      <c r="BP6" s="224">
        <f t="shared" ref="BP6:BP11" si="32">N6</f>
        <v>7</v>
      </c>
      <c r="BQ6" s="224">
        <f t="shared" ref="BQ6:BQ11" si="33">R6</f>
        <v>13</v>
      </c>
      <c r="BR6" s="224">
        <f t="shared" ref="BR6:BR11" si="34">V6</f>
        <v>8</v>
      </c>
      <c r="BS6" s="224">
        <f t="shared" ref="BS6:BS11" si="35">Z6</f>
        <v>13</v>
      </c>
      <c r="BT6" s="224">
        <f t="shared" ref="BT6:BT11" si="36">SUM(BN6:BS6)</f>
        <v>54</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1</v>
      </c>
      <c r="CA6" s="224">
        <f t="shared" ref="CA6:CA11" si="42">IF(AS6&lt;AS$11,1,0)</f>
        <v>0</v>
      </c>
      <c r="CB6" s="224">
        <f t="shared" ref="CB6:CB11" si="43">AD6*(SUM(BV6:CA6)+1)</f>
        <v>2</v>
      </c>
    </row>
    <row r="7" spans="1:80" ht="36" customHeight="1">
      <c r="A7" s="225">
        <v>2</v>
      </c>
      <c r="B7" s="226" t="str">
        <f>IF(TYPE(VLOOKUP(CONCATENATE($C$1,A7),Skupiny!$A$3:$B$194,2,0))&gt;3," - ",VLOOKUP(CONCATENATE($C$1,A7),Skupiny!$A$3:$B$194,2,0))</f>
        <v>PK Polouvsí - Valošková Sára</v>
      </c>
      <c r="C7" s="227">
        <f t="shared" si="0"/>
        <v>4</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9</v>
      </c>
      <c r="F7" s="230">
        <v>10</v>
      </c>
      <c r="G7" s="231">
        <v>13</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9</v>
      </c>
      <c r="N7" s="238">
        <f>$K$8</f>
        <v>13</v>
      </c>
      <c r="O7" s="216">
        <f>$J$8</f>
        <v>4</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8</v>
      </c>
      <c r="R7" s="238">
        <f>$K$9</f>
        <v>11</v>
      </c>
      <c r="S7" s="216">
        <f>$J$9</f>
        <v>13</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8</v>
      </c>
      <c r="V7" s="238">
        <f>$K$10</f>
        <v>8</v>
      </c>
      <c r="W7" s="216">
        <f>$J$10</f>
        <v>13</v>
      </c>
      <c r="X7" s="236">
        <f>IF(TYPE(VLOOKUP(VALUE(CONCATENATE(TEXT($G$1,"0"),TEXT($A7,"0"),TEXT(AA$3,"0"))),RozpisKK!$AA$3:$AD$76,3,0))&gt;3,"",VLOOKUP(VALUE(CONCATENATE(TEXT($G$1,"0"),TEXT($A7,"0"),TEXT(AA$3,"0"))),RozpisKK!$AA$3:$AD$76,3,0))</f>
        <v>3</v>
      </c>
      <c r="Y7" s="237">
        <f ca="1">IF(TYPE(VLOOKUP(VALUE(CONCATENATE(TEXT($G$1,"0"),TEXT($A7,"0"),TEXT(AA$3,"0"))),RozpisKK!$AA$3:$AD$76,3,0))&gt;3,"",VLOOKUP(VALUE(CONCATENATE(TEXT($G$1,"0"),TEXT($A7,"0"),TEXT(AA$3,"0"))),RozpisKK!$AA$3:$AD$76,4,0)+$R$1-1)</f>
        <v>7</v>
      </c>
      <c r="Z7" s="238">
        <f>$K$11</f>
        <v>13</v>
      </c>
      <c r="AA7" s="216">
        <f>$J$11</f>
        <v>9</v>
      </c>
      <c r="AB7" s="69"/>
      <c r="AC7" s="69"/>
      <c r="AD7" s="217">
        <f t="shared" si="1"/>
        <v>1</v>
      </c>
      <c r="AE7" s="239">
        <f t="shared" si="2"/>
        <v>2</v>
      </c>
      <c r="AF7" s="240"/>
      <c r="AG7" s="240">
        <f t="shared" si="3"/>
        <v>0</v>
      </c>
      <c r="AH7" s="240">
        <f t="shared" si="4"/>
        <v>0</v>
      </c>
      <c r="AI7" s="240">
        <f t="shared" si="5"/>
        <v>1</v>
      </c>
      <c r="AJ7" s="240">
        <f t="shared" si="6"/>
        <v>0</v>
      </c>
      <c r="AK7" s="240"/>
      <c r="AL7" s="219">
        <f t="shared" si="7"/>
        <v>0</v>
      </c>
      <c r="AM7" s="219">
        <f t="shared" si="8"/>
        <v>0</v>
      </c>
      <c r="AN7" s="219">
        <f t="shared" si="9"/>
        <v>9</v>
      </c>
      <c r="AO7" s="219">
        <f t="shared" si="10"/>
        <v>0</v>
      </c>
      <c r="AP7" s="220">
        <f t="shared" si="11"/>
        <v>3</v>
      </c>
      <c r="AQ7" s="220">
        <f t="shared" si="12"/>
        <v>55</v>
      </c>
      <c r="AR7" s="241"/>
      <c r="AS7" s="242" t="str">
        <f t="shared" si="13"/>
        <v>120010100100109100103055</v>
      </c>
      <c r="AT7" s="243">
        <f t="shared" si="14"/>
        <v>4</v>
      </c>
      <c r="AU7" s="69"/>
      <c r="AV7" s="217">
        <f t="shared" si="15"/>
        <v>1</v>
      </c>
      <c r="AX7" s="224">
        <f t="shared" si="16"/>
        <v>0</v>
      </c>
      <c r="AY7" s="224">
        <f t="shared" si="17"/>
        <v>0</v>
      </c>
      <c r="AZ7" s="224">
        <f t="shared" si="18"/>
        <v>1</v>
      </c>
      <c r="BA7" s="224">
        <f t="shared" si="19"/>
        <v>0</v>
      </c>
      <c r="BB7" s="224">
        <f t="shared" si="20"/>
        <v>0</v>
      </c>
      <c r="BC7" s="224">
        <f t="shared" si="21"/>
        <v>1</v>
      </c>
      <c r="BD7" s="224">
        <f t="shared" si="22"/>
        <v>2</v>
      </c>
      <c r="BF7" s="224">
        <f t="shared" si="23"/>
        <v>-3</v>
      </c>
      <c r="BG7" s="224">
        <f t="shared" si="24"/>
        <v>0</v>
      </c>
      <c r="BH7" s="224">
        <f t="shared" si="25"/>
        <v>9</v>
      </c>
      <c r="BI7" s="224">
        <f t="shared" si="26"/>
        <v>-2</v>
      </c>
      <c r="BJ7" s="224">
        <f t="shared" si="27"/>
        <v>-5</v>
      </c>
      <c r="BK7" s="224">
        <f t="shared" si="28"/>
        <v>4</v>
      </c>
      <c r="BL7" s="224">
        <f t="shared" si="29"/>
        <v>3</v>
      </c>
      <c r="BN7" s="224">
        <f t="shared" si="30"/>
        <v>10</v>
      </c>
      <c r="BO7" s="224">
        <f t="shared" si="31"/>
        <v>0</v>
      </c>
      <c r="BP7" s="224">
        <f t="shared" si="32"/>
        <v>13</v>
      </c>
      <c r="BQ7" s="224">
        <f t="shared" si="33"/>
        <v>11</v>
      </c>
      <c r="BR7" s="224">
        <f t="shared" si="34"/>
        <v>8</v>
      </c>
      <c r="BS7" s="224">
        <f t="shared" si="35"/>
        <v>13</v>
      </c>
      <c r="BT7" s="224">
        <f t="shared" si="36"/>
        <v>55</v>
      </c>
      <c r="BV7" s="224">
        <f t="shared" si="37"/>
        <v>1</v>
      </c>
      <c r="BW7" s="224">
        <f t="shared" si="38"/>
        <v>0</v>
      </c>
      <c r="BX7" s="224">
        <f t="shared" si="39"/>
        <v>0</v>
      </c>
      <c r="BY7" s="224">
        <f t="shared" si="40"/>
        <v>0</v>
      </c>
      <c r="BZ7" s="224">
        <f t="shared" si="41"/>
        <v>1</v>
      </c>
      <c r="CA7" s="224">
        <f t="shared" si="42"/>
        <v>1</v>
      </c>
      <c r="CB7" s="224">
        <f t="shared" si="43"/>
        <v>4</v>
      </c>
    </row>
    <row r="8" spans="1:80" ht="36" customHeight="1">
      <c r="A8" s="225">
        <v>3</v>
      </c>
      <c r="B8" s="226" t="str">
        <f>IF(TYPE(VLOOKUP(CONCATENATE($C$1,A8),Skupiny!$A$3:$B$194,2,0))&gt;3," - ",VLOOKUP(CONCATENATE($C$1,A8),Skupiny!$A$3:$B$194,2,0))</f>
        <v>1. Starobrněnský PK - Petrželka Josef</v>
      </c>
      <c r="C8" s="227">
        <f t="shared" si="0"/>
        <v>5</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8</v>
      </c>
      <c r="F8" s="230">
        <v>10</v>
      </c>
      <c r="G8" s="231">
        <v>7</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9</v>
      </c>
      <c r="J8" s="230">
        <v>4</v>
      </c>
      <c r="K8" s="231">
        <v>13</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7</v>
      </c>
      <c r="R8" s="238">
        <f>$O$9</f>
        <v>12</v>
      </c>
      <c r="S8" s="216">
        <f>$N$9</f>
        <v>10</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7</v>
      </c>
      <c r="V8" s="238">
        <f>$O$10</f>
        <v>8</v>
      </c>
      <c r="W8" s="216">
        <f>$N$10</f>
        <v>13</v>
      </c>
      <c r="X8" s="236">
        <f>IF(TYPE(VLOOKUP(VALUE(CONCATENATE(TEXT($G$1,"0"),TEXT($A8,"0"),TEXT(AA$3,"0"))),RozpisKK!$AA$3:$AD$76,3,0))&gt;3,"",VLOOKUP(VALUE(CONCATENATE(TEXT($G$1,"0"),TEXT($A8,"0"),TEXT(AA$3,"0"))),RozpisKK!$AA$3:$AD$76,3,0))</f>
        <v>1</v>
      </c>
      <c r="Y8" s="237">
        <f ca="1">IF(TYPE(VLOOKUP(VALUE(CONCATENATE(TEXT($G$1,"0"),TEXT($A8,"0"),TEXT(AA$3,"0"))),RozpisKK!$AA$3:$AD$76,3,0))&gt;3,"",VLOOKUP(VALUE(CONCATENATE(TEXT($G$1,"0"),TEXT($A8,"0"),TEXT(AA$3,"0"))),RozpisKK!$AA$3:$AD$76,4,0)+$R$1-1)</f>
        <v>9</v>
      </c>
      <c r="Z8" s="238">
        <f>$O$11</f>
        <v>11</v>
      </c>
      <c r="AA8" s="216">
        <f>$N$11</f>
        <v>12</v>
      </c>
      <c r="AB8" s="69"/>
      <c r="AC8" s="69"/>
      <c r="AD8" s="217">
        <f t="shared" si="1"/>
        <v>1</v>
      </c>
      <c r="AE8" s="239">
        <f t="shared" si="2"/>
        <v>2</v>
      </c>
      <c r="AF8" s="240"/>
      <c r="AG8" s="240">
        <f t="shared" si="3"/>
        <v>0</v>
      </c>
      <c r="AH8" s="240">
        <f t="shared" si="4"/>
        <v>0</v>
      </c>
      <c r="AI8" s="240">
        <f t="shared" si="5"/>
        <v>0</v>
      </c>
      <c r="AJ8" s="240">
        <f t="shared" si="6"/>
        <v>0</v>
      </c>
      <c r="AK8" s="240"/>
      <c r="AL8" s="219">
        <f t="shared" si="7"/>
        <v>0</v>
      </c>
      <c r="AM8" s="219">
        <f t="shared" si="8"/>
        <v>0</v>
      </c>
      <c r="AN8" s="219">
        <f t="shared" si="9"/>
        <v>-9</v>
      </c>
      <c r="AO8" s="219">
        <f t="shared" si="10"/>
        <v>0</v>
      </c>
      <c r="AP8" s="220">
        <f t="shared" si="11"/>
        <v>-10</v>
      </c>
      <c r="AQ8" s="220">
        <f t="shared" si="12"/>
        <v>45</v>
      </c>
      <c r="AR8" s="241"/>
      <c r="AS8" s="242" t="str">
        <f t="shared" si="13"/>
        <v>120000100100091100090045</v>
      </c>
      <c r="AT8" s="243">
        <f t="shared" si="14"/>
        <v>5</v>
      </c>
      <c r="AU8" s="69"/>
      <c r="AV8" s="217">
        <f t="shared" si="15"/>
        <v>1</v>
      </c>
      <c r="AX8" s="224">
        <f t="shared" si="16"/>
        <v>1</v>
      </c>
      <c r="AY8" s="224">
        <f t="shared" si="17"/>
        <v>0</v>
      </c>
      <c r="AZ8" s="224">
        <f t="shared" si="18"/>
        <v>0</v>
      </c>
      <c r="BA8" s="224">
        <f t="shared" si="19"/>
        <v>1</v>
      </c>
      <c r="BB8" s="224">
        <f t="shared" si="20"/>
        <v>0</v>
      </c>
      <c r="BC8" s="224">
        <f t="shared" si="21"/>
        <v>0</v>
      </c>
      <c r="BD8" s="224">
        <f t="shared" si="22"/>
        <v>2</v>
      </c>
      <c r="BF8" s="224">
        <f t="shared" si="23"/>
        <v>3</v>
      </c>
      <c r="BG8" s="224">
        <f t="shared" si="24"/>
        <v>-9</v>
      </c>
      <c r="BH8" s="224">
        <f t="shared" si="25"/>
        <v>0</v>
      </c>
      <c r="BI8" s="224">
        <f t="shared" si="26"/>
        <v>2</v>
      </c>
      <c r="BJ8" s="224">
        <f t="shared" si="27"/>
        <v>-5</v>
      </c>
      <c r="BK8" s="224">
        <f t="shared" si="28"/>
        <v>-1</v>
      </c>
      <c r="BL8" s="224">
        <f t="shared" si="29"/>
        <v>-10</v>
      </c>
      <c r="BN8" s="224">
        <f t="shared" si="30"/>
        <v>10</v>
      </c>
      <c r="BO8" s="224">
        <f t="shared" si="31"/>
        <v>4</v>
      </c>
      <c r="BP8" s="224">
        <f t="shared" si="32"/>
        <v>0</v>
      </c>
      <c r="BQ8" s="224">
        <f t="shared" si="33"/>
        <v>12</v>
      </c>
      <c r="BR8" s="224">
        <f t="shared" si="34"/>
        <v>8</v>
      </c>
      <c r="BS8" s="224">
        <f t="shared" si="35"/>
        <v>11</v>
      </c>
      <c r="BT8" s="224">
        <f t="shared" si="36"/>
        <v>45</v>
      </c>
      <c r="BV8" s="224">
        <f t="shared" si="37"/>
        <v>1</v>
      </c>
      <c r="BW8" s="224">
        <f t="shared" si="38"/>
        <v>1</v>
      </c>
      <c r="BX8" s="224">
        <f t="shared" si="39"/>
        <v>0</v>
      </c>
      <c r="BY8" s="224">
        <f t="shared" si="40"/>
        <v>0</v>
      </c>
      <c r="BZ8" s="224">
        <f t="shared" si="41"/>
        <v>1</v>
      </c>
      <c r="CA8" s="224">
        <f t="shared" si="42"/>
        <v>1</v>
      </c>
      <c r="CB8" s="224">
        <f t="shared" si="43"/>
        <v>5</v>
      </c>
    </row>
    <row r="9" spans="1:80" ht="36" customHeight="1">
      <c r="A9" s="225">
        <v>4</v>
      </c>
      <c r="B9" s="226" t="str">
        <f>IF(TYPE(VLOOKUP(CONCATENATE($C$1,A9),Skupiny!$A$3:$B$194,2,0))&gt;3," - ",VLOOKUP(CONCATENATE($C$1,A9),Skupiny!$A$3:$B$194,2,0))</f>
        <v>1. Starobrněnský PK - Ilgner Vladimír</v>
      </c>
      <c r="C9" s="227">
        <f t="shared" si="0"/>
        <v>6</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7</v>
      </c>
      <c r="F9" s="230">
        <v>1</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8</v>
      </c>
      <c r="J9" s="230">
        <v>13</v>
      </c>
      <c r="K9" s="231">
        <v>11</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7</v>
      </c>
      <c r="N9" s="230">
        <v>10</v>
      </c>
      <c r="O9" s="231">
        <v>12</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9</v>
      </c>
      <c r="V9" s="238">
        <f>$S$10</f>
        <v>4</v>
      </c>
      <c r="W9" s="216">
        <f>$R$10</f>
        <v>13</v>
      </c>
      <c r="X9" s="236">
        <f>IF(TYPE(VLOOKUP(VALUE(CONCATENATE(TEXT($G$1,"0"),TEXT($A9,"0"),TEXT(AA$3,"0"))),RozpisKK!$AA$3:$AD$76,3,0))&gt;3,"",VLOOKUP(VALUE(CONCATENATE(TEXT($G$1,"0"),TEXT($A9,"0"),TEXT(AA$3,"0"))),RozpisKK!$AA$3:$AD$76,3,0))</f>
        <v>4</v>
      </c>
      <c r="Y9" s="237">
        <f ca="1">IF(TYPE(VLOOKUP(VALUE(CONCATENATE(TEXT($G$1,"0"),TEXT($A9,"0"),TEXT(AA$3,"0"))),RozpisKK!$AA$3:$AD$76,3,0))&gt;3,"",VLOOKUP(VALUE(CONCATENATE(TEXT($G$1,"0"),TEXT($A9,"0"),TEXT(AA$3,"0"))),RozpisKK!$AA$3:$AD$76,4,0)+$R$1-1)</f>
        <v>8</v>
      </c>
      <c r="Z9" s="238">
        <f>$S$11</f>
        <v>7</v>
      </c>
      <c r="AA9" s="216">
        <f>$R$11</f>
        <v>13</v>
      </c>
      <c r="AB9" s="69"/>
      <c r="AC9" s="69"/>
      <c r="AD9" s="217">
        <f t="shared" si="1"/>
        <v>1</v>
      </c>
      <c r="AE9" s="239">
        <f t="shared" si="2"/>
        <v>1</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-27</v>
      </c>
      <c r="AQ9" s="220">
        <f t="shared" si="12"/>
        <v>35</v>
      </c>
      <c r="AR9" s="241"/>
      <c r="AS9" s="242" t="str">
        <f t="shared" si="13"/>
        <v>110000100100100100073035</v>
      </c>
      <c r="AT9" s="243">
        <f t="shared" si="14"/>
        <v>6</v>
      </c>
      <c r="AU9" s="69"/>
      <c r="AV9" s="217">
        <f t="shared" si="15"/>
        <v>1</v>
      </c>
      <c r="AX9" s="224">
        <f t="shared" si="16"/>
        <v>0</v>
      </c>
      <c r="AY9" s="224">
        <f t="shared" si="17"/>
        <v>1</v>
      </c>
      <c r="AZ9" s="224">
        <f t="shared" si="18"/>
        <v>0</v>
      </c>
      <c r="BA9" s="224">
        <f t="shared" si="19"/>
        <v>0</v>
      </c>
      <c r="BB9" s="224">
        <f t="shared" si="20"/>
        <v>0</v>
      </c>
      <c r="BC9" s="224">
        <f t="shared" si="21"/>
        <v>0</v>
      </c>
      <c r="BD9" s="224">
        <f t="shared" si="22"/>
        <v>1</v>
      </c>
      <c r="BF9" s="224">
        <f t="shared" si="23"/>
        <v>-12</v>
      </c>
      <c r="BG9" s="224">
        <f t="shared" si="24"/>
        <v>2</v>
      </c>
      <c r="BH9" s="224">
        <f t="shared" si="25"/>
        <v>-2</v>
      </c>
      <c r="BI9" s="224">
        <f t="shared" si="26"/>
        <v>0</v>
      </c>
      <c r="BJ9" s="224">
        <f t="shared" si="27"/>
        <v>-9</v>
      </c>
      <c r="BK9" s="224">
        <f t="shared" si="28"/>
        <v>-6</v>
      </c>
      <c r="BL9" s="224">
        <f t="shared" si="29"/>
        <v>-27</v>
      </c>
      <c r="BN9" s="224">
        <f t="shared" si="30"/>
        <v>1</v>
      </c>
      <c r="BO9" s="224">
        <f t="shared" si="31"/>
        <v>13</v>
      </c>
      <c r="BP9" s="224">
        <f t="shared" si="32"/>
        <v>10</v>
      </c>
      <c r="BQ9" s="224">
        <f t="shared" si="33"/>
        <v>0</v>
      </c>
      <c r="BR9" s="224">
        <f t="shared" si="34"/>
        <v>4</v>
      </c>
      <c r="BS9" s="224">
        <f t="shared" si="35"/>
        <v>7</v>
      </c>
      <c r="BT9" s="224">
        <f t="shared" si="36"/>
        <v>35</v>
      </c>
      <c r="BV9" s="224">
        <f t="shared" si="37"/>
        <v>1</v>
      </c>
      <c r="BW9" s="224">
        <f t="shared" si="38"/>
        <v>1</v>
      </c>
      <c r="BX9" s="224">
        <f t="shared" si="39"/>
        <v>1</v>
      </c>
      <c r="BY9" s="224">
        <f t="shared" si="40"/>
        <v>0</v>
      </c>
      <c r="BZ9" s="224">
        <f t="shared" si="41"/>
        <v>1</v>
      </c>
      <c r="CA9" s="224">
        <f t="shared" si="42"/>
        <v>1</v>
      </c>
      <c r="CB9" s="224">
        <f t="shared" si="43"/>
        <v>6</v>
      </c>
    </row>
    <row r="10" spans="1:80" ht="36" customHeight="1">
      <c r="A10" s="225">
        <v>5</v>
      </c>
      <c r="B10" s="226" t="str">
        <f>IF(TYPE(VLOOKUP(CONCATENATE($C$1,A10),Skupiny!$A$3:$B$194,2,0))&gt;3," - ",VLOOKUP(CONCATENATE($C$1,A10),Skupiny!$A$3:$B$194,2,0))</f>
        <v>P.C.B.D. - Hejl ml. Pavel</v>
      </c>
      <c r="C10" s="227">
        <f t="shared" si="0"/>
        <v>1</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7</v>
      </c>
      <c r="F10" s="230">
        <v>13</v>
      </c>
      <c r="G10" s="231">
        <v>8</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8</v>
      </c>
      <c r="J10" s="230">
        <v>13</v>
      </c>
      <c r="K10" s="231">
        <v>8</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7</v>
      </c>
      <c r="N10" s="230">
        <v>13</v>
      </c>
      <c r="O10" s="231">
        <v>8</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9</v>
      </c>
      <c r="R10" s="230">
        <v>13</v>
      </c>
      <c r="S10" s="231">
        <v>4</v>
      </c>
      <c r="T10" s="232"/>
      <c r="U10" s="233"/>
      <c r="V10" s="234"/>
      <c r="W10" s="235"/>
      <c r="X10" s="236">
        <f>IF(TYPE(VLOOKUP(VALUE(CONCATENATE(TEXT($G$1,"0"),TEXT($A10,"0"),TEXT(AA$3,"0"))),RozpisKK!$AA$3:$AD$76,3,0))&gt;3,"",VLOOKUP(VALUE(CONCATENATE(TEXT($G$1,"0"),TEXT($A10,"0"),TEXT(AA$3,"0"))),RozpisKK!$AA$3:$AD$76,3,0))</f>
        <v>2</v>
      </c>
      <c r="Y10" s="237">
        <f ca="1">IF(TYPE(VLOOKUP(VALUE(CONCATENATE(TEXT($G$1,"0"),TEXT($A10,"0"),TEXT(AA$3,"0"))),RozpisKK!$AA$3:$AD$76,3,0))&gt;3,"",VLOOKUP(VALUE(CONCATENATE(TEXT($G$1,"0"),TEXT($A10,"0"),TEXT(AA$3,"0"))),RozpisKK!$AA$3:$AD$76,4,0)+$R$1-1)</f>
        <v>8</v>
      </c>
      <c r="Z10" s="238">
        <f>$W$11</f>
        <v>10</v>
      </c>
      <c r="AA10" s="216">
        <f>$V$11</f>
        <v>11</v>
      </c>
      <c r="AB10" s="69"/>
      <c r="AC10" s="69"/>
      <c r="AD10" s="217">
        <f t="shared" si="1"/>
        <v>1</v>
      </c>
      <c r="AE10" s="239">
        <f t="shared" si="2"/>
        <v>4</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23</v>
      </c>
      <c r="AQ10" s="220">
        <f t="shared" si="12"/>
        <v>62</v>
      </c>
      <c r="AR10" s="241"/>
      <c r="AS10" s="242" t="str">
        <f t="shared" si="13"/>
        <v>140000100100100100123062</v>
      </c>
      <c r="AT10" s="243">
        <f t="shared" si="14"/>
        <v>1</v>
      </c>
      <c r="AU10" s="69"/>
      <c r="AV10" s="217">
        <f t="shared" si="15"/>
        <v>1</v>
      </c>
      <c r="AX10" s="224">
        <f t="shared" si="16"/>
        <v>1</v>
      </c>
      <c r="AY10" s="224">
        <f t="shared" si="17"/>
        <v>1</v>
      </c>
      <c r="AZ10" s="224">
        <f t="shared" si="18"/>
        <v>1</v>
      </c>
      <c r="BA10" s="224">
        <f t="shared" si="19"/>
        <v>1</v>
      </c>
      <c r="BB10" s="224">
        <f t="shared" si="20"/>
        <v>0</v>
      </c>
      <c r="BC10" s="224">
        <f t="shared" si="21"/>
        <v>0</v>
      </c>
      <c r="BD10" s="224">
        <f t="shared" si="22"/>
        <v>4</v>
      </c>
      <c r="BF10" s="224">
        <f t="shared" si="23"/>
        <v>5</v>
      </c>
      <c r="BG10" s="224">
        <f t="shared" si="24"/>
        <v>5</v>
      </c>
      <c r="BH10" s="224">
        <f t="shared" si="25"/>
        <v>5</v>
      </c>
      <c r="BI10" s="224">
        <f t="shared" si="26"/>
        <v>9</v>
      </c>
      <c r="BJ10" s="224">
        <f t="shared" si="27"/>
        <v>0</v>
      </c>
      <c r="BK10" s="224">
        <f t="shared" si="28"/>
        <v>-1</v>
      </c>
      <c r="BL10" s="224">
        <f t="shared" si="29"/>
        <v>23</v>
      </c>
      <c r="BN10" s="224">
        <f t="shared" si="30"/>
        <v>13</v>
      </c>
      <c r="BO10" s="224">
        <f t="shared" si="31"/>
        <v>13</v>
      </c>
      <c r="BP10" s="224">
        <f t="shared" si="32"/>
        <v>13</v>
      </c>
      <c r="BQ10" s="224">
        <f t="shared" si="33"/>
        <v>13</v>
      </c>
      <c r="BR10" s="224">
        <f t="shared" si="34"/>
        <v>0</v>
      </c>
      <c r="BS10" s="224">
        <f t="shared" si="35"/>
        <v>10</v>
      </c>
      <c r="BT10" s="224">
        <f t="shared" si="36"/>
        <v>62</v>
      </c>
      <c r="BV10" s="224">
        <f t="shared" si="37"/>
        <v>0</v>
      </c>
      <c r="BW10" s="224">
        <f t="shared" si="38"/>
        <v>0</v>
      </c>
      <c r="BX10" s="224">
        <f t="shared" si="39"/>
        <v>0</v>
      </c>
      <c r="BY10" s="224">
        <f t="shared" si="40"/>
        <v>0</v>
      </c>
      <c r="BZ10" s="224">
        <f t="shared" si="41"/>
        <v>0</v>
      </c>
      <c r="CA10" s="224">
        <f t="shared" si="42"/>
        <v>0</v>
      </c>
      <c r="CB10" s="224">
        <f t="shared" si="43"/>
        <v>1</v>
      </c>
    </row>
    <row r="11" spans="1:80" ht="38.25" customHeight="1">
      <c r="A11" s="225">
        <v>6</v>
      </c>
      <c r="B11" s="244" t="str">
        <f>IF(TYPE(VLOOKUP(CONCATENATE($C$1,A11),Skupiny!$A$3:$B$194,2,0))&gt;3," - ",VLOOKUP(CONCATENATE($C$1,A11),Skupiny!$A$3:$B$194,2,0))</f>
        <v>PC Sokol PP Hr. Králové - Vávrová Ivana</v>
      </c>
      <c r="C11" s="245">
        <f t="shared" si="0"/>
        <v>3</v>
      </c>
      <c r="D11" s="246">
        <f>IF(TYPE(VLOOKUP(VALUE(CONCATENATE(TEXT($G$1,"0"),TEXT($A11,"0"),TEXT(G$3,"0"))),RozpisKK!$AA$3:$AD$76,3,0))&gt;3,"",VLOOKUP(VALUE(CONCATENATE(TEXT($G$1,"0"),TEXT($A11,"0"),TEXT(G$3,"0"))),RozpisKK!$AA$3:$AD$76,3,0))</f>
        <v>5</v>
      </c>
      <c r="E11" s="247">
        <f ca="1">IF(TYPE(VLOOKUP(VALUE(CONCATENATE(TEXT($G$1,"0"),TEXT($A11,"0"),TEXT(G$3,"0"))),RozpisKK!$AA$3:$AD$76,3,0))&gt;3,"",VLOOKUP(VALUE(CONCATENATE(TEXT($G$1,"0"),TEXT($A11,"0"),TEXT(G$3,"0"))),RozpisKK!$AA$3:$AD$76,4,0)+$R$1-1)</f>
        <v>9</v>
      </c>
      <c r="F11" s="248">
        <v>2</v>
      </c>
      <c r="G11" s="249">
        <v>13</v>
      </c>
      <c r="H11" s="246">
        <f>IF(TYPE(VLOOKUP(VALUE(CONCATENATE(TEXT($G$1,"0"),TEXT($A11,"0"),TEXT(K$3,"0"))),RozpisKK!$AA$3:$AD$76,3,0))&gt;3,"",VLOOKUP(VALUE(CONCATENATE(TEXT($G$1,"0"),TEXT($A11,"0"),TEXT(K$3,"0"))),RozpisKK!$AA$3:$AD$76,3,0))</f>
        <v>3</v>
      </c>
      <c r="I11" s="247">
        <f ca="1">IF(TYPE(VLOOKUP(VALUE(CONCATENATE(TEXT($G$1,"0"),TEXT($A11,"0"),TEXT(K$3,"0"))),RozpisKK!$AA$3:$AD$76,3,0))&gt;3,"",VLOOKUP(VALUE(CONCATENATE(TEXT($G$1,"0"),TEXT($A11,"0"),TEXT(K$3,"0"))),RozpisKK!$AA$3:$AD$76,4,0)+$R$1-1)</f>
        <v>7</v>
      </c>
      <c r="J11" s="248">
        <v>9</v>
      </c>
      <c r="K11" s="249">
        <v>13</v>
      </c>
      <c r="L11" s="246">
        <f>IF(TYPE(VLOOKUP(VALUE(CONCATENATE(TEXT($G$1,"0"),TEXT($A11,"0"),TEXT(O$3,"0"))),RozpisKK!$AA$3:$AD$76,3,0))&gt;3,"",VLOOKUP(VALUE(CONCATENATE(TEXT($G$1,"0"),TEXT($A11,"0"),TEXT(O$3,"0"))),RozpisKK!$AA$3:$AD$76,3,0))</f>
        <v>1</v>
      </c>
      <c r="M11" s="247">
        <f ca="1">IF(TYPE(VLOOKUP(VALUE(CONCATENATE(TEXT($G$1,"0"),TEXT($A11,"0"),TEXT(O$3,"0"))),RozpisKK!$AA$3:$AD$76,3,0))&gt;3,"",VLOOKUP(VALUE(CONCATENATE(TEXT($G$1,"0"),TEXT($A11,"0"),TEXT(O$3,"0"))),RozpisKK!$AA$3:$AD$76,4,0)+$R$1-1)</f>
        <v>9</v>
      </c>
      <c r="N11" s="248">
        <v>12</v>
      </c>
      <c r="O11" s="249">
        <v>11</v>
      </c>
      <c r="P11" s="246">
        <f>IF(TYPE(VLOOKUP(VALUE(CONCATENATE(TEXT($G$1,"0"),TEXT($A11,"0"),TEXT(S$3,"0"))),RozpisKK!$AA$3:$AD$76,3,0))&gt;3,"",VLOOKUP(VALUE(CONCATENATE(TEXT($G$1,"0"),TEXT($A11,"0"),TEXT(S$3,"0"))),RozpisKK!$AA$3:$AD$76,3,0))</f>
        <v>4</v>
      </c>
      <c r="Q11" s="247">
        <f ca="1">IF(TYPE(VLOOKUP(VALUE(CONCATENATE(TEXT($G$1,"0"),TEXT($A11,"0"),TEXT(S$3,"0"))),RozpisKK!$AA$3:$AD$76,3,0))&gt;3,"",VLOOKUP(VALUE(CONCATENATE(TEXT($G$1,"0"),TEXT($A11,"0"),TEXT(S$3,"0"))),RozpisKK!$AA$3:$AD$76,4,0)+$R$1-1)</f>
        <v>8</v>
      </c>
      <c r="R11" s="248">
        <v>13</v>
      </c>
      <c r="S11" s="249">
        <v>7</v>
      </c>
      <c r="T11" s="246">
        <f>IF(TYPE(VLOOKUP(VALUE(CONCATENATE(TEXT($G$1,"0"),TEXT($A11,"0"),TEXT(W$3,"0"))),RozpisKK!$AA$3:$AD$76,3,0))&gt;3,"",VLOOKUP(VALUE(CONCATENATE(TEXT($G$1,"0"),TEXT($A11,"0"),TEXT(W$3,"0"))),RozpisKK!$AA$3:$AD$76,3,0))</f>
        <v>2</v>
      </c>
      <c r="U11" s="247">
        <f ca="1">IF(TYPE(VLOOKUP(VALUE(CONCATENATE(TEXT($G$1,"0"),TEXT($A11,"0"),TEXT(W$3,"0"))),RozpisKK!$AA$3:$AD$76,3,0))&gt;3,"",VLOOKUP(VALUE(CONCATENATE(TEXT($G$1,"0"),TEXT($A11,"0"),TEXT(W$3,"0"))),RozpisKK!$AA$3:$AD$76,4,0)+$R$1-1)</f>
        <v>8</v>
      </c>
      <c r="V11" s="248">
        <v>11</v>
      </c>
      <c r="W11" s="249">
        <v>10</v>
      </c>
      <c r="X11" s="232"/>
      <c r="Y11" s="233"/>
      <c r="Z11" s="234"/>
      <c r="AA11" s="235"/>
      <c r="AB11" s="69"/>
      <c r="AC11" s="69"/>
      <c r="AD11" s="217">
        <f t="shared" si="1"/>
        <v>1</v>
      </c>
      <c r="AE11" s="250">
        <f t="shared" si="2"/>
        <v>3</v>
      </c>
      <c r="AF11" s="251"/>
      <c r="AG11" s="251">
        <f t="shared" si="3"/>
        <v>0</v>
      </c>
      <c r="AH11" s="251">
        <f t="shared" si="4"/>
        <v>0</v>
      </c>
      <c r="AI11" s="251">
        <f t="shared" si="5"/>
        <v>0</v>
      </c>
      <c r="AJ11" s="251">
        <f t="shared" si="6"/>
        <v>0</v>
      </c>
      <c r="AK11" s="251"/>
      <c r="AL11" s="251">
        <f t="shared" si="7"/>
        <v>0</v>
      </c>
      <c r="AM11" s="251">
        <f t="shared" si="8"/>
        <v>-11</v>
      </c>
      <c r="AN11" s="251">
        <f t="shared" si="9"/>
        <v>0</v>
      </c>
      <c r="AO11" s="251">
        <f t="shared" si="10"/>
        <v>0</v>
      </c>
      <c r="AP11" s="247">
        <f t="shared" si="11"/>
        <v>-7</v>
      </c>
      <c r="AQ11" s="247">
        <f t="shared" si="12"/>
        <v>47</v>
      </c>
      <c r="AR11" s="252"/>
      <c r="AS11" s="253" t="str">
        <f t="shared" si="13"/>
        <v>130000100089100100093047</v>
      </c>
      <c r="AT11" s="254">
        <f t="shared" si="14"/>
        <v>3</v>
      </c>
      <c r="AU11" s="69"/>
      <c r="AV11" s="217">
        <f t="shared" si="15"/>
        <v>1</v>
      </c>
      <c r="AX11" s="224">
        <f t="shared" si="16"/>
        <v>0</v>
      </c>
      <c r="AY11" s="224">
        <f t="shared" si="17"/>
        <v>0</v>
      </c>
      <c r="AZ11" s="224">
        <f t="shared" si="18"/>
        <v>1</v>
      </c>
      <c r="BA11" s="224">
        <f t="shared" si="19"/>
        <v>1</v>
      </c>
      <c r="BB11" s="224">
        <f t="shared" si="20"/>
        <v>1</v>
      </c>
      <c r="BC11" s="224">
        <f t="shared" si="21"/>
        <v>0</v>
      </c>
      <c r="BD11" s="224">
        <f t="shared" si="22"/>
        <v>3</v>
      </c>
      <c r="BF11" s="224">
        <f t="shared" si="23"/>
        <v>-11</v>
      </c>
      <c r="BG11" s="224">
        <f t="shared" si="24"/>
        <v>-4</v>
      </c>
      <c r="BH11" s="224">
        <f t="shared" si="25"/>
        <v>1</v>
      </c>
      <c r="BI11" s="224">
        <f t="shared" si="26"/>
        <v>6</v>
      </c>
      <c r="BJ11" s="224">
        <f t="shared" si="27"/>
        <v>1</v>
      </c>
      <c r="BK11" s="224">
        <f t="shared" si="28"/>
        <v>0</v>
      </c>
      <c r="BL11" s="224">
        <f t="shared" si="29"/>
        <v>-7</v>
      </c>
      <c r="BN11" s="224">
        <f t="shared" si="30"/>
        <v>2</v>
      </c>
      <c r="BO11" s="224">
        <f t="shared" si="31"/>
        <v>9</v>
      </c>
      <c r="BP11" s="224">
        <f t="shared" si="32"/>
        <v>12</v>
      </c>
      <c r="BQ11" s="224">
        <f t="shared" si="33"/>
        <v>13</v>
      </c>
      <c r="BR11" s="224">
        <f t="shared" si="34"/>
        <v>11</v>
      </c>
      <c r="BS11" s="224">
        <f t="shared" si="35"/>
        <v>0</v>
      </c>
      <c r="BT11" s="224">
        <f t="shared" si="36"/>
        <v>47</v>
      </c>
      <c r="BV11" s="224">
        <f t="shared" si="37"/>
        <v>1</v>
      </c>
      <c r="BW11" s="224">
        <f t="shared" si="38"/>
        <v>0</v>
      </c>
      <c r="BX11" s="224">
        <f t="shared" si="39"/>
        <v>0</v>
      </c>
      <c r="BY11" s="224">
        <f t="shared" si="40"/>
        <v>0</v>
      </c>
      <c r="BZ11" s="224">
        <f t="shared" si="41"/>
        <v>1</v>
      </c>
      <c r="CA11" s="224">
        <f t="shared" si="42"/>
        <v>0</v>
      </c>
      <c r="CB11" s="224">
        <f t="shared" si="43"/>
        <v>3</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6</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P.C.B.D. - Hejl ml. Pavel</v>
      </c>
      <c r="C14" s="261" t="str">
        <f t="shared" ref="C14:C17" si="45">CONCATENATE($C$1,A6)</f>
        <v>D1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PAK Albrechtice - Valík Václav</v>
      </c>
      <c r="C15" s="261" t="str">
        <f t="shared" si="45"/>
        <v>D2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PC Sokol PP Hr. Králové - Vávrová Ivana</v>
      </c>
      <c r="C16" s="261" t="str">
        <f t="shared" si="45"/>
        <v>D3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PK Polouvsí - Valošková Sára</v>
      </c>
      <c r="C17" s="261" t="str">
        <f t="shared" si="45"/>
        <v>D4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1</v>
      </c>
      <c r="W21" s="69">
        <f>AD26</f>
        <v>1</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3</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2</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2</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1</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1</v>
      </c>
      <c r="AE26" s="6">
        <f t="shared" si="60"/>
        <v>4</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3</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1</v>
      </c>
      <c r="G30" s="69">
        <f>AD31</f>
        <v>1</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1</v>
      </c>
      <c r="AA30" s="69">
        <f>AD36</f>
        <v>1</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13</v>
      </c>
      <c r="AA31" s="6">
        <f t="shared" ref="AA31:AA36" si="87">AA$30*$AD31*$AA6</f>
        <v>2</v>
      </c>
      <c r="AD31" s="6">
        <f t="shared" ref="AD31:AD36" si="88">IF(AE31=$A$30,1,0)</f>
        <v>1</v>
      </c>
      <c r="AE31" s="6">
        <f t="shared" ref="AE31:AE36" si="89">$AE6</f>
        <v>3</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1</v>
      </c>
      <c r="BD31" s="6">
        <f t="shared" ref="BD31:BD36" si="96">SUM(AX31:BC31)</f>
        <v>1</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11</v>
      </c>
      <c r="BL31" s="6">
        <f t="shared" ref="BL31:BL36" si="103">SUM(BF31:BK31)</f>
        <v>11</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2</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2</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1</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4</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2</v>
      </c>
      <c r="G36" s="6">
        <f t="shared" si="77"/>
        <v>13</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1</v>
      </c>
      <c r="AE36" s="6">
        <f t="shared" si="89"/>
        <v>3</v>
      </c>
      <c r="AX36" s="6">
        <f t="shared" si="90"/>
        <v>0</v>
      </c>
      <c r="AY36" s="6">
        <f t="shared" si="91"/>
        <v>0</v>
      </c>
      <c r="AZ36" s="6">
        <f t="shared" si="92"/>
        <v>0</v>
      </c>
      <c r="BA36" s="6">
        <f t="shared" si="93"/>
        <v>0</v>
      </c>
      <c r="BB36" s="6">
        <f t="shared" si="94"/>
        <v>0</v>
      </c>
      <c r="BC36" s="6">
        <f t="shared" si="95"/>
        <v>0</v>
      </c>
      <c r="BD36" s="6">
        <f t="shared" si="96"/>
        <v>0</v>
      </c>
      <c r="BF36" s="6">
        <f t="shared" si="97"/>
        <v>-11</v>
      </c>
      <c r="BG36" s="6">
        <f t="shared" si="98"/>
        <v>0</v>
      </c>
      <c r="BH36" s="6">
        <f t="shared" si="99"/>
        <v>0</v>
      </c>
      <c r="BI36" s="6">
        <f t="shared" si="100"/>
        <v>0</v>
      </c>
      <c r="BJ36" s="6">
        <f t="shared" si="101"/>
        <v>0</v>
      </c>
      <c r="BK36" s="6">
        <f t="shared" si="102"/>
        <v>0</v>
      </c>
      <c r="BL36" s="6">
        <f t="shared" si="103"/>
        <v>-11</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1</v>
      </c>
      <c r="K39" s="69">
        <f>AD41</f>
        <v>1</v>
      </c>
      <c r="L39" s="69"/>
      <c r="M39" s="69"/>
      <c r="N39" s="69">
        <f>AD42</f>
        <v>1</v>
      </c>
      <c r="O39" s="69">
        <f>AD42</f>
        <v>1</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3</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13</v>
      </c>
      <c r="O41" s="6">
        <f t="shared" si="110"/>
        <v>4</v>
      </c>
      <c r="R41" s="6">
        <f t="shared" si="111"/>
        <v>0</v>
      </c>
      <c r="S41" s="6">
        <f t="shared" si="112"/>
        <v>0</v>
      </c>
      <c r="V41" s="6">
        <f t="shared" si="113"/>
        <v>0</v>
      </c>
      <c r="W41" s="6">
        <f t="shared" si="114"/>
        <v>0</v>
      </c>
      <c r="Z41" s="6">
        <f t="shared" si="115"/>
        <v>0</v>
      </c>
      <c r="AA41" s="6">
        <f t="shared" si="116"/>
        <v>0</v>
      </c>
      <c r="AD41" s="6">
        <f t="shared" si="117"/>
        <v>1</v>
      </c>
      <c r="AE41" s="6">
        <f t="shared" si="118"/>
        <v>2</v>
      </c>
      <c r="AX41" s="6">
        <f t="shared" si="119"/>
        <v>0</v>
      </c>
      <c r="AY41" s="6">
        <f t="shared" si="120"/>
        <v>0</v>
      </c>
      <c r="AZ41" s="6">
        <f t="shared" si="121"/>
        <v>1</v>
      </c>
      <c r="BA41" s="6">
        <f t="shared" si="122"/>
        <v>0</v>
      </c>
      <c r="BB41" s="6">
        <f t="shared" si="123"/>
        <v>0</v>
      </c>
      <c r="BC41" s="6">
        <f t="shared" si="124"/>
        <v>0</v>
      </c>
      <c r="BD41" s="6">
        <f t="shared" si="125"/>
        <v>1</v>
      </c>
      <c r="BF41" s="6">
        <f t="shared" si="126"/>
        <v>0</v>
      </c>
      <c r="BG41" s="6">
        <f t="shared" si="127"/>
        <v>0</v>
      </c>
      <c r="BH41" s="6">
        <f t="shared" si="128"/>
        <v>9</v>
      </c>
      <c r="BI41" s="6">
        <f t="shared" si="129"/>
        <v>0</v>
      </c>
      <c r="BJ41" s="6">
        <f t="shared" si="130"/>
        <v>0</v>
      </c>
      <c r="BK41" s="6">
        <f t="shared" si="131"/>
        <v>0</v>
      </c>
      <c r="BL41" s="6">
        <f t="shared" si="132"/>
        <v>9</v>
      </c>
    </row>
    <row r="42" spans="1:64" ht="12" hidden="1" customHeight="1">
      <c r="A42" s="6">
        <f t="shared" si="104"/>
        <v>3</v>
      </c>
      <c r="F42" s="6">
        <f t="shared" si="105"/>
        <v>0</v>
      </c>
      <c r="G42" s="6">
        <f t="shared" si="106"/>
        <v>0</v>
      </c>
      <c r="J42" s="6">
        <f t="shared" si="107"/>
        <v>4</v>
      </c>
      <c r="K42" s="6">
        <f t="shared" si="108"/>
        <v>13</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1</v>
      </c>
      <c r="AE42" s="6">
        <f t="shared" si="118"/>
        <v>2</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-9</v>
      </c>
      <c r="BH42" s="6">
        <f t="shared" si="128"/>
        <v>0</v>
      </c>
      <c r="BI42" s="6">
        <f t="shared" si="129"/>
        <v>0</v>
      </c>
      <c r="BJ42" s="6">
        <f t="shared" si="130"/>
        <v>0</v>
      </c>
      <c r="BK42" s="6">
        <f t="shared" si="131"/>
        <v>0</v>
      </c>
      <c r="BL42" s="6">
        <f t="shared" si="132"/>
        <v>-9</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1</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4</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3</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1</v>
      </c>
      <c r="S48" s="69">
        <f>AD52</f>
        <v>1</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3</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2</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2</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1</v>
      </c>
      <c r="AE52" s="6">
        <f t="shared" si="147"/>
        <v>1</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4</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3</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64" priority="1" operator="equal">
      <formula>0</formula>
    </cfRule>
  </conditionalFormatting>
  <conditionalFormatting sqref="J6:K6 N6:O7 R6:S8 V6:W9 Z6:AA10">
    <cfRule type="cellIs" dxfId="163" priority="2" operator="equal">
      <formula>0</formula>
    </cfRule>
  </conditionalFormatting>
  <conditionalFormatting sqref="B6:B11">
    <cfRule type="expression" dxfId="162" priority="3">
      <formula>IF(C6=1,TRUE,FALSE)</formula>
    </cfRule>
  </conditionalFormatting>
  <conditionalFormatting sqref="B6:B11">
    <cfRule type="expression" dxfId="16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5</v>
      </c>
      <c r="B1" s="175" t="s">
        <v>1794</v>
      </c>
      <c r="C1" s="274" t="s">
        <v>1835</v>
      </c>
      <c r="D1" s="69"/>
      <c r="E1" s="69"/>
      <c r="F1" s="177" t="s">
        <v>1712</v>
      </c>
      <c r="G1" s="178">
        <f>$AV$12</f>
        <v>6</v>
      </c>
      <c r="H1" s="179" t="s">
        <v>1796</v>
      </c>
      <c r="I1" s="69"/>
      <c r="J1" s="69"/>
      <c r="K1" s="69"/>
      <c r="L1" s="69"/>
      <c r="M1" s="69"/>
      <c r="N1" s="69"/>
      <c r="O1" s="69"/>
      <c r="P1" s="180" t="s">
        <v>1797</v>
      </c>
      <c r="Q1" s="74"/>
      <c r="R1" s="181">
        <f ca="1">INDIRECT(ADDRESS(4,A1,1,1,"Hřiště"))</f>
        <v>10</v>
      </c>
      <c r="S1" s="181">
        <f ca="1">INDIRECT(ADDRESS(5,A1,1,1,"Hřiště"))</f>
        <v>12</v>
      </c>
      <c r="T1" s="181"/>
      <c r="U1" s="69"/>
      <c r="V1" s="69"/>
      <c r="W1" s="69"/>
      <c r="X1" s="69"/>
      <c r="Y1" s="69"/>
      <c r="Z1" s="177" t="s">
        <v>1798</v>
      </c>
      <c r="AA1" s="178">
        <f>IF(G1=0,0,CHOOSE(G1,0,1,1,2,2,3))</f>
        <v>3</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HRODE KRUMSÍN - Krpec Miroslav</v>
      </c>
      <c r="C6" s="208">
        <f t="shared" ref="C6:C11" si="0">IF(CB6=0,"",CB6)</f>
        <v>2</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12</v>
      </c>
      <c r="J6" s="215">
        <f>$G$7</f>
        <v>10</v>
      </c>
      <c r="K6" s="216">
        <f>$F$7</f>
        <v>11</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11</v>
      </c>
      <c r="N6" s="215">
        <f>$G$8</f>
        <v>13</v>
      </c>
      <c r="O6" s="216">
        <f>$F$8</f>
        <v>8</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10</v>
      </c>
      <c r="R6" s="215">
        <f>$G$9</f>
        <v>13</v>
      </c>
      <c r="S6" s="216">
        <f>$F$9</f>
        <v>5</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10</v>
      </c>
      <c r="V6" s="215">
        <f>$G$10</f>
        <v>13</v>
      </c>
      <c r="W6" s="216">
        <f>$F$10</f>
        <v>12</v>
      </c>
      <c r="X6" s="213">
        <f>IF(TYPE(VLOOKUP(VALUE(CONCATENATE(TEXT($G$1,"0"),TEXT($A6,"0"),TEXT(AA$3,"0"))),RozpisKK!$AA$3:$AD$76,3,0))&gt;3,"",VLOOKUP(VALUE(CONCATENATE(TEXT($G$1,"0"),TEXT($A6,"0"),TEXT(AA$3,"0"))),RozpisKK!$AA$3:$AD$76,3,0))</f>
        <v>5</v>
      </c>
      <c r="Y6" s="214">
        <f ca="1">IF(TYPE(VLOOKUP(VALUE(CONCATENATE(TEXT($G$1,"0"),TEXT($A6,"0"),TEXT(AA$3,"0"))),RozpisKK!$AA$3:$AD$76,3,0))&gt;3,"",VLOOKUP(VALUE(CONCATENATE(TEXT($G$1,"0"),TEXT($A6,"0"),TEXT(AA$3,"0"))),RozpisKK!$AA$3:$AD$76,4,0)+$R$1-1)</f>
        <v>12</v>
      </c>
      <c r="Z6" s="215">
        <f>$G$11</f>
        <v>13</v>
      </c>
      <c r="AA6" s="216">
        <f>$F$11</f>
        <v>1</v>
      </c>
      <c r="AB6" s="69"/>
      <c r="AC6" s="69"/>
      <c r="AD6" s="217">
        <f t="shared" ref="AD6:AD11" si="1">IF(OR(F6&gt;0,G6&gt;0,J6&gt;0,K6&gt;0,N6&gt;0,O6&gt;0,R6&gt;0,S6&gt;0,V6&gt;0,W6&gt;0,Z6&gt;0,AA6&gt;0),1,0)</f>
        <v>1</v>
      </c>
      <c r="AE6" s="218">
        <f t="shared" ref="AE6:AE11" si="2">SUM(AX6:BC6)</f>
        <v>4</v>
      </c>
      <c r="AF6" s="219"/>
      <c r="AG6" s="219">
        <f t="shared" ref="AG6:AG11" si="3">BD22</f>
        <v>0</v>
      </c>
      <c r="AH6" s="219">
        <f t="shared" ref="AH6:AH11" si="4">BD31</f>
        <v>0</v>
      </c>
      <c r="AI6" s="219">
        <f t="shared" ref="AI6:AI11" si="5">BD40</f>
        <v>0</v>
      </c>
      <c r="AJ6" s="219">
        <f t="shared" ref="AJ6:AJ11" si="6">BD49</f>
        <v>0</v>
      </c>
      <c r="AK6" s="219"/>
      <c r="AL6" s="219">
        <f t="shared" ref="AL6:AL11" si="7">BL22</f>
        <v>-1</v>
      </c>
      <c r="AM6" s="219">
        <f t="shared" ref="AM6:AM11" si="8">BL31</f>
        <v>0</v>
      </c>
      <c r="AN6" s="219">
        <f t="shared" ref="AN6:AN11" si="9">BL40</f>
        <v>0</v>
      </c>
      <c r="AO6" s="219">
        <f t="shared" ref="AO6:AO11" si="10">BL49</f>
        <v>0</v>
      </c>
      <c r="AP6" s="220">
        <f t="shared" ref="AP6:AP11" si="11">SUM(BF6:BK6)</f>
        <v>25</v>
      </c>
      <c r="AQ6" s="220">
        <f t="shared" ref="AQ6:AQ11" si="12">SUM(BN6:BS6)</f>
        <v>62</v>
      </c>
      <c r="AR6" s="221"/>
      <c r="AS6" s="222" t="str">
        <f t="shared" ref="AS6:AS11" si="13">CONCATENATE(TEXT(AD6,"0"),TEXT(AE6,"0"),TEXT(AG6,"0"),TEXT(AH6,"0"),TEXT(AI6,"0"),TEXT(AJ6,"0"),TEXT(100+AL6,"000"),TEXT(100+AM6,"000"),TEXT(100+AN6,"000"),TEXT(100+AO6,"000"),TEXT(100+AP6,"000"),TEXT(AQ6,"000"))</f>
        <v>140000099100100100125062</v>
      </c>
      <c r="AT6" s="223">
        <f t="shared" ref="AT6:AT11" si="14">CB6</f>
        <v>2</v>
      </c>
      <c r="AU6" s="69"/>
      <c r="AV6" s="217">
        <f t="shared" ref="AV6:AV11" si="15">IF(OR(B6="",B6=" - "),0,1)</f>
        <v>1</v>
      </c>
      <c r="AX6" s="224">
        <f t="shared" ref="AX6:AX11" si="16">IF(F6&gt;G6,1,0)</f>
        <v>0</v>
      </c>
      <c r="AY6" s="224">
        <f t="shared" ref="AY6:AY11" si="17">IF(J6&gt;K6,1,0)</f>
        <v>0</v>
      </c>
      <c r="AZ6" s="224">
        <f t="shared" ref="AZ6:AZ11" si="18">IF(N6&gt;O6,1,0)</f>
        <v>1</v>
      </c>
      <c r="BA6" s="224">
        <f t="shared" ref="BA6:BA11" si="19">IF(R6&gt;S6,1,0)</f>
        <v>1</v>
      </c>
      <c r="BB6" s="224">
        <f t="shared" ref="BB6:BB11" si="20">IF(V6&gt;W6,1,0)</f>
        <v>1</v>
      </c>
      <c r="BC6" s="224">
        <f t="shared" ref="BC6:BC11" si="21">IF(Z6&gt;AA6,1,0)</f>
        <v>1</v>
      </c>
      <c r="BD6" s="224">
        <f t="shared" ref="BD6:BD11" si="22">SUM(AX6:BC6)</f>
        <v>4</v>
      </c>
      <c r="BF6" s="224">
        <f t="shared" ref="BF6:BF11" si="23">F6-G6</f>
        <v>0</v>
      </c>
      <c r="BG6" s="224">
        <f t="shared" ref="BG6:BG11" si="24">J6-K6</f>
        <v>-1</v>
      </c>
      <c r="BH6" s="224">
        <f t="shared" ref="BH6:BH11" si="25">N6-O6</f>
        <v>5</v>
      </c>
      <c r="BI6" s="224">
        <f t="shared" ref="BI6:BI11" si="26">R6-S6</f>
        <v>8</v>
      </c>
      <c r="BJ6" s="224">
        <f t="shared" ref="BJ6:BJ11" si="27">V6-W6</f>
        <v>1</v>
      </c>
      <c r="BK6" s="224">
        <f t="shared" ref="BK6:BK11" si="28">Z6-AA6</f>
        <v>12</v>
      </c>
      <c r="BL6" s="224">
        <f t="shared" ref="BL6:BL11" si="29">SUM(BF6:BK6)</f>
        <v>25</v>
      </c>
      <c r="BN6" s="224">
        <f t="shared" ref="BN6:BN11" si="30">F6</f>
        <v>0</v>
      </c>
      <c r="BO6" s="224">
        <f t="shared" ref="BO6:BO11" si="31">J6</f>
        <v>10</v>
      </c>
      <c r="BP6" s="224">
        <f t="shared" ref="BP6:BP11" si="32">N6</f>
        <v>13</v>
      </c>
      <c r="BQ6" s="224">
        <f t="shared" ref="BQ6:BQ11" si="33">R6</f>
        <v>13</v>
      </c>
      <c r="BR6" s="224">
        <f t="shared" ref="BR6:BR11" si="34">V6</f>
        <v>13</v>
      </c>
      <c r="BS6" s="224">
        <f t="shared" ref="BS6:BS11" si="35">Z6</f>
        <v>13</v>
      </c>
      <c r="BT6" s="224">
        <f t="shared" ref="BT6:BT11" si="36">SUM(BN6:BS6)</f>
        <v>62</v>
      </c>
      <c r="BV6" s="224">
        <f t="shared" ref="BV6:BV11" si="37">IF(AS6&lt;AS$6,1,0)</f>
        <v>0</v>
      </c>
      <c r="BW6" s="224">
        <f t="shared" ref="BW6:BW11" si="38">IF(AS6&lt;AS$7,1,0)</f>
        <v>1</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2</v>
      </c>
    </row>
    <row r="7" spans="1:80" ht="36" customHeight="1">
      <c r="A7" s="225">
        <v>2</v>
      </c>
      <c r="B7" s="226" t="str">
        <f>IF(TYPE(VLOOKUP(CONCATENATE($C$1,A7),Skupiny!$A$3:$B$194,2,0))&gt;3," - ",VLOOKUP(CONCATENATE($C$1,A7),Skupiny!$A$3:$B$194,2,0))</f>
        <v>SKP Kulová osma - Krejčín Leoš</v>
      </c>
      <c r="C7" s="227">
        <f t="shared" si="0"/>
        <v>1</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12</v>
      </c>
      <c r="F7" s="230">
        <v>11</v>
      </c>
      <c r="G7" s="231">
        <v>10</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12</v>
      </c>
      <c r="N7" s="238">
        <f>$K$8</f>
        <v>7</v>
      </c>
      <c r="O7" s="216">
        <f>$J$8</f>
        <v>10</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11</v>
      </c>
      <c r="R7" s="238">
        <f>$K$9</f>
        <v>13</v>
      </c>
      <c r="S7" s="216">
        <f>$J$9</f>
        <v>3</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11</v>
      </c>
      <c r="V7" s="238">
        <f>$K$10</f>
        <v>13</v>
      </c>
      <c r="W7" s="216">
        <f>$J$10</f>
        <v>3</v>
      </c>
      <c r="X7" s="236">
        <f>IF(TYPE(VLOOKUP(VALUE(CONCATENATE(TEXT($G$1,"0"),TEXT($A7,"0"),TEXT(AA$3,"0"))),RozpisKK!$AA$3:$AD$76,3,0))&gt;3,"",VLOOKUP(VALUE(CONCATENATE(TEXT($G$1,"0"),TEXT($A7,"0"),TEXT(AA$3,"0"))),RozpisKK!$AA$3:$AD$76,3,0))</f>
        <v>3</v>
      </c>
      <c r="Y7" s="237">
        <f ca="1">IF(TYPE(VLOOKUP(VALUE(CONCATENATE(TEXT($G$1,"0"),TEXT($A7,"0"),TEXT(AA$3,"0"))),RozpisKK!$AA$3:$AD$76,3,0))&gt;3,"",VLOOKUP(VALUE(CONCATENATE(TEXT($G$1,"0"),TEXT($A7,"0"),TEXT(AA$3,"0"))),RozpisKK!$AA$3:$AD$76,4,0)+$R$1-1)</f>
        <v>10</v>
      </c>
      <c r="Z7" s="238">
        <f>$K$11</f>
        <v>13</v>
      </c>
      <c r="AA7" s="216">
        <f>$J$11</f>
        <v>7</v>
      </c>
      <c r="AB7" s="69"/>
      <c r="AC7" s="69"/>
      <c r="AD7" s="217">
        <f t="shared" si="1"/>
        <v>1</v>
      </c>
      <c r="AE7" s="239">
        <f t="shared" si="2"/>
        <v>4</v>
      </c>
      <c r="AF7" s="240"/>
      <c r="AG7" s="240">
        <f t="shared" si="3"/>
        <v>1</v>
      </c>
      <c r="AH7" s="240">
        <f t="shared" si="4"/>
        <v>0</v>
      </c>
      <c r="AI7" s="240">
        <f t="shared" si="5"/>
        <v>0</v>
      </c>
      <c r="AJ7" s="240">
        <f t="shared" si="6"/>
        <v>0</v>
      </c>
      <c r="AK7" s="240"/>
      <c r="AL7" s="219">
        <f t="shared" si="7"/>
        <v>1</v>
      </c>
      <c r="AM7" s="219">
        <f t="shared" si="8"/>
        <v>0</v>
      </c>
      <c r="AN7" s="219">
        <f t="shared" si="9"/>
        <v>0</v>
      </c>
      <c r="AO7" s="219">
        <f t="shared" si="10"/>
        <v>0</v>
      </c>
      <c r="AP7" s="220">
        <f t="shared" si="11"/>
        <v>24</v>
      </c>
      <c r="AQ7" s="220">
        <f t="shared" si="12"/>
        <v>57</v>
      </c>
      <c r="AR7" s="241"/>
      <c r="AS7" s="242" t="str">
        <f t="shared" si="13"/>
        <v>141000101100100100124057</v>
      </c>
      <c r="AT7" s="243">
        <f t="shared" si="14"/>
        <v>1</v>
      </c>
      <c r="AU7" s="69"/>
      <c r="AV7" s="217">
        <f t="shared" si="15"/>
        <v>1</v>
      </c>
      <c r="AX7" s="224">
        <f t="shared" si="16"/>
        <v>1</v>
      </c>
      <c r="AY7" s="224">
        <f t="shared" si="17"/>
        <v>0</v>
      </c>
      <c r="AZ7" s="224">
        <f t="shared" si="18"/>
        <v>0</v>
      </c>
      <c r="BA7" s="224">
        <f t="shared" si="19"/>
        <v>1</v>
      </c>
      <c r="BB7" s="224">
        <f t="shared" si="20"/>
        <v>1</v>
      </c>
      <c r="BC7" s="224">
        <f t="shared" si="21"/>
        <v>1</v>
      </c>
      <c r="BD7" s="224">
        <f t="shared" si="22"/>
        <v>4</v>
      </c>
      <c r="BF7" s="224">
        <f t="shared" si="23"/>
        <v>1</v>
      </c>
      <c r="BG7" s="224">
        <f t="shared" si="24"/>
        <v>0</v>
      </c>
      <c r="BH7" s="224">
        <f t="shared" si="25"/>
        <v>-3</v>
      </c>
      <c r="BI7" s="224">
        <f t="shared" si="26"/>
        <v>10</v>
      </c>
      <c r="BJ7" s="224">
        <f t="shared" si="27"/>
        <v>10</v>
      </c>
      <c r="BK7" s="224">
        <f t="shared" si="28"/>
        <v>6</v>
      </c>
      <c r="BL7" s="224">
        <f t="shared" si="29"/>
        <v>24</v>
      </c>
      <c r="BN7" s="224">
        <f t="shared" si="30"/>
        <v>11</v>
      </c>
      <c r="BO7" s="224">
        <f t="shared" si="31"/>
        <v>0</v>
      </c>
      <c r="BP7" s="224">
        <f t="shared" si="32"/>
        <v>7</v>
      </c>
      <c r="BQ7" s="224">
        <f t="shared" si="33"/>
        <v>13</v>
      </c>
      <c r="BR7" s="224">
        <f t="shared" si="34"/>
        <v>13</v>
      </c>
      <c r="BS7" s="224">
        <f t="shared" si="35"/>
        <v>13</v>
      </c>
      <c r="BT7" s="224">
        <f t="shared" si="36"/>
        <v>57</v>
      </c>
      <c r="BV7" s="224">
        <f t="shared" si="37"/>
        <v>0</v>
      </c>
      <c r="BW7" s="224">
        <f t="shared" si="38"/>
        <v>0</v>
      </c>
      <c r="BX7" s="224">
        <f t="shared" si="39"/>
        <v>0</v>
      </c>
      <c r="BY7" s="224">
        <f t="shared" si="40"/>
        <v>0</v>
      </c>
      <c r="BZ7" s="224">
        <f t="shared" si="41"/>
        <v>0</v>
      </c>
      <c r="CA7" s="224">
        <f t="shared" si="42"/>
        <v>0</v>
      </c>
      <c r="CB7" s="224">
        <f t="shared" si="43"/>
        <v>1</v>
      </c>
    </row>
    <row r="8" spans="1:80" ht="36" customHeight="1">
      <c r="A8" s="225">
        <v>3</v>
      </c>
      <c r="B8" s="226" t="str">
        <f>IF(TYPE(VLOOKUP(CONCATENATE($C$1,A8),Skupiny!$A$3:$B$194,2,0))&gt;3," - ",VLOOKUP(CONCATENATE($C$1,A8),Skupiny!$A$3:$B$194,2,0))</f>
        <v>PC Hrabyně - Holba Daniel</v>
      </c>
      <c r="C8" s="227">
        <f t="shared" si="0"/>
        <v>4</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11</v>
      </c>
      <c r="F8" s="230">
        <v>8</v>
      </c>
      <c r="G8" s="231">
        <v>13</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12</v>
      </c>
      <c r="J8" s="230">
        <v>10</v>
      </c>
      <c r="K8" s="231">
        <v>7</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10</v>
      </c>
      <c r="R8" s="238">
        <f>$O$9</f>
        <v>3</v>
      </c>
      <c r="S8" s="216">
        <f>$N$9</f>
        <v>13</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10</v>
      </c>
      <c r="V8" s="238">
        <f>$O$10</f>
        <v>10</v>
      </c>
      <c r="W8" s="216">
        <f>$N$10</f>
        <v>7</v>
      </c>
      <c r="X8" s="236">
        <f>IF(TYPE(VLOOKUP(VALUE(CONCATENATE(TEXT($G$1,"0"),TEXT($A8,"0"),TEXT(AA$3,"0"))),RozpisKK!$AA$3:$AD$76,3,0))&gt;3,"",VLOOKUP(VALUE(CONCATENATE(TEXT($G$1,"0"),TEXT($A8,"0"),TEXT(AA$3,"0"))),RozpisKK!$AA$3:$AD$76,3,0))</f>
        <v>1</v>
      </c>
      <c r="Y8" s="237">
        <f ca="1">IF(TYPE(VLOOKUP(VALUE(CONCATENATE(TEXT($G$1,"0"),TEXT($A8,"0"),TEXT(AA$3,"0"))),RozpisKK!$AA$3:$AD$76,3,0))&gt;3,"",VLOOKUP(VALUE(CONCATENATE(TEXT($G$1,"0"),TEXT($A8,"0"),TEXT(AA$3,"0"))),RozpisKK!$AA$3:$AD$76,4,0)+$R$1-1)</f>
        <v>12</v>
      </c>
      <c r="Z8" s="238">
        <f>$O$11</f>
        <v>7</v>
      </c>
      <c r="AA8" s="216">
        <f>$N$11</f>
        <v>10</v>
      </c>
      <c r="AB8" s="69"/>
      <c r="AC8" s="69"/>
      <c r="AD8" s="217">
        <f t="shared" si="1"/>
        <v>1</v>
      </c>
      <c r="AE8" s="239">
        <f t="shared" si="2"/>
        <v>2</v>
      </c>
      <c r="AF8" s="240"/>
      <c r="AG8" s="240">
        <f t="shared" si="3"/>
        <v>0</v>
      </c>
      <c r="AH8" s="240">
        <f t="shared" si="4"/>
        <v>0</v>
      </c>
      <c r="AI8" s="240">
        <f t="shared" si="5"/>
        <v>1</v>
      </c>
      <c r="AJ8" s="240">
        <f t="shared" si="6"/>
        <v>0</v>
      </c>
      <c r="AK8" s="240"/>
      <c r="AL8" s="219">
        <f t="shared" si="7"/>
        <v>0</v>
      </c>
      <c r="AM8" s="219">
        <f t="shared" si="8"/>
        <v>0</v>
      </c>
      <c r="AN8" s="219">
        <f t="shared" si="9"/>
        <v>0</v>
      </c>
      <c r="AO8" s="219">
        <f t="shared" si="10"/>
        <v>0</v>
      </c>
      <c r="AP8" s="220">
        <f t="shared" si="11"/>
        <v>-12</v>
      </c>
      <c r="AQ8" s="220">
        <f t="shared" si="12"/>
        <v>38</v>
      </c>
      <c r="AR8" s="241"/>
      <c r="AS8" s="242" t="str">
        <f t="shared" si="13"/>
        <v>120010100100100100088038</v>
      </c>
      <c r="AT8" s="243">
        <f t="shared" si="14"/>
        <v>4</v>
      </c>
      <c r="AU8" s="69"/>
      <c r="AV8" s="217">
        <f t="shared" si="15"/>
        <v>1</v>
      </c>
      <c r="AX8" s="224">
        <f t="shared" si="16"/>
        <v>0</v>
      </c>
      <c r="AY8" s="224">
        <f t="shared" si="17"/>
        <v>1</v>
      </c>
      <c r="AZ8" s="224">
        <f t="shared" si="18"/>
        <v>0</v>
      </c>
      <c r="BA8" s="224">
        <f t="shared" si="19"/>
        <v>0</v>
      </c>
      <c r="BB8" s="224">
        <f t="shared" si="20"/>
        <v>1</v>
      </c>
      <c r="BC8" s="224">
        <f t="shared" si="21"/>
        <v>0</v>
      </c>
      <c r="BD8" s="224">
        <f t="shared" si="22"/>
        <v>2</v>
      </c>
      <c r="BF8" s="224">
        <f t="shared" si="23"/>
        <v>-5</v>
      </c>
      <c r="BG8" s="224">
        <f t="shared" si="24"/>
        <v>3</v>
      </c>
      <c r="BH8" s="224">
        <f t="shared" si="25"/>
        <v>0</v>
      </c>
      <c r="BI8" s="224">
        <f t="shared" si="26"/>
        <v>-10</v>
      </c>
      <c r="BJ8" s="224">
        <f t="shared" si="27"/>
        <v>3</v>
      </c>
      <c r="BK8" s="224">
        <f t="shared" si="28"/>
        <v>-3</v>
      </c>
      <c r="BL8" s="224">
        <f t="shared" si="29"/>
        <v>-12</v>
      </c>
      <c r="BN8" s="224">
        <f t="shared" si="30"/>
        <v>8</v>
      </c>
      <c r="BO8" s="224">
        <f t="shared" si="31"/>
        <v>10</v>
      </c>
      <c r="BP8" s="224">
        <f t="shared" si="32"/>
        <v>0</v>
      </c>
      <c r="BQ8" s="224">
        <f t="shared" si="33"/>
        <v>3</v>
      </c>
      <c r="BR8" s="224">
        <f t="shared" si="34"/>
        <v>10</v>
      </c>
      <c r="BS8" s="224">
        <f t="shared" si="35"/>
        <v>7</v>
      </c>
      <c r="BT8" s="224">
        <f t="shared" si="36"/>
        <v>38</v>
      </c>
      <c r="BV8" s="224">
        <f t="shared" si="37"/>
        <v>1</v>
      </c>
      <c r="BW8" s="224">
        <f t="shared" si="38"/>
        <v>1</v>
      </c>
      <c r="BX8" s="224">
        <f t="shared" si="39"/>
        <v>0</v>
      </c>
      <c r="BY8" s="224">
        <f t="shared" si="40"/>
        <v>0</v>
      </c>
      <c r="BZ8" s="224">
        <f t="shared" si="41"/>
        <v>1</v>
      </c>
      <c r="CA8" s="224">
        <f t="shared" si="42"/>
        <v>0</v>
      </c>
      <c r="CB8" s="224">
        <f t="shared" si="43"/>
        <v>4</v>
      </c>
    </row>
    <row r="9" spans="1:80" ht="36" customHeight="1">
      <c r="A9" s="225">
        <v>4</v>
      </c>
      <c r="B9" s="226" t="str">
        <f>IF(TYPE(VLOOKUP(CONCATENATE($C$1,A9),Skupiny!$A$3:$B$194,2,0))&gt;3," - ",VLOOKUP(CONCATENATE($C$1,A9),Skupiny!$A$3:$B$194,2,0))</f>
        <v>KLIP Litovel - Hudos Oldřich</v>
      </c>
      <c r="C9" s="227">
        <f t="shared" si="0"/>
        <v>6</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10</v>
      </c>
      <c r="F9" s="230">
        <v>5</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11</v>
      </c>
      <c r="J9" s="230">
        <v>3</v>
      </c>
      <c r="K9" s="231">
        <v>13</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10</v>
      </c>
      <c r="N9" s="230">
        <v>13</v>
      </c>
      <c r="O9" s="231">
        <v>3</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12</v>
      </c>
      <c r="V9" s="238">
        <f>$S$10</f>
        <v>8</v>
      </c>
      <c r="W9" s="216">
        <f>$R$10</f>
        <v>9</v>
      </c>
      <c r="X9" s="236">
        <f>IF(TYPE(VLOOKUP(VALUE(CONCATENATE(TEXT($G$1,"0"),TEXT($A9,"0"),TEXT(AA$3,"0"))),RozpisKK!$AA$3:$AD$76,3,0))&gt;3,"",VLOOKUP(VALUE(CONCATENATE(TEXT($G$1,"0"),TEXT($A9,"0"),TEXT(AA$3,"0"))),RozpisKK!$AA$3:$AD$76,3,0))</f>
        <v>4</v>
      </c>
      <c r="Y9" s="237">
        <f ca="1">IF(TYPE(VLOOKUP(VALUE(CONCATENATE(TEXT($G$1,"0"),TEXT($A9,"0"),TEXT(AA$3,"0"))),RozpisKK!$AA$3:$AD$76,3,0))&gt;3,"",VLOOKUP(VALUE(CONCATENATE(TEXT($G$1,"0"),TEXT($A9,"0"),TEXT(AA$3,"0"))),RozpisKK!$AA$3:$AD$76,4,0)+$R$1-1)</f>
        <v>11</v>
      </c>
      <c r="Z9" s="238">
        <f>$S$11</f>
        <v>7</v>
      </c>
      <c r="AA9" s="216">
        <f>$R$11</f>
        <v>13</v>
      </c>
      <c r="AB9" s="69"/>
      <c r="AC9" s="69"/>
      <c r="AD9" s="217">
        <f t="shared" si="1"/>
        <v>1</v>
      </c>
      <c r="AE9" s="239">
        <f t="shared" si="2"/>
        <v>1</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-15</v>
      </c>
      <c r="AQ9" s="220">
        <f t="shared" si="12"/>
        <v>36</v>
      </c>
      <c r="AR9" s="241"/>
      <c r="AS9" s="242" t="str">
        <f t="shared" si="13"/>
        <v>110000100100100100085036</v>
      </c>
      <c r="AT9" s="243">
        <f t="shared" si="14"/>
        <v>6</v>
      </c>
      <c r="AU9" s="69"/>
      <c r="AV9" s="217">
        <f t="shared" si="15"/>
        <v>1</v>
      </c>
      <c r="AX9" s="224">
        <f t="shared" si="16"/>
        <v>0</v>
      </c>
      <c r="AY9" s="224">
        <f t="shared" si="17"/>
        <v>0</v>
      </c>
      <c r="AZ9" s="224">
        <f t="shared" si="18"/>
        <v>1</v>
      </c>
      <c r="BA9" s="224">
        <f t="shared" si="19"/>
        <v>0</v>
      </c>
      <c r="BB9" s="224">
        <f t="shared" si="20"/>
        <v>0</v>
      </c>
      <c r="BC9" s="224">
        <f t="shared" si="21"/>
        <v>0</v>
      </c>
      <c r="BD9" s="224">
        <f t="shared" si="22"/>
        <v>1</v>
      </c>
      <c r="BF9" s="224">
        <f t="shared" si="23"/>
        <v>-8</v>
      </c>
      <c r="BG9" s="224">
        <f t="shared" si="24"/>
        <v>-10</v>
      </c>
      <c r="BH9" s="224">
        <f t="shared" si="25"/>
        <v>10</v>
      </c>
      <c r="BI9" s="224">
        <f t="shared" si="26"/>
        <v>0</v>
      </c>
      <c r="BJ9" s="224">
        <f t="shared" si="27"/>
        <v>-1</v>
      </c>
      <c r="BK9" s="224">
        <f t="shared" si="28"/>
        <v>-6</v>
      </c>
      <c r="BL9" s="224">
        <f t="shared" si="29"/>
        <v>-15</v>
      </c>
      <c r="BN9" s="224">
        <f t="shared" si="30"/>
        <v>5</v>
      </c>
      <c r="BO9" s="224">
        <f t="shared" si="31"/>
        <v>3</v>
      </c>
      <c r="BP9" s="224">
        <f t="shared" si="32"/>
        <v>13</v>
      </c>
      <c r="BQ9" s="224">
        <f t="shared" si="33"/>
        <v>0</v>
      </c>
      <c r="BR9" s="224">
        <f t="shared" si="34"/>
        <v>8</v>
      </c>
      <c r="BS9" s="224">
        <f t="shared" si="35"/>
        <v>7</v>
      </c>
      <c r="BT9" s="224">
        <f t="shared" si="36"/>
        <v>36</v>
      </c>
      <c r="BV9" s="224">
        <f t="shared" si="37"/>
        <v>1</v>
      </c>
      <c r="BW9" s="224">
        <f t="shared" si="38"/>
        <v>1</v>
      </c>
      <c r="BX9" s="224">
        <f t="shared" si="39"/>
        <v>1</v>
      </c>
      <c r="BY9" s="224">
        <f t="shared" si="40"/>
        <v>0</v>
      </c>
      <c r="BZ9" s="224">
        <f t="shared" si="41"/>
        <v>1</v>
      </c>
      <c r="CA9" s="224">
        <f t="shared" si="42"/>
        <v>1</v>
      </c>
      <c r="CB9" s="224">
        <f t="shared" si="43"/>
        <v>6</v>
      </c>
    </row>
    <row r="10" spans="1:80" ht="36" customHeight="1">
      <c r="A10" s="225">
        <v>5</v>
      </c>
      <c r="B10" s="226" t="str">
        <f>IF(TYPE(VLOOKUP(CONCATENATE($C$1,A10),Skupiny!$A$3:$B$194,2,0))&gt;3," - ",VLOOKUP(CONCATENATE($C$1,A10),Skupiny!$A$3:$B$194,2,0))</f>
        <v>KLIP Litovel - Potužák Zdeněk</v>
      </c>
      <c r="C10" s="227">
        <f t="shared" si="0"/>
        <v>3</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10</v>
      </c>
      <c r="F10" s="230">
        <v>12</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11</v>
      </c>
      <c r="J10" s="230">
        <v>3</v>
      </c>
      <c r="K10" s="231">
        <v>13</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10</v>
      </c>
      <c r="N10" s="230">
        <v>7</v>
      </c>
      <c r="O10" s="231">
        <v>10</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12</v>
      </c>
      <c r="R10" s="230">
        <v>9</v>
      </c>
      <c r="S10" s="231">
        <v>8</v>
      </c>
      <c r="T10" s="232"/>
      <c r="U10" s="233"/>
      <c r="V10" s="234"/>
      <c r="W10" s="235"/>
      <c r="X10" s="236">
        <f>IF(TYPE(VLOOKUP(VALUE(CONCATENATE(TEXT($G$1,"0"),TEXT($A10,"0"),TEXT(AA$3,"0"))),RozpisKK!$AA$3:$AD$76,3,0))&gt;3,"",VLOOKUP(VALUE(CONCATENATE(TEXT($G$1,"0"),TEXT($A10,"0"),TEXT(AA$3,"0"))),RozpisKK!$AA$3:$AD$76,3,0))</f>
        <v>2</v>
      </c>
      <c r="Y10" s="237">
        <f ca="1">IF(TYPE(VLOOKUP(VALUE(CONCATENATE(TEXT($G$1,"0"),TEXT($A10,"0"),TEXT(AA$3,"0"))),RozpisKK!$AA$3:$AD$76,3,0))&gt;3,"",VLOOKUP(VALUE(CONCATENATE(TEXT($G$1,"0"),TEXT($A10,"0"),TEXT(AA$3,"0"))),RozpisKK!$AA$3:$AD$76,4,0)+$R$1-1)</f>
        <v>11</v>
      </c>
      <c r="Z10" s="238">
        <f>$W$11</f>
        <v>13</v>
      </c>
      <c r="AA10" s="216">
        <f>$V$11</f>
        <v>9</v>
      </c>
      <c r="AB10" s="69"/>
      <c r="AC10" s="69"/>
      <c r="AD10" s="217">
        <f t="shared" si="1"/>
        <v>1</v>
      </c>
      <c r="AE10" s="239">
        <f t="shared" si="2"/>
        <v>2</v>
      </c>
      <c r="AF10" s="240"/>
      <c r="AG10" s="240">
        <f t="shared" si="3"/>
        <v>0</v>
      </c>
      <c r="AH10" s="240">
        <f t="shared" si="4"/>
        <v>0</v>
      </c>
      <c r="AI10" s="240">
        <f t="shared" si="5"/>
        <v>1</v>
      </c>
      <c r="AJ10" s="240">
        <f t="shared" si="6"/>
        <v>0</v>
      </c>
      <c r="AK10" s="240"/>
      <c r="AL10" s="219">
        <f t="shared" si="7"/>
        <v>0</v>
      </c>
      <c r="AM10" s="219">
        <f t="shared" si="8"/>
        <v>0</v>
      </c>
      <c r="AN10" s="219">
        <f t="shared" si="9"/>
        <v>1</v>
      </c>
      <c r="AO10" s="219">
        <f t="shared" si="10"/>
        <v>0</v>
      </c>
      <c r="AP10" s="220">
        <f t="shared" si="11"/>
        <v>-9</v>
      </c>
      <c r="AQ10" s="220">
        <f t="shared" si="12"/>
        <v>44</v>
      </c>
      <c r="AR10" s="241"/>
      <c r="AS10" s="242" t="str">
        <f t="shared" si="13"/>
        <v>120010100100101100091044</v>
      </c>
      <c r="AT10" s="243">
        <f t="shared" si="14"/>
        <v>3</v>
      </c>
      <c r="AU10" s="69"/>
      <c r="AV10" s="217">
        <f t="shared" si="15"/>
        <v>1</v>
      </c>
      <c r="AX10" s="224">
        <f t="shared" si="16"/>
        <v>0</v>
      </c>
      <c r="AY10" s="224">
        <f t="shared" si="17"/>
        <v>0</v>
      </c>
      <c r="AZ10" s="224">
        <f t="shared" si="18"/>
        <v>0</v>
      </c>
      <c r="BA10" s="224">
        <f t="shared" si="19"/>
        <v>1</v>
      </c>
      <c r="BB10" s="224">
        <f t="shared" si="20"/>
        <v>0</v>
      </c>
      <c r="BC10" s="224">
        <f t="shared" si="21"/>
        <v>1</v>
      </c>
      <c r="BD10" s="224">
        <f t="shared" si="22"/>
        <v>2</v>
      </c>
      <c r="BF10" s="224">
        <f t="shared" si="23"/>
        <v>-1</v>
      </c>
      <c r="BG10" s="224">
        <f t="shared" si="24"/>
        <v>-10</v>
      </c>
      <c r="BH10" s="224">
        <f t="shared" si="25"/>
        <v>-3</v>
      </c>
      <c r="BI10" s="224">
        <f t="shared" si="26"/>
        <v>1</v>
      </c>
      <c r="BJ10" s="224">
        <f t="shared" si="27"/>
        <v>0</v>
      </c>
      <c r="BK10" s="224">
        <f t="shared" si="28"/>
        <v>4</v>
      </c>
      <c r="BL10" s="224">
        <f t="shared" si="29"/>
        <v>-9</v>
      </c>
      <c r="BN10" s="224">
        <f t="shared" si="30"/>
        <v>12</v>
      </c>
      <c r="BO10" s="224">
        <f t="shared" si="31"/>
        <v>3</v>
      </c>
      <c r="BP10" s="224">
        <f t="shared" si="32"/>
        <v>7</v>
      </c>
      <c r="BQ10" s="224">
        <f t="shared" si="33"/>
        <v>9</v>
      </c>
      <c r="BR10" s="224">
        <f t="shared" si="34"/>
        <v>0</v>
      </c>
      <c r="BS10" s="224">
        <f t="shared" si="35"/>
        <v>13</v>
      </c>
      <c r="BT10" s="224">
        <f t="shared" si="36"/>
        <v>44</v>
      </c>
      <c r="BV10" s="224">
        <f t="shared" si="37"/>
        <v>1</v>
      </c>
      <c r="BW10" s="224">
        <f t="shared" si="38"/>
        <v>1</v>
      </c>
      <c r="BX10" s="224">
        <f t="shared" si="39"/>
        <v>0</v>
      </c>
      <c r="BY10" s="224">
        <f t="shared" si="40"/>
        <v>0</v>
      </c>
      <c r="BZ10" s="224">
        <f t="shared" si="41"/>
        <v>0</v>
      </c>
      <c r="CA10" s="224">
        <f t="shared" si="42"/>
        <v>0</v>
      </c>
      <c r="CB10" s="224">
        <f t="shared" si="43"/>
        <v>3</v>
      </c>
    </row>
    <row r="11" spans="1:80" ht="38.25" customHeight="1">
      <c r="A11" s="225">
        <v>6</v>
      </c>
      <c r="B11" s="244" t="str">
        <f>IF(TYPE(VLOOKUP(CONCATENATE($C$1,A11),Skupiny!$A$3:$B$194,2,0))&gt;3," - ",VLOOKUP(CONCATENATE($C$1,A11),Skupiny!$A$3:$B$194,2,0))</f>
        <v>SKP Hranice VI-Valšovice - Němečková Radomíra</v>
      </c>
      <c r="C11" s="245">
        <f t="shared" si="0"/>
        <v>5</v>
      </c>
      <c r="D11" s="246">
        <f>IF(TYPE(VLOOKUP(VALUE(CONCATENATE(TEXT($G$1,"0"),TEXT($A11,"0"),TEXT(G$3,"0"))),RozpisKK!$AA$3:$AD$76,3,0))&gt;3,"",VLOOKUP(VALUE(CONCATENATE(TEXT($G$1,"0"),TEXT($A11,"0"),TEXT(G$3,"0"))),RozpisKK!$AA$3:$AD$76,3,0))</f>
        <v>5</v>
      </c>
      <c r="E11" s="247">
        <f ca="1">IF(TYPE(VLOOKUP(VALUE(CONCATENATE(TEXT($G$1,"0"),TEXT($A11,"0"),TEXT(G$3,"0"))),RozpisKK!$AA$3:$AD$76,3,0))&gt;3,"",VLOOKUP(VALUE(CONCATENATE(TEXT($G$1,"0"),TEXT($A11,"0"),TEXT(G$3,"0"))),RozpisKK!$AA$3:$AD$76,4,0)+$R$1-1)</f>
        <v>12</v>
      </c>
      <c r="F11" s="248">
        <v>1</v>
      </c>
      <c r="G11" s="249">
        <v>13</v>
      </c>
      <c r="H11" s="246">
        <f>IF(TYPE(VLOOKUP(VALUE(CONCATENATE(TEXT($G$1,"0"),TEXT($A11,"0"),TEXT(K$3,"0"))),RozpisKK!$AA$3:$AD$76,3,0))&gt;3,"",VLOOKUP(VALUE(CONCATENATE(TEXT($G$1,"0"),TEXT($A11,"0"),TEXT(K$3,"0"))),RozpisKK!$AA$3:$AD$76,3,0))</f>
        <v>3</v>
      </c>
      <c r="I11" s="247">
        <f ca="1">IF(TYPE(VLOOKUP(VALUE(CONCATENATE(TEXT($G$1,"0"),TEXT($A11,"0"),TEXT(K$3,"0"))),RozpisKK!$AA$3:$AD$76,3,0))&gt;3,"",VLOOKUP(VALUE(CONCATENATE(TEXT($G$1,"0"),TEXT($A11,"0"),TEXT(K$3,"0"))),RozpisKK!$AA$3:$AD$76,4,0)+$R$1-1)</f>
        <v>10</v>
      </c>
      <c r="J11" s="248">
        <v>7</v>
      </c>
      <c r="K11" s="249">
        <v>13</v>
      </c>
      <c r="L11" s="246">
        <f>IF(TYPE(VLOOKUP(VALUE(CONCATENATE(TEXT($G$1,"0"),TEXT($A11,"0"),TEXT(O$3,"0"))),RozpisKK!$AA$3:$AD$76,3,0))&gt;3,"",VLOOKUP(VALUE(CONCATENATE(TEXT($G$1,"0"),TEXT($A11,"0"),TEXT(O$3,"0"))),RozpisKK!$AA$3:$AD$76,3,0))</f>
        <v>1</v>
      </c>
      <c r="M11" s="247">
        <f ca="1">IF(TYPE(VLOOKUP(VALUE(CONCATENATE(TEXT($G$1,"0"),TEXT($A11,"0"),TEXT(O$3,"0"))),RozpisKK!$AA$3:$AD$76,3,0))&gt;3,"",VLOOKUP(VALUE(CONCATENATE(TEXT($G$1,"0"),TEXT($A11,"0"),TEXT(O$3,"0"))),RozpisKK!$AA$3:$AD$76,4,0)+$R$1-1)</f>
        <v>12</v>
      </c>
      <c r="N11" s="248">
        <v>10</v>
      </c>
      <c r="O11" s="249">
        <v>7</v>
      </c>
      <c r="P11" s="246">
        <f>IF(TYPE(VLOOKUP(VALUE(CONCATENATE(TEXT($G$1,"0"),TEXT($A11,"0"),TEXT(S$3,"0"))),RozpisKK!$AA$3:$AD$76,3,0))&gt;3,"",VLOOKUP(VALUE(CONCATENATE(TEXT($G$1,"0"),TEXT($A11,"0"),TEXT(S$3,"0"))),RozpisKK!$AA$3:$AD$76,3,0))</f>
        <v>4</v>
      </c>
      <c r="Q11" s="247">
        <f ca="1">IF(TYPE(VLOOKUP(VALUE(CONCATENATE(TEXT($G$1,"0"),TEXT($A11,"0"),TEXT(S$3,"0"))),RozpisKK!$AA$3:$AD$76,3,0))&gt;3,"",VLOOKUP(VALUE(CONCATENATE(TEXT($G$1,"0"),TEXT($A11,"0"),TEXT(S$3,"0"))),RozpisKK!$AA$3:$AD$76,4,0)+$R$1-1)</f>
        <v>11</v>
      </c>
      <c r="R11" s="248">
        <v>13</v>
      </c>
      <c r="S11" s="249">
        <v>7</v>
      </c>
      <c r="T11" s="246">
        <f>IF(TYPE(VLOOKUP(VALUE(CONCATENATE(TEXT($G$1,"0"),TEXT($A11,"0"),TEXT(W$3,"0"))),RozpisKK!$AA$3:$AD$76,3,0))&gt;3,"",VLOOKUP(VALUE(CONCATENATE(TEXT($G$1,"0"),TEXT($A11,"0"),TEXT(W$3,"0"))),RozpisKK!$AA$3:$AD$76,3,0))</f>
        <v>2</v>
      </c>
      <c r="U11" s="247">
        <f ca="1">IF(TYPE(VLOOKUP(VALUE(CONCATENATE(TEXT($G$1,"0"),TEXT($A11,"0"),TEXT(W$3,"0"))),RozpisKK!$AA$3:$AD$76,3,0))&gt;3,"",VLOOKUP(VALUE(CONCATENATE(TEXT($G$1,"0"),TEXT($A11,"0"),TEXT(W$3,"0"))),RozpisKK!$AA$3:$AD$76,4,0)+$R$1-1)</f>
        <v>11</v>
      </c>
      <c r="V11" s="248">
        <v>9</v>
      </c>
      <c r="W11" s="249">
        <v>13</v>
      </c>
      <c r="X11" s="232"/>
      <c r="Y11" s="233"/>
      <c r="Z11" s="234"/>
      <c r="AA11" s="235"/>
      <c r="AB11" s="69"/>
      <c r="AC11" s="69"/>
      <c r="AD11" s="217">
        <f t="shared" si="1"/>
        <v>1</v>
      </c>
      <c r="AE11" s="250">
        <f t="shared" si="2"/>
        <v>2</v>
      </c>
      <c r="AF11" s="251"/>
      <c r="AG11" s="251">
        <f t="shared" si="3"/>
        <v>0</v>
      </c>
      <c r="AH11" s="251">
        <f t="shared" si="4"/>
        <v>0</v>
      </c>
      <c r="AI11" s="251">
        <f t="shared" si="5"/>
        <v>1</v>
      </c>
      <c r="AJ11" s="251">
        <f t="shared" si="6"/>
        <v>0</v>
      </c>
      <c r="AK11" s="251"/>
      <c r="AL11" s="251">
        <f t="shared" si="7"/>
        <v>0</v>
      </c>
      <c r="AM11" s="251">
        <f t="shared" si="8"/>
        <v>0</v>
      </c>
      <c r="AN11" s="251">
        <f t="shared" si="9"/>
        <v>-1</v>
      </c>
      <c r="AO11" s="251">
        <f t="shared" si="10"/>
        <v>0</v>
      </c>
      <c r="AP11" s="247">
        <f t="shared" si="11"/>
        <v>-13</v>
      </c>
      <c r="AQ11" s="247">
        <f t="shared" si="12"/>
        <v>40</v>
      </c>
      <c r="AR11" s="252"/>
      <c r="AS11" s="253" t="str">
        <f t="shared" si="13"/>
        <v>120010100100099100087040</v>
      </c>
      <c r="AT11" s="254">
        <f t="shared" si="14"/>
        <v>5</v>
      </c>
      <c r="AU11" s="69"/>
      <c r="AV11" s="217">
        <f t="shared" si="15"/>
        <v>1</v>
      </c>
      <c r="AX11" s="224">
        <f t="shared" si="16"/>
        <v>0</v>
      </c>
      <c r="AY11" s="224">
        <f t="shared" si="17"/>
        <v>0</v>
      </c>
      <c r="AZ11" s="224">
        <f t="shared" si="18"/>
        <v>1</v>
      </c>
      <c r="BA11" s="224">
        <f t="shared" si="19"/>
        <v>1</v>
      </c>
      <c r="BB11" s="224">
        <f t="shared" si="20"/>
        <v>0</v>
      </c>
      <c r="BC11" s="224">
        <f t="shared" si="21"/>
        <v>0</v>
      </c>
      <c r="BD11" s="224">
        <f t="shared" si="22"/>
        <v>2</v>
      </c>
      <c r="BF11" s="224">
        <f t="shared" si="23"/>
        <v>-12</v>
      </c>
      <c r="BG11" s="224">
        <f t="shared" si="24"/>
        <v>-6</v>
      </c>
      <c r="BH11" s="224">
        <f t="shared" si="25"/>
        <v>3</v>
      </c>
      <c r="BI11" s="224">
        <f t="shared" si="26"/>
        <v>6</v>
      </c>
      <c r="BJ11" s="224">
        <f t="shared" si="27"/>
        <v>-4</v>
      </c>
      <c r="BK11" s="224">
        <f t="shared" si="28"/>
        <v>0</v>
      </c>
      <c r="BL11" s="224">
        <f t="shared" si="29"/>
        <v>-13</v>
      </c>
      <c r="BN11" s="224">
        <f t="shared" si="30"/>
        <v>1</v>
      </c>
      <c r="BO11" s="224">
        <f t="shared" si="31"/>
        <v>7</v>
      </c>
      <c r="BP11" s="224">
        <f t="shared" si="32"/>
        <v>10</v>
      </c>
      <c r="BQ11" s="224">
        <f t="shared" si="33"/>
        <v>13</v>
      </c>
      <c r="BR11" s="224">
        <f t="shared" si="34"/>
        <v>9</v>
      </c>
      <c r="BS11" s="224">
        <f t="shared" si="35"/>
        <v>0</v>
      </c>
      <c r="BT11" s="224">
        <f t="shared" si="36"/>
        <v>40</v>
      </c>
      <c r="BV11" s="224">
        <f t="shared" si="37"/>
        <v>1</v>
      </c>
      <c r="BW11" s="224">
        <f t="shared" si="38"/>
        <v>1</v>
      </c>
      <c r="BX11" s="224">
        <f t="shared" si="39"/>
        <v>1</v>
      </c>
      <c r="BY11" s="224">
        <f t="shared" si="40"/>
        <v>0</v>
      </c>
      <c r="BZ11" s="224">
        <f t="shared" si="41"/>
        <v>1</v>
      </c>
      <c r="CA11" s="224">
        <f t="shared" si="42"/>
        <v>0</v>
      </c>
      <c r="CB11" s="224">
        <f t="shared" si="43"/>
        <v>5</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6</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SKP Kulová osma - Krejčín Leoš</v>
      </c>
      <c r="C14" s="261" t="str">
        <f t="shared" ref="C14:C17" si="45">CONCATENATE($C$1,A6)</f>
        <v>E1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HRODE KRUMSÍN - Krpec Miroslav</v>
      </c>
      <c r="C15" s="261" t="str">
        <f t="shared" si="45"/>
        <v>E2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KLIP Litovel - Potužák Zdeněk</v>
      </c>
      <c r="C16" s="261" t="str">
        <f t="shared" si="45"/>
        <v>E3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PC Hrabyně - Holba Daniel</v>
      </c>
      <c r="C17" s="261" t="str">
        <f t="shared" si="45"/>
        <v>E4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1</v>
      </c>
      <c r="G21" s="69">
        <f>AD22</f>
        <v>1</v>
      </c>
      <c r="H21" s="69"/>
      <c r="I21" s="69"/>
      <c r="J21" s="69">
        <f>AD23</f>
        <v>1</v>
      </c>
      <c r="K21" s="69">
        <f>AD23</f>
        <v>1</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10</v>
      </c>
      <c r="K22" s="6">
        <f t="shared" ref="K22:K27" si="50">K$21*$AD22*$K6</f>
        <v>11</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1</v>
      </c>
      <c r="AE22" s="6">
        <f t="shared" ref="AE22:AE27" si="60">$AE6</f>
        <v>4</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-1</v>
      </c>
      <c r="BH22" s="6">
        <f t="shared" ref="BH22:BH27" si="70">N22-O22</f>
        <v>0</v>
      </c>
      <c r="BI22" s="6">
        <f t="shared" ref="BI22:BI27" si="71">R22-S22</f>
        <v>0</v>
      </c>
      <c r="BJ22" s="6">
        <f t="shared" ref="BJ22:BJ27" si="72">V22-W22</f>
        <v>0</v>
      </c>
      <c r="BK22" s="6">
        <f t="shared" ref="BK22:BK27" si="73">Z22-AA22</f>
        <v>0</v>
      </c>
      <c r="BL22" s="6">
        <f t="shared" ref="BL22:BL27" si="74">SUM(BF22:BK22)</f>
        <v>-1</v>
      </c>
    </row>
    <row r="23" spans="1:64" ht="12" hidden="1" customHeight="1">
      <c r="A23" s="6">
        <f t="shared" si="46"/>
        <v>2</v>
      </c>
      <c r="F23" s="6">
        <f t="shared" si="47"/>
        <v>11</v>
      </c>
      <c r="G23" s="6">
        <f t="shared" si="48"/>
        <v>10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1</v>
      </c>
      <c r="AE23" s="6">
        <f t="shared" si="60"/>
        <v>4</v>
      </c>
      <c r="AX23" s="6">
        <f t="shared" si="61"/>
        <v>1</v>
      </c>
      <c r="AY23" s="6">
        <f t="shared" si="62"/>
        <v>0</v>
      </c>
      <c r="AZ23" s="6">
        <f t="shared" si="63"/>
        <v>0</v>
      </c>
      <c r="BA23" s="6">
        <f t="shared" si="64"/>
        <v>0</v>
      </c>
      <c r="BB23" s="6">
        <f t="shared" si="65"/>
        <v>0</v>
      </c>
      <c r="BC23" s="6">
        <f t="shared" si="66"/>
        <v>0</v>
      </c>
      <c r="BD23" s="6">
        <f t="shared" si="67"/>
        <v>1</v>
      </c>
      <c r="BF23" s="6">
        <f t="shared" si="68"/>
        <v>1</v>
      </c>
      <c r="BG23" s="6">
        <f t="shared" si="69"/>
        <v>0</v>
      </c>
      <c r="BH23" s="6">
        <f t="shared" si="70"/>
        <v>0</v>
      </c>
      <c r="BI23" s="6">
        <f t="shared" si="71"/>
        <v>0</v>
      </c>
      <c r="BJ23" s="6">
        <f t="shared" si="72"/>
        <v>0</v>
      </c>
      <c r="BK23" s="6">
        <f t="shared" si="73"/>
        <v>0</v>
      </c>
      <c r="BL23" s="6">
        <f t="shared" si="74"/>
        <v>1</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2</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1</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2</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2</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4</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4</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2</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1</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2</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2</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1</v>
      </c>
      <c r="O39" s="69">
        <f>AD42</f>
        <v>1</v>
      </c>
      <c r="P39" s="69"/>
      <c r="Q39" s="69"/>
      <c r="R39" s="69">
        <f>AD43</f>
        <v>0</v>
      </c>
      <c r="S39" s="69">
        <f>AD43</f>
        <v>0</v>
      </c>
      <c r="T39" s="69"/>
      <c r="U39" s="69"/>
      <c r="V39" s="69">
        <f>AD44</f>
        <v>1</v>
      </c>
      <c r="W39" s="69">
        <f>AD44</f>
        <v>1</v>
      </c>
      <c r="X39" s="69"/>
      <c r="Y39" s="69"/>
      <c r="Z39" s="69">
        <f>AD45</f>
        <v>1</v>
      </c>
      <c r="AA39" s="69">
        <f>AD45</f>
        <v>1</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4</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4</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10</v>
      </c>
      <c r="W42" s="6">
        <f t="shared" si="114"/>
        <v>7</v>
      </c>
      <c r="Z42" s="6">
        <f t="shared" si="115"/>
        <v>7</v>
      </c>
      <c r="AA42" s="6">
        <f t="shared" si="116"/>
        <v>10</v>
      </c>
      <c r="AD42" s="6">
        <f t="shared" si="117"/>
        <v>1</v>
      </c>
      <c r="AE42" s="6">
        <f t="shared" si="118"/>
        <v>2</v>
      </c>
      <c r="AX42" s="6">
        <f t="shared" si="119"/>
        <v>0</v>
      </c>
      <c r="AY42" s="6">
        <f t="shared" si="120"/>
        <v>0</v>
      </c>
      <c r="AZ42" s="6">
        <f t="shared" si="121"/>
        <v>0</v>
      </c>
      <c r="BA42" s="6">
        <f t="shared" si="122"/>
        <v>0</v>
      </c>
      <c r="BB42" s="6">
        <f t="shared" si="123"/>
        <v>1</v>
      </c>
      <c r="BC42" s="6">
        <f t="shared" si="124"/>
        <v>0</v>
      </c>
      <c r="BD42" s="6">
        <f t="shared" si="125"/>
        <v>1</v>
      </c>
      <c r="BF42" s="6">
        <f t="shared" si="126"/>
        <v>0</v>
      </c>
      <c r="BG42" s="6">
        <f t="shared" si="127"/>
        <v>0</v>
      </c>
      <c r="BH42" s="6">
        <f t="shared" si="128"/>
        <v>0</v>
      </c>
      <c r="BI42" s="6">
        <f t="shared" si="129"/>
        <v>0</v>
      </c>
      <c r="BJ42" s="6">
        <f t="shared" si="130"/>
        <v>3</v>
      </c>
      <c r="BK42" s="6">
        <f t="shared" si="131"/>
        <v>-3</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1</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7</v>
      </c>
      <c r="O44" s="6">
        <f t="shared" si="110"/>
        <v>10</v>
      </c>
      <c r="R44" s="6">
        <f t="shared" si="111"/>
        <v>0</v>
      </c>
      <c r="S44" s="6">
        <f t="shared" si="112"/>
        <v>0</v>
      </c>
      <c r="V44" s="6">
        <f t="shared" si="113"/>
        <v>0</v>
      </c>
      <c r="W44" s="6">
        <f t="shared" si="114"/>
        <v>0</v>
      </c>
      <c r="Z44" s="6">
        <f t="shared" si="115"/>
        <v>13</v>
      </c>
      <c r="AA44" s="6">
        <f t="shared" si="116"/>
        <v>9</v>
      </c>
      <c r="AD44" s="6">
        <f t="shared" si="117"/>
        <v>1</v>
      </c>
      <c r="AE44" s="6">
        <f t="shared" si="118"/>
        <v>2</v>
      </c>
      <c r="AX44" s="6">
        <f t="shared" si="119"/>
        <v>0</v>
      </c>
      <c r="AY44" s="6">
        <f t="shared" si="120"/>
        <v>0</v>
      </c>
      <c r="AZ44" s="6">
        <f t="shared" si="121"/>
        <v>0</v>
      </c>
      <c r="BA44" s="6">
        <f t="shared" si="122"/>
        <v>0</v>
      </c>
      <c r="BB44" s="6">
        <f t="shared" si="123"/>
        <v>0</v>
      </c>
      <c r="BC44" s="6">
        <f t="shared" si="124"/>
        <v>1</v>
      </c>
      <c r="BD44" s="6">
        <f t="shared" si="125"/>
        <v>1</v>
      </c>
      <c r="BF44" s="6">
        <f t="shared" si="126"/>
        <v>0</v>
      </c>
      <c r="BG44" s="6">
        <f t="shared" si="127"/>
        <v>0</v>
      </c>
      <c r="BH44" s="6">
        <f t="shared" si="128"/>
        <v>-3</v>
      </c>
      <c r="BI44" s="6">
        <f t="shared" si="129"/>
        <v>0</v>
      </c>
      <c r="BJ44" s="6">
        <f t="shared" si="130"/>
        <v>0</v>
      </c>
      <c r="BK44" s="6">
        <f t="shared" si="131"/>
        <v>4</v>
      </c>
      <c r="BL44" s="6">
        <f t="shared" si="132"/>
        <v>1</v>
      </c>
    </row>
    <row r="45" spans="1:64" ht="12" hidden="1" customHeight="1">
      <c r="A45" s="6">
        <f t="shared" si="104"/>
        <v>6</v>
      </c>
      <c r="F45" s="6">
        <f t="shared" si="105"/>
        <v>0</v>
      </c>
      <c r="G45" s="6">
        <f t="shared" si="106"/>
        <v>0</v>
      </c>
      <c r="J45" s="6">
        <f t="shared" si="107"/>
        <v>0</v>
      </c>
      <c r="K45" s="6">
        <f t="shared" si="108"/>
        <v>0</v>
      </c>
      <c r="N45" s="6">
        <f t="shared" si="109"/>
        <v>10</v>
      </c>
      <c r="O45" s="6">
        <f t="shared" si="110"/>
        <v>7</v>
      </c>
      <c r="R45" s="6">
        <f t="shared" si="111"/>
        <v>0</v>
      </c>
      <c r="S45" s="6">
        <f t="shared" si="112"/>
        <v>0</v>
      </c>
      <c r="V45" s="6">
        <f t="shared" si="113"/>
        <v>9</v>
      </c>
      <c r="W45" s="6">
        <f t="shared" si="114"/>
        <v>13</v>
      </c>
      <c r="Z45" s="6">
        <f t="shared" si="115"/>
        <v>0</v>
      </c>
      <c r="AA45" s="6">
        <f t="shared" si="116"/>
        <v>0</v>
      </c>
      <c r="AD45" s="6">
        <f t="shared" si="117"/>
        <v>1</v>
      </c>
      <c r="AE45" s="6">
        <f t="shared" si="118"/>
        <v>2</v>
      </c>
      <c r="AX45" s="6">
        <f t="shared" si="119"/>
        <v>0</v>
      </c>
      <c r="AY45" s="6">
        <f t="shared" si="120"/>
        <v>0</v>
      </c>
      <c r="AZ45" s="6">
        <f t="shared" si="121"/>
        <v>1</v>
      </c>
      <c r="BA45" s="6">
        <f t="shared" si="122"/>
        <v>0</v>
      </c>
      <c r="BB45" s="6">
        <f t="shared" si="123"/>
        <v>0</v>
      </c>
      <c r="BC45" s="6">
        <f t="shared" si="124"/>
        <v>0</v>
      </c>
      <c r="BD45" s="6">
        <f t="shared" si="125"/>
        <v>1</v>
      </c>
      <c r="BF45" s="6">
        <f t="shared" si="126"/>
        <v>0</v>
      </c>
      <c r="BG45" s="6">
        <f t="shared" si="127"/>
        <v>0</v>
      </c>
      <c r="BH45" s="6">
        <f t="shared" si="128"/>
        <v>3</v>
      </c>
      <c r="BI45" s="6">
        <f t="shared" si="129"/>
        <v>0</v>
      </c>
      <c r="BJ45" s="6">
        <f t="shared" si="130"/>
        <v>-4</v>
      </c>
      <c r="BK45" s="6">
        <f t="shared" si="131"/>
        <v>0</v>
      </c>
      <c r="BL45" s="6">
        <f t="shared" si="132"/>
        <v>-1</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1</v>
      </c>
      <c r="S48" s="69">
        <f>AD52</f>
        <v>1</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4</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4</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2</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1</v>
      </c>
      <c r="AE52" s="6">
        <f t="shared" si="147"/>
        <v>1</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2</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2</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60" priority="1" operator="equal">
      <formula>0</formula>
    </cfRule>
  </conditionalFormatting>
  <conditionalFormatting sqref="J6:K6 N6:O7 R6:S8 V6:W9 Z6:AA10">
    <cfRule type="cellIs" dxfId="159" priority="2" operator="equal">
      <formula>0</formula>
    </cfRule>
  </conditionalFormatting>
  <conditionalFormatting sqref="B6:B11">
    <cfRule type="expression" dxfId="158" priority="3">
      <formula>IF(C6=1,TRUE,FALSE)</formula>
    </cfRule>
  </conditionalFormatting>
  <conditionalFormatting sqref="B6:B11">
    <cfRule type="expression" dxfId="15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6</v>
      </c>
      <c r="B1" s="175" t="s">
        <v>1794</v>
      </c>
      <c r="C1" s="274" t="s">
        <v>1836</v>
      </c>
      <c r="D1" s="69"/>
      <c r="E1" s="69"/>
      <c r="F1" s="177" t="s">
        <v>1712</v>
      </c>
      <c r="G1" s="178">
        <f>$AV$12</f>
        <v>6</v>
      </c>
      <c r="H1" s="179" t="s">
        <v>1796</v>
      </c>
      <c r="I1" s="69"/>
      <c r="J1" s="69"/>
      <c r="K1" s="69"/>
      <c r="L1" s="69"/>
      <c r="M1" s="69"/>
      <c r="N1" s="69"/>
      <c r="O1" s="69"/>
      <c r="P1" s="180" t="s">
        <v>1797</v>
      </c>
      <c r="Q1" s="74"/>
      <c r="R1" s="181">
        <f ca="1">INDIRECT(ADDRESS(4,A1,1,1,"Hřiště"))</f>
        <v>13</v>
      </c>
      <c r="S1" s="181">
        <f ca="1">INDIRECT(ADDRESS(5,A1,1,1,"Hřiště"))</f>
        <v>15</v>
      </c>
      <c r="T1" s="181"/>
      <c r="U1" s="69"/>
      <c r="V1" s="69"/>
      <c r="W1" s="69"/>
      <c r="X1" s="69"/>
      <c r="Y1" s="69"/>
      <c r="Z1" s="177" t="s">
        <v>1798</v>
      </c>
      <c r="AA1" s="178">
        <f>IF(G1=0,0,CHOOSE(G1,0,1,1,2,2,3))</f>
        <v>3</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TOP - ORLOVÁ - Bačo David</v>
      </c>
      <c r="C6" s="208">
        <f t="shared" ref="C6:C11" si="0">IF(CB6=0,"",CB6)</f>
        <v>1</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15</v>
      </c>
      <c r="J6" s="215">
        <f>$G$7</f>
        <v>9</v>
      </c>
      <c r="K6" s="216">
        <f>$F$7</f>
        <v>6</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14</v>
      </c>
      <c r="N6" s="215">
        <f>$G$8</f>
        <v>7</v>
      </c>
      <c r="O6" s="216">
        <f>$F$8</f>
        <v>12</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13</v>
      </c>
      <c r="R6" s="215">
        <f>$G$9</f>
        <v>13</v>
      </c>
      <c r="S6" s="216">
        <f>$F$9</f>
        <v>8</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13</v>
      </c>
      <c r="V6" s="215">
        <f>$G$10</f>
        <v>13</v>
      </c>
      <c r="W6" s="216">
        <f>$F$10</f>
        <v>4</v>
      </c>
      <c r="X6" s="213">
        <f>IF(TYPE(VLOOKUP(VALUE(CONCATENATE(TEXT($G$1,"0"),TEXT($A6,"0"),TEXT(AA$3,"0"))),RozpisKK!$AA$3:$AD$76,3,0))&gt;3,"",VLOOKUP(VALUE(CONCATENATE(TEXT($G$1,"0"),TEXT($A6,"0"),TEXT(AA$3,"0"))),RozpisKK!$AA$3:$AD$76,3,0))</f>
        <v>5</v>
      </c>
      <c r="Y6" s="214">
        <f ca="1">IF(TYPE(VLOOKUP(VALUE(CONCATENATE(TEXT($G$1,"0"),TEXT($A6,"0"),TEXT(AA$3,"0"))),RozpisKK!$AA$3:$AD$76,3,0))&gt;3,"",VLOOKUP(VALUE(CONCATENATE(TEXT($G$1,"0"),TEXT($A6,"0"),TEXT(AA$3,"0"))),RozpisKK!$AA$3:$AD$76,4,0)+$R$1-1)</f>
        <v>15</v>
      </c>
      <c r="Z6" s="215">
        <f>$G$11</f>
        <v>13</v>
      </c>
      <c r="AA6" s="216">
        <f>$F$11</f>
        <v>2</v>
      </c>
      <c r="AB6" s="69"/>
      <c r="AC6" s="69"/>
      <c r="AD6" s="217">
        <f t="shared" ref="AD6:AD11" si="1">IF(OR(F6&gt;0,G6&gt;0,J6&gt;0,K6&gt;0,N6&gt;0,O6&gt;0,R6&gt;0,S6&gt;0,V6&gt;0,W6&gt;0,Z6&gt;0,AA6&gt;0),1,0)</f>
        <v>1</v>
      </c>
      <c r="AE6" s="218">
        <f t="shared" ref="AE6:AE11" si="2">SUM(AX6:BC6)</f>
        <v>4</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23</v>
      </c>
      <c r="AQ6" s="220">
        <f t="shared" ref="AQ6:AQ11" si="12">SUM(BN6:BS6)</f>
        <v>55</v>
      </c>
      <c r="AR6" s="221"/>
      <c r="AS6" s="222" t="str">
        <f t="shared" ref="AS6:AS11" si="13">CONCATENATE(TEXT(AD6,"0"),TEXT(AE6,"0"),TEXT(AG6,"0"),TEXT(AH6,"0"),TEXT(AI6,"0"),TEXT(AJ6,"0"),TEXT(100+AL6,"000"),TEXT(100+AM6,"000"),TEXT(100+AN6,"000"),TEXT(100+AO6,"000"),TEXT(100+AP6,"000"),TEXT(AQ6,"000"))</f>
        <v>140000100100100100123055</v>
      </c>
      <c r="AT6" s="223">
        <f t="shared" ref="AT6:AT11" si="14">CB6</f>
        <v>1</v>
      </c>
      <c r="AU6" s="69"/>
      <c r="AV6" s="217">
        <f t="shared" ref="AV6:AV11" si="15">IF(OR(B6="",B6=" - "),0,1)</f>
        <v>1</v>
      </c>
      <c r="AX6" s="224">
        <f t="shared" ref="AX6:AX11" si="16">IF(F6&gt;G6,1,0)</f>
        <v>0</v>
      </c>
      <c r="AY6" s="224">
        <f t="shared" ref="AY6:AY11" si="17">IF(J6&gt;K6,1,0)</f>
        <v>1</v>
      </c>
      <c r="AZ6" s="224">
        <f t="shared" ref="AZ6:AZ11" si="18">IF(N6&gt;O6,1,0)</f>
        <v>0</v>
      </c>
      <c r="BA6" s="224">
        <f t="shared" ref="BA6:BA11" si="19">IF(R6&gt;S6,1,0)</f>
        <v>1</v>
      </c>
      <c r="BB6" s="224">
        <f t="shared" ref="BB6:BB11" si="20">IF(V6&gt;W6,1,0)</f>
        <v>1</v>
      </c>
      <c r="BC6" s="224">
        <f t="shared" ref="BC6:BC11" si="21">IF(Z6&gt;AA6,1,0)</f>
        <v>1</v>
      </c>
      <c r="BD6" s="224">
        <f t="shared" ref="BD6:BD11" si="22">SUM(AX6:BC6)</f>
        <v>4</v>
      </c>
      <c r="BF6" s="224">
        <f t="shared" ref="BF6:BF11" si="23">F6-G6</f>
        <v>0</v>
      </c>
      <c r="BG6" s="224">
        <f t="shared" ref="BG6:BG11" si="24">J6-K6</f>
        <v>3</v>
      </c>
      <c r="BH6" s="224">
        <f t="shared" ref="BH6:BH11" si="25">N6-O6</f>
        <v>-5</v>
      </c>
      <c r="BI6" s="224">
        <f t="shared" ref="BI6:BI11" si="26">R6-S6</f>
        <v>5</v>
      </c>
      <c r="BJ6" s="224">
        <f t="shared" ref="BJ6:BJ11" si="27">V6-W6</f>
        <v>9</v>
      </c>
      <c r="BK6" s="224">
        <f t="shared" ref="BK6:BK11" si="28">Z6-AA6</f>
        <v>11</v>
      </c>
      <c r="BL6" s="224">
        <f t="shared" ref="BL6:BL11" si="29">SUM(BF6:BK6)</f>
        <v>23</v>
      </c>
      <c r="BN6" s="224">
        <f t="shared" ref="BN6:BN11" si="30">F6</f>
        <v>0</v>
      </c>
      <c r="BO6" s="224">
        <f t="shared" ref="BO6:BO11" si="31">J6</f>
        <v>9</v>
      </c>
      <c r="BP6" s="224">
        <f t="shared" ref="BP6:BP11" si="32">N6</f>
        <v>7</v>
      </c>
      <c r="BQ6" s="224">
        <f t="shared" ref="BQ6:BQ11" si="33">R6</f>
        <v>13</v>
      </c>
      <c r="BR6" s="224">
        <f t="shared" ref="BR6:BR11" si="34">V6</f>
        <v>13</v>
      </c>
      <c r="BS6" s="224">
        <f t="shared" ref="BS6:BS11" si="35">Z6</f>
        <v>13</v>
      </c>
      <c r="BT6" s="224">
        <f t="shared" ref="BT6:BT11" si="36">SUM(BN6:BS6)</f>
        <v>55</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1</v>
      </c>
    </row>
    <row r="7" spans="1:80" ht="36" customHeight="1">
      <c r="A7" s="225">
        <v>2</v>
      </c>
      <c r="B7" s="226" t="str">
        <f>IF(TYPE(VLOOKUP(CONCATENATE($C$1,A7),Skupiny!$A$3:$B$194,2,0))&gt;3," - ",VLOOKUP(CONCATENATE($C$1,A7),Skupiny!$A$3:$B$194,2,0))</f>
        <v>SKP Hranice VI-Valšovice - Jakeš Zbyněk</v>
      </c>
      <c r="C7" s="227">
        <f t="shared" si="0"/>
        <v>2</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15</v>
      </c>
      <c r="F7" s="230">
        <v>6</v>
      </c>
      <c r="G7" s="231">
        <v>9</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15</v>
      </c>
      <c r="N7" s="238">
        <f>$K$8</f>
        <v>10</v>
      </c>
      <c r="O7" s="216">
        <f>$J$8</f>
        <v>9</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14</v>
      </c>
      <c r="R7" s="238">
        <f>$K$9</f>
        <v>4</v>
      </c>
      <c r="S7" s="216">
        <f>$J$9</f>
        <v>13</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14</v>
      </c>
      <c r="V7" s="238">
        <f>$K$10</f>
        <v>13</v>
      </c>
      <c r="W7" s="216">
        <f>$J$10</f>
        <v>4</v>
      </c>
      <c r="X7" s="236">
        <f>IF(TYPE(VLOOKUP(VALUE(CONCATENATE(TEXT($G$1,"0"),TEXT($A7,"0"),TEXT(AA$3,"0"))),RozpisKK!$AA$3:$AD$76,3,0))&gt;3,"",VLOOKUP(VALUE(CONCATENATE(TEXT($G$1,"0"),TEXT($A7,"0"),TEXT(AA$3,"0"))),RozpisKK!$AA$3:$AD$76,3,0))</f>
        <v>3</v>
      </c>
      <c r="Y7" s="237">
        <f ca="1">IF(TYPE(VLOOKUP(VALUE(CONCATENATE(TEXT($G$1,"0"),TEXT($A7,"0"),TEXT(AA$3,"0"))),RozpisKK!$AA$3:$AD$76,3,0))&gt;3,"",VLOOKUP(VALUE(CONCATENATE(TEXT($G$1,"0"),TEXT($A7,"0"),TEXT(AA$3,"0"))),RozpisKK!$AA$3:$AD$76,4,0)+$R$1-1)</f>
        <v>13</v>
      </c>
      <c r="Z7" s="238">
        <f>$K$11</f>
        <v>13</v>
      </c>
      <c r="AA7" s="216">
        <f>$J$11</f>
        <v>10</v>
      </c>
      <c r="AB7" s="69"/>
      <c r="AC7" s="69"/>
      <c r="AD7" s="217">
        <f t="shared" si="1"/>
        <v>1</v>
      </c>
      <c r="AE7" s="239">
        <f t="shared" si="2"/>
        <v>3</v>
      </c>
      <c r="AF7" s="240"/>
      <c r="AG7" s="240">
        <f t="shared" si="3"/>
        <v>0</v>
      </c>
      <c r="AH7" s="240">
        <f t="shared" si="4"/>
        <v>1</v>
      </c>
      <c r="AI7" s="240">
        <f t="shared" si="5"/>
        <v>0</v>
      </c>
      <c r="AJ7" s="240">
        <f t="shared" si="6"/>
        <v>0</v>
      </c>
      <c r="AK7" s="240"/>
      <c r="AL7" s="219">
        <f t="shared" si="7"/>
        <v>0</v>
      </c>
      <c r="AM7" s="219">
        <f t="shared" si="8"/>
        <v>1</v>
      </c>
      <c r="AN7" s="219">
        <f t="shared" si="9"/>
        <v>0</v>
      </c>
      <c r="AO7" s="219">
        <f t="shared" si="10"/>
        <v>0</v>
      </c>
      <c r="AP7" s="220">
        <f t="shared" si="11"/>
        <v>1</v>
      </c>
      <c r="AQ7" s="220">
        <f t="shared" si="12"/>
        <v>46</v>
      </c>
      <c r="AR7" s="241"/>
      <c r="AS7" s="242" t="str">
        <f t="shared" si="13"/>
        <v>130100100101100100101046</v>
      </c>
      <c r="AT7" s="243">
        <f t="shared" si="14"/>
        <v>2</v>
      </c>
      <c r="AU7" s="69"/>
      <c r="AV7" s="217">
        <f t="shared" si="15"/>
        <v>1</v>
      </c>
      <c r="AX7" s="224">
        <f t="shared" si="16"/>
        <v>0</v>
      </c>
      <c r="AY7" s="224">
        <f t="shared" si="17"/>
        <v>0</v>
      </c>
      <c r="AZ7" s="224">
        <f t="shared" si="18"/>
        <v>1</v>
      </c>
      <c r="BA7" s="224">
        <f t="shared" si="19"/>
        <v>0</v>
      </c>
      <c r="BB7" s="224">
        <f t="shared" si="20"/>
        <v>1</v>
      </c>
      <c r="BC7" s="224">
        <f t="shared" si="21"/>
        <v>1</v>
      </c>
      <c r="BD7" s="224">
        <f t="shared" si="22"/>
        <v>3</v>
      </c>
      <c r="BF7" s="224">
        <f t="shared" si="23"/>
        <v>-3</v>
      </c>
      <c r="BG7" s="224">
        <f t="shared" si="24"/>
        <v>0</v>
      </c>
      <c r="BH7" s="224">
        <f t="shared" si="25"/>
        <v>1</v>
      </c>
      <c r="BI7" s="224">
        <f t="shared" si="26"/>
        <v>-9</v>
      </c>
      <c r="BJ7" s="224">
        <f t="shared" si="27"/>
        <v>9</v>
      </c>
      <c r="BK7" s="224">
        <f t="shared" si="28"/>
        <v>3</v>
      </c>
      <c r="BL7" s="224">
        <f t="shared" si="29"/>
        <v>1</v>
      </c>
      <c r="BN7" s="224">
        <f t="shared" si="30"/>
        <v>6</v>
      </c>
      <c r="BO7" s="224">
        <f t="shared" si="31"/>
        <v>0</v>
      </c>
      <c r="BP7" s="224">
        <f t="shared" si="32"/>
        <v>10</v>
      </c>
      <c r="BQ7" s="224">
        <f t="shared" si="33"/>
        <v>4</v>
      </c>
      <c r="BR7" s="224">
        <f t="shared" si="34"/>
        <v>13</v>
      </c>
      <c r="BS7" s="224">
        <f t="shared" si="35"/>
        <v>13</v>
      </c>
      <c r="BT7" s="224">
        <f t="shared" si="36"/>
        <v>46</v>
      </c>
      <c r="BV7" s="224">
        <f t="shared" si="37"/>
        <v>1</v>
      </c>
      <c r="BW7" s="224">
        <f t="shared" si="38"/>
        <v>0</v>
      </c>
      <c r="BX7" s="224">
        <f t="shared" si="39"/>
        <v>0</v>
      </c>
      <c r="BY7" s="224">
        <f t="shared" si="40"/>
        <v>0</v>
      </c>
      <c r="BZ7" s="224">
        <f t="shared" si="41"/>
        <v>0</v>
      </c>
      <c r="CA7" s="224">
        <f t="shared" si="42"/>
        <v>0</v>
      </c>
      <c r="CB7" s="224">
        <f t="shared" si="43"/>
        <v>2</v>
      </c>
    </row>
    <row r="8" spans="1:80" ht="36" customHeight="1">
      <c r="A8" s="225">
        <v>3</v>
      </c>
      <c r="B8" s="226" t="str">
        <f>IF(TYPE(VLOOKUP(CONCATENATE($C$1,A8),Skupiny!$A$3:$B$194,2,0))&gt;3," - ",VLOOKUP(CONCATENATE($C$1,A8),Skupiny!$A$3:$B$194,2,0))</f>
        <v>Carreau Brno - Rendla Jakub</v>
      </c>
      <c r="C8" s="227">
        <f t="shared" si="0"/>
        <v>3</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14</v>
      </c>
      <c r="F8" s="230">
        <v>12</v>
      </c>
      <c r="G8" s="231">
        <v>7</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15</v>
      </c>
      <c r="J8" s="230">
        <v>9</v>
      </c>
      <c r="K8" s="231">
        <v>10</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13</v>
      </c>
      <c r="R8" s="238">
        <f>$O$9</f>
        <v>13</v>
      </c>
      <c r="S8" s="216">
        <f>$N$9</f>
        <v>8</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13</v>
      </c>
      <c r="V8" s="238">
        <f>$O$10</f>
        <v>11</v>
      </c>
      <c r="W8" s="216">
        <f>$N$10</f>
        <v>13</v>
      </c>
      <c r="X8" s="236">
        <f>IF(TYPE(VLOOKUP(VALUE(CONCATENATE(TEXT($G$1,"0"),TEXT($A8,"0"),TEXT(AA$3,"0"))),RozpisKK!$AA$3:$AD$76,3,0))&gt;3,"",VLOOKUP(VALUE(CONCATENATE(TEXT($G$1,"0"),TEXT($A8,"0"),TEXT(AA$3,"0"))),RozpisKK!$AA$3:$AD$76,3,0))</f>
        <v>1</v>
      </c>
      <c r="Y8" s="237">
        <f ca="1">IF(TYPE(VLOOKUP(VALUE(CONCATENATE(TEXT($G$1,"0"),TEXT($A8,"0"),TEXT(AA$3,"0"))),RozpisKK!$AA$3:$AD$76,3,0))&gt;3,"",VLOOKUP(VALUE(CONCATENATE(TEXT($G$1,"0"),TEXT($A8,"0"),TEXT(AA$3,"0"))),RozpisKK!$AA$3:$AD$76,4,0)+$R$1-1)</f>
        <v>15</v>
      </c>
      <c r="Z8" s="238">
        <f>$O$11</f>
        <v>13</v>
      </c>
      <c r="AA8" s="216">
        <f>$N$11</f>
        <v>0</v>
      </c>
      <c r="AB8" s="69"/>
      <c r="AC8" s="69"/>
      <c r="AD8" s="217">
        <f t="shared" si="1"/>
        <v>1</v>
      </c>
      <c r="AE8" s="239">
        <f t="shared" si="2"/>
        <v>3</v>
      </c>
      <c r="AF8" s="240"/>
      <c r="AG8" s="240">
        <f t="shared" si="3"/>
        <v>0</v>
      </c>
      <c r="AH8" s="240">
        <f t="shared" si="4"/>
        <v>0</v>
      </c>
      <c r="AI8" s="240">
        <f t="shared" si="5"/>
        <v>0</v>
      </c>
      <c r="AJ8" s="240">
        <f t="shared" si="6"/>
        <v>0</v>
      </c>
      <c r="AK8" s="240"/>
      <c r="AL8" s="219">
        <f t="shared" si="7"/>
        <v>0</v>
      </c>
      <c r="AM8" s="219">
        <f t="shared" si="8"/>
        <v>-1</v>
      </c>
      <c r="AN8" s="219">
        <f t="shared" si="9"/>
        <v>0</v>
      </c>
      <c r="AO8" s="219">
        <f t="shared" si="10"/>
        <v>0</v>
      </c>
      <c r="AP8" s="220">
        <f t="shared" si="11"/>
        <v>20</v>
      </c>
      <c r="AQ8" s="220">
        <f t="shared" si="12"/>
        <v>58</v>
      </c>
      <c r="AR8" s="241"/>
      <c r="AS8" s="242" t="str">
        <f t="shared" si="13"/>
        <v>130000100099100100120058</v>
      </c>
      <c r="AT8" s="243">
        <f t="shared" si="14"/>
        <v>3</v>
      </c>
      <c r="AU8" s="69"/>
      <c r="AV8" s="217">
        <f t="shared" si="15"/>
        <v>1</v>
      </c>
      <c r="AX8" s="224">
        <f t="shared" si="16"/>
        <v>1</v>
      </c>
      <c r="AY8" s="224">
        <f t="shared" si="17"/>
        <v>0</v>
      </c>
      <c r="AZ8" s="224">
        <f t="shared" si="18"/>
        <v>0</v>
      </c>
      <c r="BA8" s="224">
        <f t="shared" si="19"/>
        <v>1</v>
      </c>
      <c r="BB8" s="224">
        <f t="shared" si="20"/>
        <v>0</v>
      </c>
      <c r="BC8" s="224">
        <f t="shared" si="21"/>
        <v>1</v>
      </c>
      <c r="BD8" s="224">
        <f t="shared" si="22"/>
        <v>3</v>
      </c>
      <c r="BF8" s="224">
        <f t="shared" si="23"/>
        <v>5</v>
      </c>
      <c r="BG8" s="224">
        <f t="shared" si="24"/>
        <v>-1</v>
      </c>
      <c r="BH8" s="224">
        <f t="shared" si="25"/>
        <v>0</v>
      </c>
      <c r="BI8" s="224">
        <f t="shared" si="26"/>
        <v>5</v>
      </c>
      <c r="BJ8" s="224">
        <f t="shared" si="27"/>
        <v>-2</v>
      </c>
      <c r="BK8" s="224">
        <f t="shared" si="28"/>
        <v>13</v>
      </c>
      <c r="BL8" s="224">
        <f t="shared" si="29"/>
        <v>20</v>
      </c>
      <c r="BN8" s="224">
        <f t="shared" si="30"/>
        <v>12</v>
      </c>
      <c r="BO8" s="224">
        <f t="shared" si="31"/>
        <v>9</v>
      </c>
      <c r="BP8" s="224">
        <f t="shared" si="32"/>
        <v>0</v>
      </c>
      <c r="BQ8" s="224">
        <f t="shared" si="33"/>
        <v>13</v>
      </c>
      <c r="BR8" s="224">
        <f t="shared" si="34"/>
        <v>11</v>
      </c>
      <c r="BS8" s="224">
        <f t="shared" si="35"/>
        <v>13</v>
      </c>
      <c r="BT8" s="224">
        <f t="shared" si="36"/>
        <v>58</v>
      </c>
      <c r="BV8" s="224">
        <f t="shared" si="37"/>
        <v>1</v>
      </c>
      <c r="BW8" s="224">
        <f t="shared" si="38"/>
        <v>1</v>
      </c>
      <c r="BX8" s="224">
        <f t="shared" si="39"/>
        <v>0</v>
      </c>
      <c r="BY8" s="224">
        <f t="shared" si="40"/>
        <v>0</v>
      </c>
      <c r="BZ8" s="224">
        <f t="shared" si="41"/>
        <v>0</v>
      </c>
      <c r="CA8" s="224">
        <f t="shared" si="42"/>
        <v>0</v>
      </c>
      <c r="CB8" s="224">
        <f t="shared" si="43"/>
        <v>3</v>
      </c>
    </row>
    <row r="9" spans="1:80" ht="36" customHeight="1">
      <c r="A9" s="225">
        <v>4</v>
      </c>
      <c r="B9" s="226" t="str">
        <f>IF(TYPE(VLOOKUP(CONCATENATE($C$1,A9),Skupiny!$A$3:$B$194,2,0))&gt;3," - ",VLOOKUP(CONCATENATE($C$1,A9),Skupiny!$A$3:$B$194,2,0))</f>
        <v>FENYX Adamov - Mrlina Karel</v>
      </c>
      <c r="C9" s="227">
        <f t="shared" si="0"/>
        <v>5</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13</v>
      </c>
      <c r="F9" s="230">
        <v>8</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14</v>
      </c>
      <c r="J9" s="230">
        <v>13</v>
      </c>
      <c r="K9" s="231">
        <v>4</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13</v>
      </c>
      <c r="N9" s="230">
        <v>8</v>
      </c>
      <c r="O9" s="231">
        <v>13</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15</v>
      </c>
      <c r="V9" s="238">
        <f>$S$10</f>
        <v>13</v>
      </c>
      <c r="W9" s="216">
        <f>$R$10</f>
        <v>8</v>
      </c>
      <c r="X9" s="236">
        <f>IF(TYPE(VLOOKUP(VALUE(CONCATENATE(TEXT($G$1,"0"),TEXT($A9,"0"),TEXT(AA$3,"0"))),RozpisKK!$AA$3:$AD$76,3,0))&gt;3,"",VLOOKUP(VALUE(CONCATENATE(TEXT($G$1,"0"),TEXT($A9,"0"),TEXT(AA$3,"0"))),RozpisKK!$AA$3:$AD$76,3,0))</f>
        <v>4</v>
      </c>
      <c r="Y9" s="237">
        <f ca="1">IF(TYPE(VLOOKUP(VALUE(CONCATENATE(TEXT($G$1,"0"),TEXT($A9,"0"),TEXT(AA$3,"0"))),RozpisKK!$AA$3:$AD$76,3,0))&gt;3,"",VLOOKUP(VALUE(CONCATENATE(TEXT($G$1,"0"),TEXT($A9,"0"),TEXT(AA$3,"0"))),RozpisKK!$AA$3:$AD$76,4,0)+$R$1-1)</f>
        <v>14</v>
      </c>
      <c r="Z9" s="238">
        <f>$S$11</f>
        <v>6</v>
      </c>
      <c r="AA9" s="216">
        <f>$R$11</f>
        <v>11</v>
      </c>
      <c r="AB9" s="69"/>
      <c r="AC9" s="69"/>
      <c r="AD9" s="217">
        <f t="shared" si="1"/>
        <v>1</v>
      </c>
      <c r="AE9" s="239">
        <f t="shared" si="2"/>
        <v>2</v>
      </c>
      <c r="AF9" s="240"/>
      <c r="AG9" s="240">
        <f t="shared" si="3"/>
        <v>0</v>
      </c>
      <c r="AH9" s="240">
        <f t="shared" si="4"/>
        <v>0</v>
      </c>
      <c r="AI9" s="240">
        <f t="shared" si="5"/>
        <v>0</v>
      </c>
      <c r="AJ9" s="240">
        <f t="shared" si="6"/>
        <v>0</v>
      </c>
      <c r="AK9" s="240"/>
      <c r="AL9" s="219">
        <f t="shared" si="7"/>
        <v>0</v>
      </c>
      <c r="AM9" s="219">
        <f t="shared" si="8"/>
        <v>0</v>
      </c>
      <c r="AN9" s="219">
        <f t="shared" si="9"/>
        <v>-5</v>
      </c>
      <c r="AO9" s="219">
        <f t="shared" si="10"/>
        <v>0</v>
      </c>
      <c r="AP9" s="220">
        <f t="shared" si="11"/>
        <v>-1</v>
      </c>
      <c r="AQ9" s="220">
        <f t="shared" si="12"/>
        <v>48</v>
      </c>
      <c r="AR9" s="241"/>
      <c r="AS9" s="242" t="str">
        <f t="shared" si="13"/>
        <v>120000100100095100099048</v>
      </c>
      <c r="AT9" s="243">
        <f t="shared" si="14"/>
        <v>5</v>
      </c>
      <c r="AU9" s="69"/>
      <c r="AV9" s="217">
        <f t="shared" si="15"/>
        <v>1</v>
      </c>
      <c r="AX9" s="224">
        <f t="shared" si="16"/>
        <v>0</v>
      </c>
      <c r="AY9" s="224">
        <f t="shared" si="17"/>
        <v>1</v>
      </c>
      <c r="AZ9" s="224">
        <f t="shared" si="18"/>
        <v>0</v>
      </c>
      <c r="BA9" s="224">
        <f t="shared" si="19"/>
        <v>0</v>
      </c>
      <c r="BB9" s="224">
        <f t="shared" si="20"/>
        <v>1</v>
      </c>
      <c r="BC9" s="224">
        <f t="shared" si="21"/>
        <v>0</v>
      </c>
      <c r="BD9" s="224">
        <f t="shared" si="22"/>
        <v>2</v>
      </c>
      <c r="BF9" s="224">
        <f t="shared" si="23"/>
        <v>-5</v>
      </c>
      <c r="BG9" s="224">
        <f t="shared" si="24"/>
        <v>9</v>
      </c>
      <c r="BH9" s="224">
        <f t="shared" si="25"/>
        <v>-5</v>
      </c>
      <c r="BI9" s="224">
        <f t="shared" si="26"/>
        <v>0</v>
      </c>
      <c r="BJ9" s="224">
        <f t="shared" si="27"/>
        <v>5</v>
      </c>
      <c r="BK9" s="224">
        <f t="shared" si="28"/>
        <v>-5</v>
      </c>
      <c r="BL9" s="224">
        <f t="shared" si="29"/>
        <v>-1</v>
      </c>
      <c r="BN9" s="224">
        <f t="shared" si="30"/>
        <v>8</v>
      </c>
      <c r="BO9" s="224">
        <f t="shared" si="31"/>
        <v>13</v>
      </c>
      <c r="BP9" s="224">
        <f t="shared" si="32"/>
        <v>8</v>
      </c>
      <c r="BQ9" s="224">
        <f t="shared" si="33"/>
        <v>0</v>
      </c>
      <c r="BR9" s="224">
        <f t="shared" si="34"/>
        <v>13</v>
      </c>
      <c r="BS9" s="224">
        <f t="shared" si="35"/>
        <v>6</v>
      </c>
      <c r="BT9" s="224">
        <f t="shared" si="36"/>
        <v>48</v>
      </c>
      <c r="BV9" s="224">
        <f t="shared" si="37"/>
        <v>1</v>
      </c>
      <c r="BW9" s="224">
        <f t="shared" si="38"/>
        <v>1</v>
      </c>
      <c r="BX9" s="224">
        <f t="shared" si="39"/>
        <v>1</v>
      </c>
      <c r="BY9" s="224">
        <f t="shared" si="40"/>
        <v>0</v>
      </c>
      <c r="BZ9" s="224">
        <f t="shared" si="41"/>
        <v>0</v>
      </c>
      <c r="CA9" s="224">
        <f t="shared" si="42"/>
        <v>1</v>
      </c>
      <c r="CB9" s="224">
        <f t="shared" si="43"/>
        <v>5</v>
      </c>
    </row>
    <row r="10" spans="1:80" ht="36" customHeight="1">
      <c r="A10" s="225">
        <v>5</v>
      </c>
      <c r="B10" s="226" t="str">
        <f>IF(TYPE(VLOOKUP(CONCATENATE($C$1,A10),Skupiny!$A$3:$B$194,2,0))&gt;3," - ",VLOOKUP(CONCATENATE($C$1,A10),Skupiny!$A$3:$B$194,2,0))</f>
        <v>Carreau Brno - Šrubařová Hana</v>
      </c>
      <c r="C10" s="227">
        <f t="shared" si="0"/>
        <v>6</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13</v>
      </c>
      <c r="F10" s="230">
        <v>4</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14</v>
      </c>
      <c r="J10" s="230">
        <v>4</v>
      </c>
      <c r="K10" s="231">
        <v>13</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13</v>
      </c>
      <c r="N10" s="230">
        <v>13</v>
      </c>
      <c r="O10" s="231">
        <v>11</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15</v>
      </c>
      <c r="R10" s="230">
        <v>8</v>
      </c>
      <c r="S10" s="231">
        <v>13</v>
      </c>
      <c r="T10" s="232"/>
      <c r="U10" s="233"/>
      <c r="V10" s="234"/>
      <c r="W10" s="235"/>
      <c r="X10" s="236">
        <f>IF(TYPE(VLOOKUP(VALUE(CONCATENATE(TEXT($G$1,"0"),TEXT($A10,"0"),TEXT(AA$3,"0"))),RozpisKK!$AA$3:$AD$76,3,0))&gt;3,"",VLOOKUP(VALUE(CONCATENATE(TEXT($G$1,"0"),TEXT($A10,"0"),TEXT(AA$3,"0"))),RozpisKK!$AA$3:$AD$76,3,0))</f>
        <v>2</v>
      </c>
      <c r="Y10" s="237">
        <f ca="1">IF(TYPE(VLOOKUP(VALUE(CONCATENATE(TEXT($G$1,"0"),TEXT($A10,"0"),TEXT(AA$3,"0"))),RozpisKK!$AA$3:$AD$76,3,0))&gt;3,"",VLOOKUP(VALUE(CONCATENATE(TEXT($G$1,"0"),TEXT($A10,"0"),TEXT(AA$3,"0"))),RozpisKK!$AA$3:$AD$76,4,0)+$R$1-1)</f>
        <v>14</v>
      </c>
      <c r="Z10" s="238">
        <f>$W$11</f>
        <v>5</v>
      </c>
      <c r="AA10" s="216">
        <f>$V$11</f>
        <v>13</v>
      </c>
      <c r="AB10" s="69"/>
      <c r="AC10" s="69"/>
      <c r="AD10" s="217">
        <f t="shared" si="1"/>
        <v>1</v>
      </c>
      <c r="AE10" s="239">
        <f t="shared" si="2"/>
        <v>1</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-29</v>
      </c>
      <c r="AQ10" s="220">
        <f t="shared" si="12"/>
        <v>34</v>
      </c>
      <c r="AR10" s="241"/>
      <c r="AS10" s="242" t="str">
        <f t="shared" si="13"/>
        <v>110000100100100100071034</v>
      </c>
      <c r="AT10" s="243">
        <f t="shared" si="14"/>
        <v>6</v>
      </c>
      <c r="AU10" s="69"/>
      <c r="AV10" s="217">
        <f t="shared" si="15"/>
        <v>1</v>
      </c>
      <c r="AX10" s="224">
        <f t="shared" si="16"/>
        <v>0</v>
      </c>
      <c r="AY10" s="224">
        <f t="shared" si="17"/>
        <v>0</v>
      </c>
      <c r="AZ10" s="224">
        <f t="shared" si="18"/>
        <v>1</v>
      </c>
      <c r="BA10" s="224">
        <f t="shared" si="19"/>
        <v>0</v>
      </c>
      <c r="BB10" s="224">
        <f t="shared" si="20"/>
        <v>0</v>
      </c>
      <c r="BC10" s="224">
        <f t="shared" si="21"/>
        <v>0</v>
      </c>
      <c r="BD10" s="224">
        <f t="shared" si="22"/>
        <v>1</v>
      </c>
      <c r="BF10" s="224">
        <f t="shared" si="23"/>
        <v>-9</v>
      </c>
      <c r="BG10" s="224">
        <f t="shared" si="24"/>
        <v>-9</v>
      </c>
      <c r="BH10" s="224">
        <f t="shared" si="25"/>
        <v>2</v>
      </c>
      <c r="BI10" s="224">
        <f t="shared" si="26"/>
        <v>-5</v>
      </c>
      <c r="BJ10" s="224">
        <f t="shared" si="27"/>
        <v>0</v>
      </c>
      <c r="BK10" s="224">
        <f t="shared" si="28"/>
        <v>-8</v>
      </c>
      <c r="BL10" s="224">
        <f t="shared" si="29"/>
        <v>-29</v>
      </c>
      <c r="BN10" s="224">
        <f t="shared" si="30"/>
        <v>4</v>
      </c>
      <c r="BO10" s="224">
        <f t="shared" si="31"/>
        <v>4</v>
      </c>
      <c r="BP10" s="224">
        <f t="shared" si="32"/>
        <v>13</v>
      </c>
      <c r="BQ10" s="224">
        <f t="shared" si="33"/>
        <v>8</v>
      </c>
      <c r="BR10" s="224">
        <f t="shared" si="34"/>
        <v>0</v>
      </c>
      <c r="BS10" s="224">
        <f t="shared" si="35"/>
        <v>5</v>
      </c>
      <c r="BT10" s="224">
        <f t="shared" si="36"/>
        <v>34</v>
      </c>
      <c r="BV10" s="224">
        <f t="shared" si="37"/>
        <v>1</v>
      </c>
      <c r="BW10" s="224">
        <f t="shared" si="38"/>
        <v>1</v>
      </c>
      <c r="BX10" s="224">
        <f t="shared" si="39"/>
        <v>1</v>
      </c>
      <c r="BY10" s="224">
        <f t="shared" si="40"/>
        <v>1</v>
      </c>
      <c r="BZ10" s="224">
        <f t="shared" si="41"/>
        <v>0</v>
      </c>
      <c r="CA10" s="224">
        <f t="shared" si="42"/>
        <v>1</v>
      </c>
      <c r="CB10" s="224">
        <f t="shared" si="43"/>
        <v>6</v>
      </c>
    </row>
    <row r="11" spans="1:80" ht="38.25" customHeight="1">
      <c r="A11" s="225">
        <v>6</v>
      </c>
      <c r="B11" s="244" t="str">
        <f>IF(TYPE(VLOOKUP(CONCATENATE($C$1,A11),Skupiny!$A$3:$B$194,2,0))&gt;3," - ",VLOOKUP(CONCATENATE($C$1,A11),Skupiny!$A$3:$B$194,2,0))</f>
        <v>HAVAJ CB - Korešová Alena</v>
      </c>
      <c r="C11" s="245">
        <f t="shared" si="0"/>
        <v>4</v>
      </c>
      <c r="D11" s="246">
        <f>IF(TYPE(VLOOKUP(VALUE(CONCATENATE(TEXT($G$1,"0"),TEXT($A11,"0"),TEXT(G$3,"0"))),RozpisKK!$AA$3:$AD$76,3,0))&gt;3,"",VLOOKUP(VALUE(CONCATENATE(TEXT($G$1,"0"),TEXT($A11,"0"),TEXT(G$3,"0"))),RozpisKK!$AA$3:$AD$76,3,0))</f>
        <v>5</v>
      </c>
      <c r="E11" s="247">
        <f ca="1">IF(TYPE(VLOOKUP(VALUE(CONCATENATE(TEXT($G$1,"0"),TEXT($A11,"0"),TEXT(G$3,"0"))),RozpisKK!$AA$3:$AD$76,3,0))&gt;3,"",VLOOKUP(VALUE(CONCATENATE(TEXT($G$1,"0"),TEXT($A11,"0"),TEXT(G$3,"0"))),RozpisKK!$AA$3:$AD$76,4,0)+$R$1-1)</f>
        <v>15</v>
      </c>
      <c r="F11" s="248">
        <v>2</v>
      </c>
      <c r="G11" s="249">
        <v>13</v>
      </c>
      <c r="H11" s="246">
        <f>IF(TYPE(VLOOKUP(VALUE(CONCATENATE(TEXT($G$1,"0"),TEXT($A11,"0"),TEXT(K$3,"0"))),RozpisKK!$AA$3:$AD$76,3,0))&gt;3,"",VLOOKUP(VALUE(CONCATENATE(TEXT($G$1,"0"),TEXT($A11,"0"),TEXT(K$3,"0"))),RozpisKK!$AA$3:$AD$76,3,0))</f>
        <v>3</v>
      </c>
      <c r="I11" s="247">
        <f ca="1">IF(TYPE(VLOOKUP(VALUE(CONCATENATE(TEXT($G$1,"0"),TEXT($A11,"0"),TEXT(K$3,"0"))),RozpisKK!$AA$3:$AD$76,3,0))&gt;3,"",VLOOKUP(VALUE(CONCATENATE(TEXT($G$1,"0"),TEXT($A11,"0"),TEXT(K$3,"0"))),RozpisKK!$AA$3:$AD$76,4,0)+$R$1-1)</f>
        <v>13</v>
      </c>
      <c r="J11" s="248">
        <v>10</v>
      </c>
      <c r="K11" s="249">
        <v>13</v>
      </c>
      <c r="L11" s="246">
        <f>IF(TYPE(VLOOKUP(VALUE(CONCATENATE(TEXT($G$1,"0"),TEXT($A11,"0"),TEXT(O$3,"0"))),RozpisKK!$AA$3:$AD$76,3,0))&gt;3,"",VLOOKUP(VALUE(CONCATENATE(TEXT($G$1,"0"),TEXT($A11,"0"),TEXT(O$3,"0"))),RozpisKK!$AA$3:$AD$76,3,0))</f>
        <v>1</v>
      </c>
      <c r="M11" s="247">
        <f ca="1">IF(TYPE(VLOOKUP(VALUE(CONCATENATE(TEXT($G$1,"0"),TEXT($A11,"0"),TEXT(O$3,"0"))),RozpisKK!$AA$3:$AD$76,3,0))&gt;3,"",VLOOKUP(VALUE(CONCATENATE(TEXT($G$1,"0"),TEXT($A11,"0"),TEXT(O$3,"0"))),RozpisKK!$AA$3:$AD$76,4,0)+$R$1-1)</f>
        <v>15</v>
      </c>
      <c r="N11" s="248">
        <v>0</v>
      </c>
      <c r="O11" s="249">
        <v>13</v>
      </c>
      <c r="P11" s="246">
        <f>IF(TYPE(VLOOKUP(VALUE(CONCATENATE(TEXT($G$1,"0"),TEXT($A11,"0"),TEXT(S$3,"0"))),RozpisKK!$AA$3:$AD$76,3,0))&gt;3,"",VLOOKUP(VALUE(CONCATENATE(TEXT($G$1,"0"),TEXT($A11,"0"),TEXT(S$3,"0"))),RozpisKK!$AA$3:$AD$76,3,0))</f>
        <v>4</v>
      </c>
      <c r="Q11" s="247">
        <f ca="1">IF(TYPE(VLOOKUP(VALUE(CONCATENATE(TEXT($G$1,"0"),TEXT($A11,"0"),TEXT(S$3,"0"))),RozpisKK!$AA$3:$AD$76,3,0))&gt;3,"",VLOOKUP(VALUE(CONCATENATE(TEXT($G$1,"0"),TEXT($A11,"0"),TEXT(S$3,"0"))),RozpisKK!$AA$3:$AD$76,4,0)+$R$1-1)</f>
        <v>14</v>
      </c>
      <c r="R11" s="248">
        <v>11</v>
      </c>
      <c r="S11" s="249">
        <v>6</v>
      </c>
      <c r="T11" s="246">
        <f>IF(TYPE(VLOOKUP(VALUE(CONCATENATE(TEXT($G$1,"0"),TEXT($A11,"0"),TEXT(W$3,"0"))),RozpisKK!$AA$3:$AD$76,3,0))&gt;3,"",VLOOKUP(VALUE(CONCATENATE(TEXT($G$1,"0"),TEXT($A11,"0"),TEXT(W$3,"0"))),RozpisKK!$AA$3:$AD$76,3,0))</f>
        <v>2</v>
      </c>
      <c r="U11" s="247">
        <f ca="1">IF(TYPE(VLOOKUP(VALUE(CONCATENATE(TEXT($G$1,"0"),TEXT($A11,"0"),TEXT(W$3,"0"))),RozpisKK!$AA$3:$AD$76,3,0))&gt;3,"",VLOOKUP(VALUE(CONCATENATE(TEXT($G$1,"0"),TEXT($A11,"0"),TEXT(W$3,"0"))),RozpisKK!$AA$3:$AD$76,4,0)+$R$1-1)</f>
        <v>14</v>
      </c>
      <c r="V11" s="248">
        <v>13</v>
      </c>
      <c r="W11" s="249">
        <v>5</v>
      </c>
      <c r="X11" s="232"/>
      <c r="Y11" s="233"/>
      <c r="Z11" s="234"/>
      <c r="AA11" s="235"/>
      <c r="AB11" s="69"/>
      <c r="AC11" s="69"/>
      <c r="AD11" s="217">
        <f t="shared" si="1"/>
        <v>1</v>
      </c>
      <c r="AE11" s="250">
        <f t="shared" si="2"/>
        <v>2</v>
      </c>
      <c r="AF11" s="251"/>
      <c r="AG11" s="251">
        <f t="shared" si="3"/>
        <v>0</v>
      </c>
      <c r="AH11" s="251">
        <f t="shared" si="4"/>
        <v>0</v>
      </c>
      <c r="AI11" s="251">
        <f t="shared" si="5"/>
        <v>1</v>
      </c>
      <c r="AJ11" s="251">
        <f t="shared" si="6"/>
        <v>0</v>
      </c>
      <c r="AK11" s="251"/>
      <c r="AL11" s="251">
        <f t="shared" si="7"/>
        <v>0</v>
      </c>
      <c r="AM11" s="251">
        <f t="shared" si="8"/>
        <v>0</v>
      </c>
      <c r="AN11" s="251">
        <f t="shared" si="9"/>
        <v>5</v>
      </c>
      <c r="AO11" s="251">
        <f t="shared" si="10"/>
        <v>0</v>
      </c>
      <c r="AP11" s="247">
        <f t="shared" si="11"/>
        <v>-14</v>
      </c>
      <c r="AQ11" s="247">
        <f t="shared" si="12"/>
        <v>36</v>
      </c>
      <c r="AR11" s="252"/>
      <c r="AS11" s="253" t="str">
        <f t="shared" si="13"/>
        <v>120010100100105100086036</v>
      </c>
      <c r="AT11" s="254">
        <f t="shared" si="14"/>
        <v>4</v>
      </c>
      <c r="AU11" s="69"/>
      <c r="AV11" s="217">
        <f t="shared" si="15"/>
        <v>1</v>
      </c>
      <c r="AX11" s="224">
        <f t="shared" si="16"/>
        <v>0</v>
      </c>
      <c r="AY11" s="224">
        <f t="shared" si="17"/>
        <v>0</v>
      </c>
      <c r="AZ11" s="224">
        <f t="shared" si="18"/>
        <v>0</v>
      </c>
      <c r="BA11" s="224">
        <f t="shared" si="19"/>
        <v>1</v>
      </c>
      <c r="BB11" s="224">
        <f t="shared" si="20"/>
        <v>1</v>
      </c>
      <c r="BC11" s="224">
        <f t="shared" si="21"/>
        <v>0</v>
      </c>
      <c r="BD11" s="224">
        <f t="shared" si="22"/>
        <v>2</v>
      </c>
      <c r="BF11" s="224">
        <f t="shared" si="23"/>
        <v>-11</v>
      </c>
      <c r="BG11" s="224">
        <f t="shared" si="24"/>
        <v>-3</v>
      </c>
      <c r="BH11" s="224">
        <f t="shared" si="25"/>
        <v>-13</v>
      </c>
      <c r="BI11" s="224">
        <f t="shared" si="26"/>
        <v>5</v>
      </c>
      <c r="BJ11" s="224">
        <f t="shared" si="27"/>
        <v>8</v>
      </c>
      <c r="BK11" s="224">
        <f t="shared" si="28"/>
        <v>0</v>
      </c>
      <c r="BL11" s="224">
        <f t="shared" si="29"/>
        <v>-14</v>
      </c>
      <c r="BN11" s="224">
        <f t="shared" si="30"/>
        <v>2</v>
      </c>
      <c r="BO11" s="224">
        <f t="shared" si="31"/>
        <v>10</v>
      </c>
      <c r="BP11" s="224">
        <f t="shared" si="32"/>
        <v>0</v>
      </c>
      <c r="BQ11" s="224">
        <f t="shared" si="33"/>
        <v>11</v>
      </c>
      <c r="BR11" s="224">
        <f t="shared" si="34"/>
        <v>13</v>
      </c>
      <c r="BS11" s="224">
        <f t="shared" si="35"/>
        <v>0</v>
      </c>
      <c r="BT11" s="224">
        <f t="shared" si="36"/>
        <v>36</v>
      </c>
      <c r="BV11" s="224">
        <f t="shared" si="37"/>
        <v>1</v>
      </c>
      <c r="BW11" s="224">
        <f t="shared" si="38"/>
        <v>1</v>
      </c>
      <c r="BX11" s="224">
        <f t="shared" si="39"/>
        <v>1</v>
      </c>
      <c r="BY11" s="224">
        <f t="shared" si="40"/>
        <v>0</v>
      </c>
      <c r="BZ11" s="224">
        <f t="shared" si="41"/>
        <v>0</v>
      </c>
      <c r="CA11" s="224">
        <f t="shared" si="42"/>
        <v>0</v>
      </c>
      <c r="CB11" s="224">
        <f t="shared" si="43"/>
        <v>4</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6</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TOP - ORLOVÁ - Bačo David</v>
      </c>
      <c r="C14" s="261" t="str">
        <f t="shared" ref="C14:C17" si="45">CONCATENATE($C$1,A6)</f>
        <v>F1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SKP Hranice VI-Valšovice - Jakeš Zbyněk</v>
      </c>
      <c r="C15" s="261" t="str">
        <f t="shared" si="45"/>
        <v>F2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Carreau Brno - Rendla Jakub</v>
      </c>
      <c r="C16" s="261" t="str">
        <f t="shared" si="45"/>
        <v>F3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HAVAJ CB - Korešová Alena</v>
      </c>
      <c r="C17" s="261" t="str">
        <f t="shared" si="45"/>
        <v>F4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1</v>
      </c>
      <c r="G21" s="69">
        <f>AD22</f>
        <v>1</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1</v>
      </c>
      <c r="AE22" s="6">
        <f t="shared" ref="AE22:AE27" si="60">$AE6</f>
        <v>4</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3</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3</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2</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1</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2</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1</v>
      </c>
      <c r="K30" s="69">
        <f>AD32</f>
        <v>1</v>
      </c>
      <c r="L30" s="69"/>
      <c r="M30" s="69"/>
      <c r="N30" s="69">
        <f>AD33</f>
        <v>1</v>
      </c>
      <c r="O30" s="69">
        <f>AD33</f>
        <v>1</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4</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10</v>
      </c>
      <c r="O32" s="6">
        <f t="shared" si="81"/>
        <v>9</v>
      </c>
      <c r="R32" s="6">
        <f t="shared" si="82"/>
        <v>0</v>
      </c>
      <c r="S32" s="6">
        <f t="shared" si="83"/>
        <v>0</v>
      </c>
      <c r="V32" s="6">
        <f t="shared" si="84"/>
        <v>0</v>
      </c>
      <c r="W32" s="6">
        <f t="shared" si="85"/>
        <v>0</v>
      </c>
      <c r="Z32" s="6">
        <f t="shared" si="86"/>
        <v>0</v>
      </c>
      <c r="AA32" s="6">
        <f t="shared" si="87"/>
        <v>0</v>
      </c>
      <c r="AD32" s="6">
        <f t="shared" si="88"/>
        <v>1</v>
      </c>
      <c r="AE32" s="6">
        <f t="shared" si="89"/>
        <v>3</v>
      </c>
      <c r="AX32" s="6">
        <f t="shared" si="90"/>
        <v>0</v>
      </c>
      <c r="AY32" s="6">
        <f t="shared" si="91"/>
        <v>0</v>
      </c>
      <c r="AZ32" s="6">
        <f t="shared" si="92"/>
        <v>1</v>
      </c>
      <c r="BA32" s="6">
        <f t="shared" si="93"/>
        <v>0</v>
      </c>
      <c r="BB32" s="6">
        <f t="shared" si="94"/>
        <v>0</v>
      </c>
      <c r="BC32" s="6">
        <f t="shared" si="95"/>
        <v>0</v>
      </c>
      <c r="BD32" s="6">
        <f t="shared" si="96"/>
        <v>1</v>
      </c>
      <c r="BF32" s="6">
        <f t="shared" si="97"/>
        <v>0</v>
      </c>
      <c r="BG32" s="6">
        <f t="shared" si="98"/>
        <v>0</v>
      </c>
      <c r="BH32" s="6">
        <f t="shared" si="99"/>
        <v>1</v>
      </c>
      <c r="BI32" s="6">
        <f t="shared" si="100"/>
        <v>0</v>
      </c>
      <c r="BJ32" s="6">
        <f t="shared" si="101"/>
        <v>0</v>
      </c>
      <c r="BK32" s="6">
        <f t="shared" si="102"/>
        <v>0</v>
      </c>
      <c r="BL32" s="6">
        <f t="shared" si="103"/>
        <v>1</v>
      </c>
    </row>
    <row r="33" spans="1:64" ht="12" hidden="1" customHeight="1">
      <c r="A33" s="6">
        <f t="shared" si="75"/>
        <v>3</v>
      </c>
      <c r="F33" s="6">
        <f t="shared" si="76"/>
        <v>0</v>
      </c>
      <c r="G33" s="6">
        <f t="shared" si="77"/>
        <v>0</v>
      </c>
      <c r="J33" s="6">
        <f t="shared" si="78"/>
        <v>9</v>
      </c>
      <c r="K33" s="6">
        <f t="shared" si="79"/>
        <v>10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1</v>
      </c>
      <c r="AE33" s="6">
        <f t="shared" si="89"/>
        <v>3</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-1</v>
      </c>
      <c r="BH33" s="6">
        <f t="shared" si="99"/>
        <v>0</v>
      </c>
      <c r="BI33" s="6">
        <f t="shared" si="100"/>
        <v>0</v>
      </c>
      <c r="BJ33" s="6">
        <f t="shared" si="101"/>
        <v>0</v>
      </c>
      <c r="BK33" s="6">
        <f t="shared" si="102"/>
        <v>0</v>
      </c>
      <c r="BL33" s="6">
        <f t="shared" si="103"/>
        <v>-1</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2</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1</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2</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1</v>
      </c>
      <c r="S39" s="69">
        <f>AD43</f>
        <v>1</v>
      </c>
      <c r="T39" s="69"/>
      <c r="U39" s="69"/>
      <c r="V39" s="69">
        <f>AD44</f>
        <v>0</v>
      </c>
      <c r="W39" s="69">
        <f>AD44</f>
        <v>0</v>
      </c>
      <c r="X39" s="69"/>
      <c r="Y39" s="69"/>
      <c r="Z39" s="69">
        <f>AD45</f>
        <v>1</v>
      </c>
      <c r="AA39" s="69">
        <f>AD45</f>
        <v>1</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4</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3</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3</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6</v>
      </c>
      <c r="AA43" s="6">
        <f t="shared" si="116"/>
        <v>11</v>
      </c>
      <c r="AD43" s="6">
        <f t="shared" si="117"/>
        <v>1</v>
      </c>
      <c r="AE43" s="6">
        <f t="shared" si="118"/>
        <v>2</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-5</v>
      </c>
      <c r="BL43" s="6">
        <f t="shared" si="132"/>
        <v>-5</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1</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11</v>
      </c>
      <c r="S45" s="6">
        <f t="shared" si="112"/>
        <v>6</v>
      </c>
      <c r="V45" s="6">
        <f t="shared" si="113"/>
        <v>0</v>
      </c>
      <c r="W45" s="6">
        <f t="shared" si="114"/>
        <v>0</v>
      </c>
      <c r="Z45" s="6">
        <f t="shared" si="115"/>
        <v>0</v>
      </c>
      <c r="AA45" s="6">
        <f t="shared" si="116"/>
        <v>0</v>
      </c>
      <c r="AD45" s="6">
        <f t="shared" si="117"/>
        <v>1</v>
      </c>
      <c r="AE45" s="6">
        <f t="shared" si="118"/>
        <v>2</v>
      </c>
      <c r="AX45" s="6">
        <f t="shared" si="119"/>
        <v>0</v>
      </c>
      <c r="AY45" s="6">
        <f t="shared" si="120"/>
        <v>0</v>
      </c>
      <c r="AZ45" s="6">
        <f t="shared" si="121"/>
        <v>0</v>
      </c>
      <c r="BA45" s="6">
        <f t="shared" si="122"/>
        <v>1</v>
      </c>
      <c r="BB45" s="6">
        <f t="shared" si="123"/>
        <v>0</v>
      </c>
      <c r="BC45" s="6">
        <f t="shared" si="124"/>
        <v>0</v>
      </c>
      <c r="BD45" s="6">
        <f t="shared" si="125"/>
        <v>1</v>
      </c>
      <c r="BF45" s="6">
        <f t="shared" si="126"/>
        <v>0</v>
      </c>
      <c r="BG45" s="6">
        <f t="shared" si="127"/>
        <v>0</v>
      </c>
      <c r="BH45" s="6">
        <f t="shared" si="128"/>
        <v>0</v>
      </c>
      <c r="BI45" s="6">
        <f t="shared" si="129"/>
        <v>5</v>
      </c>
      <c r="BJ45" s="6">
        <f t="shared" si="130"/>
        <v>0</v>
      </c>
      <c r="BK45" s="6">
        <f t="shared" si="131"/>
        <v>0</v>
      </c>
      <c r="BL45" s="6">
        <f t="shared" si="132"/>
        <v>5</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1</v>
      </c>
      <c r="W48" s="69">
        <f>AD53</f>
        <v>1</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4</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3</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3</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2</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1</v>
      </c>
      <c r="AE53" s="6">
        <f t="shared" si="147"/>
        <v>1</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2</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56" priority="1" operator="equal">
      <formula>0</formula>
    </cfRule>
  </conditionalFormatting>
  <conditionalFormatting sqref="J6:K6 N6:O7 R6:S8 V6:W9 Z6:AA10">
    <cfRule type="cellIs" dxfId="155" priority="2" operator="equal">
      <formula>0</formula>
    </cfRule>
  </conditionalFormatting>
  <conditionalFormatting sqref="B6:B11">
    <cfRule type="expression" dxfId="154" priority="3">
      <formula>IF(C6=1,TRUE,FALSE)</formula>
    </cfRule>
  </conditionalFormatting>
  <conditionalFormatting sqref="B6:B11">
    <cfRule type="expression" dxfId="15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7</v>
      </c>
      <c r="B1" s="175" t="s">
        <v>1794</v>
      </c>
      <c r="C1" s="274" t="s">
        <v>1837</v>
      </c>
      <c r="D1" s="69"/>
      <c r="E1" s="69"/>
      <c r="F1" s="177" t="s">
        <v>1712</v>
      </c>
      <c r="G1" s="178">
        <f>$AV$12</f>
        <v>6</v>
      </c>
      <c r="H1" s="179" t="s">
        <v>1796</v>
      </c>
      <c r="I1" s="69"/>
      <c r="J1" s="69"/>
      <c r="K1" s="69"/>
      <c r="L1" s="69"/>
      <c r="M1" s="69"/>
      <c r="N1" s="69"/>
      <c r="O1" s="69"/>
      <c r="P1" s="180" t="s">
        <v>1797</v>
      </c>
      <c r="Q1" s="74"/>
      <c r="R1" s="181">
        <f ca="1">INDIRECT(ADDRESS(4,A1,1,1,"Hřiště"))</f>
        <v>16</v>
      </c>
      <c r="S1" s="181">
        <f ca="1">INDIRECT(ADDRESS(5,A1,1,1,"Hřiště"))</f>
        <v>18</v>
      </c>
      <c r="T1" s="181"/>
      <c r="U1" s="69"/>
      <c r="V1" s="69"/>
      <c r="W1" s="69"/>
      <c r="X1" s="69"/>
      <c r="Y1" s="69"/>
      <c r="Z1" s="177" t="s">
        <v>1798</v>
      </c>
      <c r="AA1" s="178">
        <f>IF(G1=0,0,CHOOSE(G1,0,1,1,2,2,3))</f>
        <v>3</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HRODE KRUMSÍN - Ptáčková Eliška</v>
      </c>
      <c r="C6" s="208">
        <f t="shared" ref="C6:C11" si="0">IF(CB6=0,"",CB6)</f>
        <v>3</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18</v>
      </c>
      <c r="J6" s="215">
        <f>$G$7</f>
        <v>13</v>
      </c>
      <c r="K6" s="216">
        <f>$F$7</f>
        <v>11</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17</v>
      </c>
      <c r="N6" s="215">
        <f>$G$8</f>
        <v>8</v>
      </c>
      <c r="O6" s="216">
        <f>$F$8</f>
        <v>13</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16</v>
      </c>
      <c r="R6" s="215">
        <f>$G$9</f>
        <v>0</v>
      </c>
      <c r="S6" s="216">
        <f>$F$9</f>
        <v>13</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16</v>
      </c>
      <c r="V6" s="215">
        <f>$G$10</f>
        <v>2</v>
      </c>
      <c r="W6" s="216">
        <f>$F$10</f>
        <v>13</v>
      </c>
      <c r="X6" s="213">
        <f>IF(TYPE(VLOOKUP(VALUE(CONCATENATE(TEXT($G$1,"0"),TEXT($A6,"0"),TEXT(AA$3,"0"))),RozpisKK!$AA$3:$AD$76,3,0))&gt;3,"",VLOOKUP(VALUE(CONCATENATE(TEXT($G$1,"0"),TEXT($A6,"0"),TEXT(AA$3,"0"))),RozpisKK!$AA$3:$AD$76,3,0))</f>
        <v>5</v>
      </c>
      <c r="Y6" s="214">
        <f ca="1">IF(TYPE(VLOOKUP(VALUE(CONCATENATE(TEXT($G$1,"0"),TEXT($A6,"0"),TEXT(AA$3,"0"))),RozpisKK!$AA$3:$AD$76,3,0))&gt;3,"",VLOOKUP(VALUE(CONCATENATE(TEXT($G$1,"0"),TEXT($A6,"0"),TEXT(AA$3,"0"))),RozpisKK!$AA$3:$AD$76,4,0)+$R$1-1)</f>
        <v>18</v>
      </c>
      <c r="Z6" s="215">
        <f>$G$11</f>
        <v>13</v>
      </c>
      <c r="AA6" s="216">
        <f>$F$11</f>
        <v>5</v>
      </c>
      <c r="AB6" s="69"/>
      <c r="AC6" s="69"/>
      <c r="AD6" s="217">
        <f t="shared" ref="AD6:AD11" si="1">IF(OR(F6&gt;0,G6&gt;0,J6&gt;0,K6&gt;0,N6&gt;0,O6&gt;0,R6&gt;0,S6&gt;0,V6&gt;0,W6&gt;0,Z6&gt;0,AA6&gt;0),1,0)</f>
        <v>1</v>
      </c>
      <c r="AE6" s="218">
        <f t="shared" ref="AE6:AE11" si="2">SUM(AX6:BC6)</f>
        <v>2</v>
      </c>
      <c r="AF6" s="219"/>
      <c r="AG6" s="219">
        <f t="shared" ref="AG6:AG11" si="3">BD22</f>
        <v>0</v>
      </c>
      <c r="AH6" s="219">
        <f t="shared" ref="AH6:AH11" si="4">BD31</f>
        <v>0</v>
      </c>
      <c r="AI6" s="219">
        <f t="shared" ref="AI6:AI11" si="5">BD40</f>
        <v>1</v>
      </c>
      <c r="AJ6" s="219">
        <f t="shared" ref="AJ6:AJ11" si="6">BD49</f>
        <v>0</v>
      </c>
      <c r="AK6" s="219"/>
      <c r="AL6" s="219">
        <f t="shared" ref="AL6:AL11" si="7">BL22</f>
        <v>0</v>
      </c>
      <c r="AM6" s="219">
        <f t="shared" ref="AM6:AM11" si="8">BL31</f>
        <v>0</v>
      </c>
      <c r="AN6" s="219">
        <f t="shared" ref="AN6:AN11" si="9">BL40</f>
        <v>2</v>
      </c>
      <c r="AO6" s="219">
        <f t="shared" ref="AO6:AO11" si="10">BL49</f>
        <v>0</v>
      </c>
      <c r="AP6" s="220">
        <f t="shared" ref="AP6:AP11" si="11">SUM(BF6:BK6)</f>
        <v>-19</v>
      </c>
      <c r="AQ6" s="220">
        <f t="shared" ref="AQ6:AQ11" si="12">SUM(BN6:BS6)</f>
        <v>36</v>
      </c>
      <c r="AR6" s="221"/>
      <c r="AS6" s="222" t="str">
        <f t="shared" ref="AS6:AS11" si="13">CONCATENATE(TEXT(AD6,"0"),TEXT(AE6,"0"),TEXT(AG6,"0"),TEXT(AH6,"0"),TEXT(AI6,"0"),TEXT(AJ6,"0"),TEXT(100+AL6,"000"),TEXT(100+AM6,"000"),TEXT(100+AN6,"000"),TEXT(100+AO6,"000"),TEXT(100+AP6,"000"),TEXT(AQ6,"000"))</f>
        <v>120010100100102100081036</v>
      </c>
      <c r="AT6" s="223">
        <f t="shared" ref="AT6:AT11" si="14">CB6</f>
        <v>3</v>
      </c>
      <c r="AU6" s="69"/>
      <c r="AV6" s="217">
        <f t="shared" ref="AV6:AV11" si="15">IF(OR(B6="",B6=" - "),0,1)</f>
        <v>1</v>
      </c>
      <c r="AX6" s="224">
        <f t="shared" ref="AX6:AX11" si="16">IF(F6&gt;G6,1,0)</f>
        <v>0</v>
      </c>
      <c r="AY6" s="224">
        <f t="shared" ref="AY6:AY11" si="17">IF(J6&gt;K6,1,0)</f>
        <v>1</v>
      </c>
      <c r="AZ6" s="224">
        <f t="shared" ref="AZ6:AZ11" si="18">IF(N6&gt;O6,1,0)</f>
        <v>0</v>
      </c>
      <c r="BA6" s="224">
        <f t="shared" ref="BA6:BA11" si="19">IF(R6&gt;S6,1,0)</f>
        <v>0</v>
      </c>
      <c r="BB6" s="224">
        <f t="shared" ref="BB6:BB11" si="20">IF(V6&gt;W6,1,0)</f>
        <v>0</v>
      </c>
      <c r="BC6" s="224">
        <f t="shared" ref="BC6:BC11" si="21">IF(Z6&gt;AA6,1,0)</f>
        <v>1</v>
      </c>
      <c r="BD6" s="224">
        <f t="shared" ref="BD6:BD11" si="22">SUM(AX6:BC6)</f>
        <v>2</v>
      </c>
      <c r="BF6" s="224">
        <f t="shared" ref="BF6:BF11" si="23">F6-G6</f>
        <v>0</v>
      </c>
      <c r="BG6" s="224">
        <f t="shared" ref="BG6:BG11" si="24">J6-K6</f>
        <v>2</v>
      </c>
      <c r="BH6" s="224">
        <f t="shared" ref="BH6:BH11" si="25">N6-O6</f>
        <v>-5</v>
      </c>
      <c r="BI6" s="224">
        <f t="shared" ref="BI6:BI11" si="26">R6-S6</f>
        <v>-13</v>
      </c>
      <c r="BJ6" s="224">
        <f t="shared" ref="BJ6:BJ11" si="27">V6-W6</f>
        <v>-11</v>
      </c>
      <c r="BK6" s="224">
        <f t="shared" ref="BK6:BK11" si="28">Z6-AA6</f>
        <v>8</v>
      </c>
      <c r="BL6" s="224">
        <f t="shared" ref="BL6:BL11" si="29">SUM(BF6:BK6)</f>
        <v>-19</v>
      </c>
      <c r="BN6" s="224">
        <f t="shared" ref="BN6:BN11" si="30">F6</f>
        <v>0</v>
      </c>
      <c r="BO6" s="224">
        <f t="shared" ref="BO6:BO11" si="31">J6</f>
        <v>13</v>
      </c>
      <c r="BP6" s="224">
        <f t="shared" ref="BP6:BP11" si="32">N6</f>
        <v>8</v>
      </c>
      <c r="BQ6" s="224">
        <f t="shared" ref="BQ6:BQ11" si="33">R6</f>
        <v>0</v>
      </c>
      <c r="BR6" s="224">
        <f t="shared" ref="BR6:BR11" si="34">V6</f>
        <v>2</v>
      </c>
      <c r="BS6" s="224">
        <f t="shared" ref="BS6:BS11" si="35">Z6</f>
        <v>13</v>
      </c>
      <c r="BT6" s="224">
        <f t="shared" ref="BT6:BT11" si="36">SUM(BN6:BS6)</f>
        <v>36</v>
      </c>
      <c r="BV6" s="224">
        <f t="shared" ref="BV6:BV11" si="37">IF(AS6&lt;AS$6,1,0)</f>
        <v>0</v>
      </c>
      <c r="BW6" s="224">
        <f t="shared" ref="BW6:BW11" si="38">IF(AS6&lt;AS$7,1,0)</f>
        <v>0</v>
      </c>
      <c r="BX6" s="224">
        <f t="shared" ref="BX6:BX11" si="39">IF(AS6&lt;AS$8,1,0)</f>
        <v>0</v>
      </c>
      <c r="BY6" s="224">
        <f t="shared" ref="BY6:BY11" si="40">IF(AS6&lt;AS$9,1,0)</f>
        <v>1</v>
      </c>
      <c r="BZ6" s="224">
        <f t="shared" ref="BZ6:BZ11" si="41">IF(AS6&lt;AS$10,1,0)</f>
        <v>1</v>
      </c>
      <c r="CA6" s="224">
        <f t="shared" ref="CA6:CA11" si="42">IF(AS6&lt;AS$11,1,0)</f>
        <v>0</v>
      </c>
      <c r="CB6" s="224">
        <f t="shared" ref="CB6:CB11" si="43">AD6*(SUM(BV6:CA6)+1)</f>
        <v>3</v>
      </c>
    </row>
    <row r="7" spans="1:80" ht="36" customHeight="1">
      <c r="A7" s="225">
        <v>2</v>
      </c>
      <c r="B7" s="226" t="str">
        <f>IF(TYPE(VLOOKUP(CONCATENATE($C$1,A7),Skupiny!$A$3:$B$194,2,0))&gt;3," - ",VLOOKUP(CONCATENATE($C$1,A7),Skupiny!$A$3:$B$194,2,0))</f>
        <v>SK Pétanque Řepy - Holoubek Pavel</v>
      </c>
      <c r="C7" s="227">
        <f t="shared" si="0"/>
        <v>4</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18</v>
      </c>
      <c r="F7" s="230">
        <v>11</v>
      </c>
      <c r="G7" s="231">
        <v>13</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18</v>
      </c>
      <c r="N7" s="238">
        <f>$K$8</f>
        <v>9</v>
      </c>
      <c r="O7" s="216">
        <f>$J$8</f>
        <v>7</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17</v>
      </c>
      <c r="R7" s="238">
        <f>$K$9</f>
        <v>7</v>
      </c>
      <c r="S7" s="216">
        <f>$J$9</f>
        <v>13</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17</v>
      </c>
      <c r="V7" s="238">
        <f>$K$10</f>
        <v>1</v>
      </c>
      <c r="W7" s="216">
        <f>$J$10</f>
        <v>13</v>
      </c>
      <c r="X7" s="236">
        <f>IF(TYPE(VLOOKUP(VALUE(CONCATENATE(TEXT($G$1,"0"),TEXT($A7,"0"),TEXT(AA$3,"0"))),RozpisKK!$AA$3:$AD$76,3,0))&gt;3,"",VLOOKUP(VALUE(CONCATENATE(TEXT($G$1,"0"),TEXT($A7,"0"),TEXT(AA$3,"0"))),RozpisKK!$AA$3:$AD$76,3,0))</f>
        <v>3</v>
      </c>
      <c r="Y7" s="237">
        <f ca="1">IF(TYPE(VLOOKUP(VALUE(CONCATENATE(TEXT($G$1,"0"),TEXT($A7,"0"),TEXT(AA$3,"0"))),RozpisKK!$AA$3:$AD$76,3,0))&gt;3,"",VLOOKUP(VALUE(CONCATENATE(TEXT($G$1,"0"),TEXT($A7,"0"),TEXT(AA$3,"0"))),RozpisKK!$AA$3:$AD$76,4,0)+$R$1-1)</f>
        <v>16</v>
      </c>
      <c r="Z7" s="238">
        <f>$K$11</f>
        <v>13</v>
      </c>
      <c r="AA7" s="216">
        <f>$J$11</f>
        <v>9</v>
      </c>
      <c r="AB7" s="69"/>
      <c r="AC7" s="69"/>
      <c r="AD7" s="217">
        <f t="shared" si="1"/>
        <v>1</v>
      </c>
      <c r="AE7" s="239">
        <f t="shared" si="2"/>
        <v>2</v>
      </c>
      <c r="AF7" s="240"/>
      <c r="AG7" s="240">
        <f t="shared" si="3"/>
        <v>0</v>
      </c>
      <c r="AH7" s="240">
        <f t="shared" si="4"/>
        <v>0</v>
      </c>
      <c r="AI7" s="240">
        <f t="shared" si="5"/>
        <v>0</v>
      </c>
      <c r="AJ7" s="240">
        <f t="shared" si="6"/>
        <v>0</v>
      </c>
      <c r="AK7" s="240"/>
      <c r="AL7" s="219">
        <f t="shared" si="7"/>
        <v>0</v>
      </c>
      <c r="AM7" s="219">
        <f t="shared" si="8"/>
        <v>0</v>
      </c>
      <c r="AN7" s="219">
        <f t="shared" si="9"/>
        <v>-2</v>
      </c>
      <c r="AO7" s="219">
        <f t="shared" si="10"/>
        <v>0</v>
      </c>
      <c r="AP7" s="220">
        <f t="shared" si="11"/>
        <v>-14</v>
      </c>
      <c r="AQ7" s="220">
        <f t="shared" si="12"/>
        <v>41</v>
      </c>
      <c r="AR7" s="241"/>
      <c r="AS7" s="242" t="str">
        <f t="shared" si="13"/>
        <v>120000100100098100086041</v>
      </c>
      <c r="AT7" s="243">
        <f t="shared" si="14"/>
        <v>4</v>
      </c>
      <c r="AU7" s="69"/>
      <c r="AV7" s="217">
        <f t="shared" si="15"/>
        <v>1</v>
      </c>
      <c r="AX7" s="224">
        <f t="shared" si="16"/>
        <v>0</v>
      </c>
      <c r="AY7" s="224">
        <f t="shared" si="17"/>
        <v>0</v>
      </c>
      <c r="AZ7" s="224">
        <f t="shared" si="18"/>
        <v>1</v>
      </c>
      <c r="BA7" s="224">
        <f t="shared" si="19"/>
        <v>0</v>
      </c>
      <c r="BB7" s="224">
        <f t="shared" si="20"/>
        <v>0</v>
      </c>
      <c r="BC7" s="224">
        <f t="shared" si="21"/>
        <v>1</v>
      </c>
      <c r="BD7" s="224">
        <f t="shared" si="22"/>
        <v>2</v>
      </c>
      <c r="BF7" s="224">
        <f t="shared" si="23"/>
        <v>-2</v>
      </c>
      <c r="BG7" s="224">
        <f t="shared" si="24"/>
        <v>0</v>
      </c>
      <c r="BH7" s="224">
        <f t="shared" si="25"/>
        <v>2</v>
      </c>
      <c r="BI7" s="224">
        <f t="shared" si="26"/>
        <v>-6</v>
      </c>
      <c r="BJ7" s="224">
        <f t="shared" si="27"/>
        <v>-12</v>
      </c>
      <c r="BK7" s="224">
        <f t="shared" si="28"/>
        <v>4</v>
      </c>
      <c r="BL7" s="224">
        <f t="shared" si="29"/>
        <v>-14</v>
      </c>
      <c r="BN7" s="224">
        <f t="shared" si="30"/>
        <v>11</v>
      </c>
      <c r="BO7" s="224">
        <f t="shared" si="31"/>
        <v>0</v>
      </c>
      <c r="BP7" s="224">
        <f t="shared" si="32"/>
        <v>9</v>
      </c>
      <c r="BQ7" s="224">
        <f t="shared" si="33"/>
        <v>7</v>
      </c>
      <c r="BR7" s="224">
        <f t="shared" si="34"/>
        <v>1</v>
      </c>
      <c r="BS7" s="224">
        <f t="shared" si="35"/>
        <v>13</v>
      </c>
      <c r="BT7" s="224">
        <f t="shared" si="36"/>
        <v>41</v>
      </c>
      <c r="BV7" s="224">
        <f t="shared" si="37"/>
        <v>1</v>
      </c>
      <c r="BW7" s="224">
        <f t="shared" si="38"/>
        <v>0</v>
      </c>
      <c r="BX7" s="224">
        <f t="shared" si="39"/>
        <v>0</v>
      </c>
      <c r="BY7" s="224">
        <f t="shared" si="40"/>
        <v>1</v>
      </c>
      <c r="BZ7" s="224">
        <f t="shared" si="41"/>
        <v>1</v>
      </c>
      <c r="CA7" s="224">
        <f t="shared" si="42"/>
        <v>0</v>
      </c>
      <c r="CB7" s="224">
        <f t="shared" si="43"/>
        <v>4</v>
      </c>
    </row>
    <row r="8" spans="1:80" ht="36" customHeight="1">
      <c r="A8" s="225">
        <v>3</v>
      </c>
      <c r="B8" s="226" t="str">
        <f>IF(TYPE(VLOOKUP(CONCATENATE($C$1,A8),Skupiny!$A$3:$B$194,2,0))&gt;3," - ",VLOOKUP(CONCATENATE($C$1,A8),Skupiny!$A$3:$B$194,2,0))</f>
        <v>SPORT Kolín - Šternberg Martin</v>
      </c>
      <c r="C8" s="227">
        <f t="shared" si="0"/>
        <v>6</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17</v>
      </c>
      <c r="F8" s="230">
        <v>13</v>
      </c>
      <c r="G8" s="231">
        <v>8</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18</v>
      </c>
      <c r="J8" s="230">
        <v>7</v>
      </c>
      <c r="K8" s="231">
        <v>9</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16</v>
      </c>
      <c r="R8" s="238">
        <f>$O$9</f>
        <v>10</v>
      </c>
      <c r="S8" s="216">
        <f>$N$9</f>
        <v>13</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16</v>
      </c>
      <c r="V8" s="238">
        <f>$O$10</f>
        <v>3</v>
      </c>
      <c r="W8" s="216">
        <f>$N$10</f>
        <v>13</v>
      </c>
      <c r="X8" s="236">
        <f>IF(TYPE(VLOOKUP(VALUE(CONCATENATE(TEXT($G$1,"0"),TEXT($A8,"0"),TEXT(AA$3,"0"))),RozpisKK!$AA$3:$AD$76,3,0))&gt;3,"",VLOOKUP(VALUE(CONCATENATE(TEXT($G$1,"0"),TEXT($A8,"0"),TEXT(AA$3,"0"))),RozpisKK!$AA$3:$AD$76,3,0))</f>
        <v>1</v>
      </c>
      <c r="Y8" s="237">
        <f ca="1">IF(TYPE(VLOOKUP(VALUE(CONCATENATE(TEXT($G$1,"0"),TEXT($A8,"0"),TEXT(AA$3,"0"))),RozpisKK!$AA$3:$AD$76,3,0))&gt;3,"",VLOOKUP(VALUE(CONCATENATE(TEXT($G$1,"0"),TEXT($A8,"0"),TEXT(AA$3,"0"))),RozpisKK!$AA$3:$AD$76,4,0)+$R$1-1)</f>
        <v>18</v>
      </c>
      <c r="Z8" s="238">
        <f>$O$11</f>
        <v>9</v>
      </c>
      <c r="AA8" s="216">
        <f>$N$11</f>
        <v>10</v>
      </c>
      <c r="AB8" s="69"/>
      <c r="AC8" s="69"/>
      <c r="AD8" s="217">
        <f t="shared" si="1"/>
        <v>1</v>
      </c>
      <c r="AE8" s="239">
        <f t="shared" si="2"/>
        <v>1</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-1</v>
      </c>
      <c r="AP8" s="220">
        <f t="shared" si="11"/>
        <v>-11</v>
      </c>
      <c r="AQ8" s="220">
        <f t="shared" si="12"/>
        <v>42</v>
      </c>
      <c r="AR8" s="241"/>
      <c r="AS8" s="242" t="str">
        <f t="shared" si="13"/>
        <v>110000100100100099089042</v>
      </c>
      <c r="AT8" s="243">
        <f t="shared" si="14"/>
        <v>6</v>
      </c>
      <c r="AU8" s="69"/>
      <c r="AV8" s="217">
        <f t="shared" si="15"/>
        <v>1</v>
      </c>
      <c r="AX8" s="224">
        <f t="shared" si="16"/>
        <v>1</v>
      </c>
      <c r="AY8" s="224">
        <f t="shared" si="17"/>
        <v>0</v>
      </c>
      <c r="AZ8" s="224">
        <f t="shared" si="18"/>
        <v>0</v>
      </c>
      <c r="BA8" s="224">
        <f t="shared" si="19"/>
        <v>0</v>
      </c>
      <c r="BB8" s="224">
        <f t="shared" si="20"/>
        <v>0</v>
      </c>
      <c r="BC8" s="224">
        <f t="shared" si="21"/>
        <v>0</v>
      </c>
      <c r="BD8" s="224">
        <f t="shared" si="22"/>
        <v>1</v>
      </c>
      <c r="BF8" s="224">
        <f t="shared" si="23"/>
        <v>5</v>
      </c>
      <c r="BG8" s="224">
        <f t="shared" si="24"/>
        <v>-2</v>
      </c>
      <c r="BH8" s="224">
        <f t="shared" si="25"/>
        <v>0</v>
      </c>
      <c r="BI8" s="224">
        <f t="shared" si="26"/>
        <v>-3</v>
      </c>
      <c r="BJ8" s="224">
        <f t="shared" si="27"/>
        <v>-10</v>
      </c>
      <c r="BK8" s="224">
        <f t="shared" si="28"/>
        <v>-1</v>
      </c>
      <c r="BL8" s="224">
        <f t="shared" si="29"/>
        <v>-11</v>
      </c>
      <c r="BN8" s="224">
        <f t="shared" si="30"/>
        <v>13</v>
      </c>
      <c r="BO8" s="224">
        <f t="shared" si="31"/>
        <v>7</v>
      </c>
      <c r="BP8" s="224">
        <f t="shared" si="32"/>
        <v>0</v>
      </c>
      <c r="BQ8" s="224">
        <f t="shared" si="33"/>
        <v>10</v>
      </c>
      <c r="BR8" s="224">
        <f t="shared" si="34"/>
        <v>3</v>
      </c>
      <c r="BS8" s="224">
        <f t="shared" si="35"/>
        <v>9</v>
      </c>
      <c r="BT8" s="224">
        <f t="shared" si="36"/>
        <v>42</v>
      </c>
      <c r="BV8" s="224">
        <f t="shared" si="37"/>
        <v>1</v>
      </c>
      <c r="BW8" s="224">
        <f t="shared" si="38"/>
        <v>1</v>
      </c>
      <c r="BX8" s="224">
        <f t="shared" si="39"/>
        <v>0</v>
      </c>
      <c r="BY8" s="224">
        <f t="shared" si="40"/>
        <v>1</v>
      </c>
      <c r="BZ8" s="224">
        <f t="shared" si="41"/>
        <v>1</v>
      </c>
      <c r="CA8" s="224">
        <f t="shared" si="42"/>
        <v>1</v>
      </c>
      <c r="CB8" s="224">
        <f t="shared" si="43"/>
        <v>6</v>
      </c>
    </row>
    <row r="9" spans="1:80" ht="36" customHeight="1">
      <c r="A9" s="225">
        <v>4</v>
      </c>
      <c r="B9" s="226" t="str">
        <f>IF(TYPE(VLOOKUP(CONCATENATE($C$1,A9),Skupiny!$A$3:$B$194,2,0))&gt;3," - ",VLOOKUP(CONCATENATE($C$1,A9),Skupiny!$A$3:$B$194,2,0))</f>
        <v>Carreau Brno - Hodboď Pavel</v>
      </c>
      <c r="C9" s="227">
        <f t="shared" si="0"/>
        <v>1</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16</v>
      </c>
      <c r="F9" s="230">
        <v>13</v>
      </c>
      <c r="G9" s="231">
        <v>0</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17</v>
      </c>
      <c r="J9" s="230">
        <v>13</v>
      </c>
      <c r="K9" s="231">
        <v>7</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16</v>
      </c>
      <c r="N9" s="230">
        <v>13</v>
      </c>
      <c r="O9" s="231">
        <v>10</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18</v>
      </c>
      <c r="V9" s="238">
        <f>$S$10</f>
        <v>13</v>
      </c>
      <c r="W9" s="216">
        <f>$R$10</f>
        <v>7</v>
      </c>
      <c r="X9" s="236">
        <f>IF(TYPE(VLOOKUP(VALUE(CONCATENATE(TEXT($G$1,"0"),TEXT($A9,"0"),TEXT(AA$3,"0"))),RozpisKK!$AA$3:$AD$76,3,0))&gt;3,"",VLOOKUP(VALUE(CONCATENATE(TEXT($G$1,"0"),TEXT($A9,"0"),TEXT(AA$3,"0"))),RozpisKK!$AA$3:$AD$76,3,0))</f>
        <v>4</v>
      </c>
      <c r="Y9" s="237">
        <f ca="1">IF(TYPE(VLOOKUP(VALUE(CONCATENATE(TEXT($G$1,"0"),TEXT($A9,"0"),TEXT(AA$3,"0"))),RozpisKK!$AA$3:$AD$76,3,0))&gt;3,"",VLOOKUP(VALUE(CONCATENATE(TEXT($G$1,"0"),TEXT($A9,"0"),TEXT(AA$3,"0"))),RozpisKK!$AA$3:$AD$76,4,0)+$R$1-1)</f>
        <v>17</v>
      </c>
      <c r="Z9" s="238">
        <f>$S$11</f>
        <v>13</v>
      </c>
      <c r="AA9" s="216">
        <f>$R$11</f>
        <v>5</v>
      </c>
      <c r="AB9" s="69"/>
      <c r="AC9" s="69"/>
      <c r="AD9" s="217">
        <f t="shared" si="1"/>
        <v>1</v>
      </c>
      <c r="AE9" s="239">
        <f t="shared" si="2"/>
        <v>5</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36</v>
      </c>
      <c r="AQ9" s="220">
        <f t="shared" si="12"/>
        <v>65</v>
      </c>
      <c r="AR9" s="241"/>
      <c r="AS9" s="242" t="str">
        <f t="shared" si="13"/>
        <v>150000100100100100136065</v>
      </c>
      <c r="AT9" s="243">
        <f t="shared" si="14"/>
        <v>1</v>
      </c>
      <c r="AU9" s="69"/>
      <c r="AV9" s="217">
        <f t="shared" si="15"/>
        <v>1</v>
      </c>
      <c r="AX9" s="224">
        <f t="shared" si="16"/>
        <v>1</v>
      </c>
      <c r="AY9" s="224">
        <f t="shared" si="17"/>
        <v>1</v>
      </c>
      <c r="AZ9" s="224">
        <f t="shared" si="18"/>
        <v>1</v>
      </c>
      <c r="BA9" s="224">
        <f t="shared" si="19"/>
        <v>0</v>
      </c>
      <c r="BB9" s="224">
        <f t="shared" si="20"/>
        <v>1</v>
      </c>
      <c r="BC9" s="224">
        <f t="shared" si="21"/>
        <v>1</v>
      </c>
      <c r="BD9" s="224">
        <f t="shared" si="22"/>
        <v>5</v>
      </c>
      <c r="BF9" s="224">
        <f t="shared" si="23"/>
        <v>13</v>
      </c>
      <c r="BG9" s="224">
        <f t="shared" si="24"/>
        <v>6</v>
      </c>
      <c r="BH9" s="224">
        <f t="shared" si="25"/>
        <v>3</v>
      </c>
      <c r="BI9" s="224">
        <f t="shared" si="26"/>
        <v>0</v>
      </c>
      <c r="BJ9" s="224">
        <f t="shared" si="27"/>
        <v>6</v>
      </c>
      <c r="BK9" s="224">
        <f t="shared" si="28"/>
        <v>8</v>
      </c>
      <c r="BL9" s="224">
        <f t="shared" si="29"/>
        <v>36</v>
      </c>
      <c r="BN9" s="224">
        <f t="shared" si="30"/>
        <v>13</v>
      </c>
      <c r="BO9" s="224">
        <f t="shared" si="31"/>
        <v>13</v>
      </c>
      <c r="BP9" s="224">
        <f t="shared" si="32"/>
        <v>13</v>
      </c>
      <c r="BQ9" s="224">
        <f t="shared" si="33"/>
        <v>0</v>
      </c>
      <c r="BR9" s="224">
        <f t="shared" si="34"/>
        <v>13</v>
      </c>
      <c r="BS9" s="224">
        <f t="shared" si="35"/>
        <v>13</v>
      </c>
      <c r="BT9" s="224">
        <f t="shared" si="36"/>
        <v>65</v>
      </c>
      <c r="BV9" s="224">
        <f t="shared" si="37"/>
        <v>0</v>
      </c>
      <c r="BW9" s="224">
        <f t="shared" si="38"/>
        <v>0</v>
      </c>
      <c r="BX9" s="224">
        <f t="shared" si="39"/>
        <v>0</v>
      </c>
      <c r="BY9" s="224">
        <f t="shared" si="40"/>
        <v>0</v>
      </c>
      <c r="BZ9" s="224">
        <f t="shared" si="41"/>
        <v>0</v>
      </c>
      <c r="CA9" s="224">
        <f t="shared" si="42"/>
        <v>0</v>
      </c>
      <c r="CB9" s="224">
        <f t="shared" si="43"/>
        <v>1</v>
      </c>
    </row>
    <row r="10" spans="1:80" ht="36" customHeight="1">
      <c r="A10" s="225">
        <v>5</v>
      </c>
      <c r="B10" s="226" t="str">
        <f>IF(TYPE(VLOOKUP(CONCATENATE($C$1,A10),Skupiny!$A$3:$B$194,2,0))&gt;3," - ",VLOOKUP(CONCATENATE($C$1,A10),Skupiny!$A$3:$B$194,2,0))</f>
        <v>Orel Řečkovice - Olbort Tomáš</v>
      </c>
      <c r="C10" s="227">
        <f t="shared" si="0"/>
        <v>2</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16</v>
      </c>
      <c r="F10" s="230">
        <v>13</v>
      </c>
      <c r="G10" s="231">
        <v>2</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17</v>
      </c>
      <c r="J10" s="230">
        <v>13</v>
      </c>
      <c r="K10" s="231">
        <v>1</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16</v>
      </c>
      <c r="N10" s="230">
        <v>13</v>
      </c>
      <c r="O10" s="231">
        <v>3</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18</v>
      </c>
      <c r="R10" s="230">
        <v>7</v>
      </c>
      <c r="S10" s="231">
        <v>13</v>
      </c>
      <c r="T10" s="232"/>
      <c r="U10" s="233"/>
      <c r="V10" s="234"/>
      <c r="W10" s="235"/>
      <c r="X10" s="236">
        <f>IF(TYPE(VLOOKUP(VALUE(CONCATENATE(TEXT($G$1,"0"),TEXT($A10,"0"),TEXT(AA$3,"0"))),RozpisKK!$AA$3:$AD$76,3,0))&gt;3,"",VLOOKUP(VALUE(CONCATENATE(TEXT($G$1,"0"),TEXT($A10,"0"),TEXT(AA$3,"0"))),RozpisKK!$AA$3:$AD$76,3,0))</f>
        <v>2</v>
      </c>
      <c r="Y10" s="237">
        <f ca="1">IF(TYPE(VLOOKUP(VALUE(CONCATENATE(TEXT($G$1,"0"),TEXT($A10,"0"),TEXT(AA$3,"0"))),RozpisKK!$AA$3:$AD$76,3,0))&gt;3,"",VLOOKUP(VALUE(CONCATENATE(TEXT($G$1,"0"),TEXT($A10,"0"),TEXT(AA$3,"0"))),RozpisKK!$AA$3:$AD$76,4,0)+$R$1-1)</f>
        <v>17</v>
      </c>
      <c r="Z10" s="238">
        <f>$W$11</f>
        <v>13</v>
      </c>
      <c r="AA10" s="216">
        <f>$V$11</f>
        <v>1</v>
      </c>
      <c r="AB10" s="69"/>
      <c r="AC10" s="69"/>
      <c r="AD10" s="217">
        <f t="shared" si="1"/>
        <v>1</v>
      </c>
      <c r="AE10" s="239">
        <f t="shared" si="2"/>
        <v>4</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39</v>
      </c>
      <c r="AQ10" s="220">
        <f t="shared" si="12"/>
        <v>59</v>
      </c>
      <c r="AR10" s="241"/>
      <c r="AS10" s="242" t="str">
        <f t="shared" si="13"/>
        <v>140000100100100100139059</v>
      </c>
      <c r="AT10" s="243">
        <f t="shared" si="14"/>
        <v>2</v>
      </c>
      <c r="AU10" s="69"/>
      <c r="AV10" s="217">
        <f t="shared" si="15"/>
        <v>1</v>
      </c>
      <c r="AX10" s="224">
        <f t="shared" si="16"/>
        <v>1</v>
      </c>
      <c r="AY10" s="224">
        <f t="shared" si="17"/>
        <v>1</v>
      </c>
      <c r="AZ10" s="224">
        <f t="shared" si="18"/>
        <v>1</v>
      </c>
      <c r="BA10" s="224">
        <f t="shared" si="19"/>
        <v>0</v>
      </c>
      <c r="BB10" s="224">
        <f t="shared" si="20"/>
        <v>0</v>
      </c>
      <c r="BC10" s="224">
        <f t="shared" si="21"/>
        <v>1</v>
      </c>
      <c r="BD10" s="224">
        <f t="shared" si="22"/>
        <v>4</v>
      </c>
      <c r="BF10" s="224">
        <f t="shared" si="23"/>
        <v>11</v>
      </c>
      <c r="BG10" s="224">
        <f t="shared" si="24"/>
        <v>12</v>
      </c>
      <c r="BH10" s="224">
        <f t="shared" si="25"/>
        <v>10</v>
      </c>
      <c r="BI10" s="224">
        <f t="shared" si="26"/>
        <v>-6</v>
      </c>
      <c r="BJ10" s="224">
        <f t="shared" si="27"/>
        <v>0</v>
      </c>
      <c r="BK10" s="224">
        <f t="shared" si="28"/>
        <v>12</v>
      </c>
      <c r="BL10" s="224">
        <f t="shared" si="29"/>
        <v>39</v>
      </c>
      <c r="BN10" s="224">
        <f t="shared" si="30"/>
        <v>13</v>
      </c>
      <c r="BO10" s="224">
        <f t="shared" si="31"/>
        <v>13</v>
      </c>
      <c r="BP10" s="224">
        <f t="shared" si="32"/>
        <v>13</v>
      </c>
      <c r="BQ10" s="224">
        <f t="shared" si="33"/>
        <v>7</v>
      </c>
      <c r="BR10" s="224">
        <f t="shared" si="34"/>
        <v>0</v>
      </c>
      <c r="BS10" s="224">
        <f t="shared" si="35"/>
        <v>13</v>
      </c>
      <c r="BT10" s="224">
        <f t="shared" si="36"/>
        <v>59</v>
      </c>
      <c r="BV10" s="224">
        <f t="shared" si="37"/>
        <v>0</v>
      </c>
      <c r="BW10" s="224">
        <f t="shared" si="38"/>
        <v>0</v>
      </c>
      <c r="BX10" s="224">
        <f t="shared" si="39"/>
        <v>0</v>
      </c>
      <c r="BY10" s="224">
        <f t="shared" si="40"/>
        <v>1</v>
      </c>
      <c r="BZ10" s="224">
        <f t="shared" si="41"/>
        <v>0</v>
      </c>
      <c r="CA10" s="224">
        <f t="shared" si="42"/>
        <v>0</v>
      </c>
      <c r="CB10" s="224">
        <f t="shared" si="43"/>
        <v>2</v>
      </c>
    </row>
    <row r="11" spans="1:80" ht="38.25" customHeight="1">
      <c r="A11" s="225">
        <v>6</v>
      </c>
      <c r="B11" s="244" t="str">
        <f>IF(TYPE(VLOOKUP(CONCATENATE($C$1,A11),Skupiny!$A$3:$B$194,2,0))&gt;3," - ",VLOOKUP(CONCATENATE($C$1,A11),Skupiny!$A$3:$B$194,2,0))</f>
        <v>PK Polouvsí - Koudelka Josef</v>
      </c>
      <c r="C11" s="245">
        <f t="shared" si="0"/>
        <v>5</v>
      </c>
      <c r="D11" s="246">
        <f>IF(TYPE(VLOOKUP(VALUE(CONCATENATE(TEXT($G$1,"0"),TEXT($A11,"0"),TEXT(G$3,"0"))),RozpisKK!$AA$3:$AD$76,3,0))&gt;3,"",VLOOKUP(VALUE(CONCATENATE(TEXT($G$1,"0"),TEXT($A11,"0"),TEXT(G$3,"0"))),RozpisKK!$AA$3:$AD$76,3,0))</f>
        <v>5</v>
      </c>
      <c r="E11" s="247">
        <f ca="1">IF(TYPE(VLOOKUP(VALUE(CONCATENATE(TEXT($G$1,"0"),TEXT($A11,"0"),TEXT(G$3,"0"))),RozpisKK!$AA$3:$AD$76,3,0))&gt;3,"",VLOOKUP(VALUE(CONCATENATE(TEXT($G$1,"0"),TEXT($A11,"0"),TEXT(G$3,"0"))),RozpisKK!$AA$3:$AD$76,4,0)+$R$1-1)</f>
        <v>18</v>
      </c>
      <c r="F11" s="248">
        <v>5</v>
      </c>
      <c r="G11" s="249">
        <v>13</v>
      </c>
      <c r="H11" s="246">
        <f>IF(TYPE(VLOOKUP(VALUE(CONCATENATE(TEXT($G$1,"0"),TEXT($A11,"0"),TEXT(K$3,"0"))),RozpisKK!$AA$3:$AD$76,3,0))&gt;3,"",VLOOKUP(VALUE(CONCATENATE(TEXT($G$1,"0"),TEXT($A11,"0"),TEXT(K$3,"0"))),RozpisKK!$AA$3:$AD$76,3,0))</f>
        <v>3</v>
      </c>
      <c r="I11" s="247">
        <f ca="1">IF(TYPE(VLOOKUP(VALUE(CONCATENATE(TEXT($G$1,"0"),TEXT($A11,"0"),TEXT(K$3,"0"))),RozpisKK!$AA$3:$AD$76,3,0))&gt;3,"",VLOOKUP(VALUE(CONCATENATE(TEXT($G$1,"0"),TEXT($A11,"0"),TEXT(K$3,"0"))),RozpisKK!$AA$3:$AD$76,4,0)+$R$1-1)</f>
        <v>16</v>
      </c>
      <c r="J11" s="248">
        <v>9</v>
      </c>
      <c r="K11" s="249">
        <v>13</v>
      </c>
      <c r="L11" s="246">
        <f>IF(TYPE(VLOOKUP(VALUE(CONCATENATE(TEXT($G$1,"0"),TEXT($A11,"0"),TEXT(O$3,"0"))),RozpisKK!$AA$3:$AD$76,3,0))&gt;3,"",VLOOKUP(VALUE(CONCATENATE(TEXT($G$1,"0"),TEXT($A11,"0"),TEXT(O$3,"0"))),RozpisKK!$AA$3:$AD$76,3,0))</f>
        <v>1</v>
      </c>
      <c r="M11" s="247">
        <f ca="1">IF(TYPE(VLOOKUP(VALUE(CONCATENATE(TEXT($G$1,"0"),TEXT($A11,"0"),TEXT(O$3,"0"))),RozpisKK!$AA$3:$AD$76,3,0))&gt;3,"",VLOOKUP(VALUE(CONCATENATE(TEXT($G$1,"0"),TEXT($A11,"0"),TEXT(O$3,"0"))),RozpisKK!$AA$3:$AD$76,4,0)+$R$1-1)</f>
        <v>18</v>
      </c>
      <c r="N11" s="248">
        <v>10</v>
      </c>
      <c r="O11" s="249">
        <v>9</v>
      </c>
      <c r="P11" s="246">
        <f>IF(TYPE(VLOOKUP(VALUE(CONCATENATE(TEXT($G$1,"0"),TEXT($A11,"0"),TEXT(S$3,"0"))),RozpisKK!$AA$3:$AD$76,3,0))&gt;3,"",VLOOKUP(VALUE(CONCATENATE(TEXT($G$1,"0"),TEXT($A11,"0"),TEXT(S$3,"0"))),RozpisKK!$AA$3:$AD$76,3,0))</f>
        <v>4</v>
      </c>
      <c r="Q11" s="247">
        <f ca="1">IF(TYPE(VLOOKUP(VALUE(CONCATENATE(TEXT($G$1,"0"),TEXT($A11,"0"),TEXT(S$3,"0"))),RozpisKK!$AA$3:$AD$76,3,0))&gt;3,"",VLOOKUP(VALUE(CONCATENATE(TEXT($G$1,"0"),TEXT($A11,"0"),TEXT(S$3,"0"))),RozpisKK!$AA$3:$AD$76,4,0)+$R$1-1)</f>
        <v>17</v>
      </c>
      <c r="R11" s="248">
        <v>5</v>
      </c>
      <c r="S11" s="249">
        <v>13</v>
      </c>
      <c r="T11" s="246">
        <f>IF(TYPE(VLOOKUP(VALUE(CONCATENATE(TEXT($G$1,"0"),TEXT($A11,"0"),TEXT(W$3,"0"))),RozpisKK!$AA$3:$AD$76,3,0))&gt;3,"",VLOOKUP(VALUE(CONCATENATE(TEXT($G$1,"0"),TEXT($A11,"0"),TEXT(W$3,"0"))),RozpisKK!$AA$3:$AD$76,3,0))</f>
        <v>2</v>
      </c>
      <c r="U11" s="247">
        <f ca="1">IF(TYPE(VLOOKUP(VALUE(CONCATENATE(TEXT($G$1,"0"),TEXT($A11,"0"),TEXT(W$3,"0"))),RozpisKK!$AA$3:$AD$76,3,0))&gt;3,"",VLOOKUP(VALUE(CONCATENATE(TEXT($G$1,"0"),TEXT($A11,"0"),TEXT(W$3,"0"))),RozpisKK!$AA$3:$AD$76,4,0)+$R$1-1)</f>
        <v>17</v>
      </c>
      <c r="V11" s="248">
        <v>1</v>
      </c>
      <c r="W11" s="249">
        <v>13</v>
      </c>
      <c r="X11" s="232"/>
      <c r="Y11" s="233"/>
      <c r="Z11" s="234"/>
      <c r="AA11" s="235"/>
      <c r="AB11" s="69"/>
      <c r="AC11" s="69"/>
      <c r="AD11" s="217">
        <f t="shared" si="1"/>
        <v>1</v>
      </c>
      <c r="AE11" s="250">
        <f t="shared" si="2"/>
        <v>1</v>
      </c>
      <c r="AF11" s="251"/>
      <c r="AG11" s="251">
        <f t="shared" si="3"/>
        <v>0</v>
      </c>
      <c r="AH11" s="251">
        <f t="shared" si="4"/>
        <v>0</v>
      </c>
      <c r="AI11" s="251">
        <f t="shared" si="5"/>
        <v>0</v>
      </c>
      <c r="AJ11" s="251">
        <f t="shared" si="6"/>
        <v>1</v>
      </c>
      <c r="AK11" s="251"/>
      <c r="AL11" s="251">
        <f t="shared" si="7"/>
        <v>0</v>
      </c>
      <c r="AM11" s="251">
        <f t="shared" si="8"/>
        <v>0</v>
      </c>
      <c r="AN11" s="251">
        <f t="shared" si="9"/>
        <v>0</v>
      </c>
      <c r="AO11" s="251">
        <f t="shared" si="10"/>
        <v>1</v>
      </c>
      <c r="AP11" s="247">
        <f t="shared" si="11"/>
        <v>-31</v>
      </c>
      <c r="AQ11" s="247">
        <f t="shared" si="12"/>
        <v>30</v>
      </c>
      <c r="AR11" s="252"/>
      <c r="AS11" s="253" t="str">
        <f t="shared" si="13"/>
        <v>110001100100100101069030</v>
      </c>
      <c r="AT11" s="254">
        <f t="shared" si="14"/>
        <v>5</v>
      </c>
      <c r="AU11" s="69"/>
      <c r="AV11" s="217">
        <f t="shared" si="15"/>
        <v>1</v>
      </c>
      <c r="AX11" s="224">
        <f t="shared" si="16"/>
        <v>0</v>
      </c>
      <c r="AY11" s="224">
        <f t="shared" si="17"/>
        <v>0</v>
      </c>
      <c r="AZ11" s="224">
        <f t="shared" si="18"/>
        <v>1</v>
      </c>
      <c r="BA11" s="224">
        <f t="shared" si="19"/>
        <v>0</v>
      </c>
      <c r="BB11" s="224">
        <f t="shared" si="20"/>
        <v>0</v>
      </c>
      <c r="BC11" s="224">
        <f t="shared" si="21"/>
        <v>0</v>
      </c>
      <c r="BD11" s="224">
        <f t="shared" si="22"/>
        <v>1</v>
      </c>
      <c r="BF11" s="224">
        <f t="shared" si="23"/>
        <v>-8</v>
      </c>
      <c r="BG11" s="224">
        <f t="shared" si="24"/>
        <v>-4</v>
      </c>
      <c r="BH11" s="224">
        <f t="shared" si="25"/>
        <v>1</v>
      </c>
      <c r="BI11" s="224">
        <f t="shared" si="26"/>
        <v>-8</v>
      </c>
      <c r="BJ11" s="224">
        <f t="shared" si="27"/>
        <v>-12</v>
      </c>
      <c r="BK11" s="224">
        <f t="shared" si="28"/>
        <v>0</v>
      </c>
      <c r="BL11" s="224">
        <f t="shared" si="29"/>
        <v>-31</v>
      </c>
      <c r="BN11" s="224">
        <f t="shared" si="30"/>
        <v>5</v>
      </c>
      <c r="BO11" s="224">
        <f t="shared" si="31"/>
        <v>9</v>
      </c>
      <c r="BP11" s="224">
        <f t="shared" si="32"/>
        <v>10</v>
      </c>
      <c r="BQ11" s="224">
        <f t="shared" si="33"/>
        <v>5</v>
      </c>
      <c r="BR11" s="224">
        <f t="shared" si="34"/>
        <v>1</v>
      </c>
      <c r="BS11" s="224">
        <f t="shared" si="35"/>
        <v>0</v>
      </c>
      <c r="BT11" s="224">
        <f t="shared" si="36"/>
        <v>30</v>
      </c>
      <c r="BV11" s="224">
        <f t="shared" si="37"/>
        <v>1</v>
      </c>
      <c r="BW11" s="224">
        <f t="shared" si="38"/>
        <v>1</v>
      </c>
      <c r="BX11" s="224">
        <f t="shared" si="39"/>
        <v>0</v>
      </c>
      <c r="BY11" s="224">
        <f t="shared" si="40"/>
        <v>1</v>
      </c>
      <c r="BZ11" s="224">
        <f t="shared" si="41"/>
        <v>1</v>
      </c>
      <c r="CA11" s="224">
        <f t="shared" si="42"/>
        <v>0</v>
      </c>
      <c r="CB11" s="224">
        <f t="shared" si="43"/>
        <v>5</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6</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Carreau Brno - Hodboď Pavel</v>
      </c>
      <c r="C14" s="261" t="str">
        <f t="shared" ref="C14:C17" si="45">CONCATENATE($C$1,A6)</f>
        <v>G1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Orel Řečkovice - Olbort Tomáš</v>
      </c>
      <c r="C15" s="261" t="str">
        <f t="shared" si="45"/>
        <v>G2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HRODE KRUMSÍN - Ptáčková Eliška</v>
      </c>
      <c r="C16" s="261" t="str">
        <f t="shared" si="45"/>
        <v>G3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SK Pétanque Řepy - Holoubek Pavel</v>
      </c>
      <c r="C17" s="261" t="str">
        <f t="shared" si="45"/>
        <v>G4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1</v>
      </c>
      <c r="W21" s="69">
        <f>AD26</f>
        <v>1</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2</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2</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1</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5</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1</v>
      </c>
      <c r="AE26" s="6">
        <f t="shared" si="60"/>
        <v>4</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1</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2</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2</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1</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5</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4</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1</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1</v>
      </c>
      <c r="G39" s="69">
        <f>AD40</f>
        <v>1</v>
      </c>
      <c r="H39" s="69"/>
      <c r="I39" s="69"/>
      <c r="J39" s="69">
        <f>AD41</f>
        <v>1</v>
      </c>
      <c r="K39" s="69">
        <f>AD41</f>
        <v>1</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13</v>
      </c>
      <c r="K40" s="6">
        <f t="shared" ref="K40:K45" si="108">K$39*$AD40*$K6</f>
        <v>11</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1</v>
      </c>
      <c r="AE40" s="6">
        <f t="shared" ref="AE40:AE45" si="118">$AE6</f>
        <v>2</v>
      </c>
      <c r="AX40" s="6">
        <f t="shared" ref="AX40:AX45" si="119">IF(F40&gt;G40,1,0)</f>
        <v>0</v>
      </c>
      <c r="AY40" s="6">
        <f t="shared" ref="AY40:AY45" si="120">IF(J40&gt;K40,1,0)</f>
        <v>1</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1</v>
      </c>
      <c r="BF40" s="6">
        <f t="shared" ref="BF40:BF45" si="126">F40-G40</f>
        <v>0</v>
      </c>
      <c r="BG40" s="6">
        <f t="shared" ref="BG40:BG45" si="127">J40-K40</f>
        <v>2</v>
      </c>
      <c r="BH40" s="6">
        <f t="shared" ref="BH40:BH45" si="128">N40-O40</f>
        <v>0</v>
      </c>
      <c r="BI40" s="6">
        <f t="shared" ref="BI40:BI45" si="129">R40-S40</f>
        <v>0</v>
      </c>
      <c r="BJ40" s="6">
        <f t="shared" ref="BJ40:BJ45" si="130">V40-W40</f>
        <v>0</v>
      </c>
      <c r="BK40" s="6">
        <f t="shared" ref="BK40:BK45" si="131">Z40-AA40</f>
        <v>0</v>
      </c>
      <c r="BL40" s="6">
        <f t="shared" ref="BL40:BL45" si="132">SUM(BF40:BK40)</f>
        <v>2</v>
      </c>
    </row>
    <row r="41" spans="1:64" ht="12" hidden="1" customHeight="1">
      <c r="A41" s="6">
        <f t="shared" si="104"/>
        <v>2</v>
      </c>
      <c r="F41" s="6">
        <f t="shared" si="105"/>
        <v>11</v>
      </c>
      <c r="G41" s="6">
        <f t="shared" si="106"/>
        <v>13</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1</v>
      </c>
      <c r="AE41" s="6">
        <f t="shared" si="118"/>
        <v>2</v>
      </c>
      <c r="AX41" s="6">
        <f t="shared" si="119"/>
        <v>0</v>
      </c>
      <c r="AY41" s="6">
        <f t="shared" si="120"/>
        <v>0</v>
      </c>
      <c r="AZ41" s="6">
        <f t="shared" si="121"/>
        <v>0</v>
      </c>
      <c r="BA41" s="6">
        <f t="shared" si="122"/>
        <v>0</v>
      </c>
      <c r="BB41" s="6">
        <f t="shared" si="123"/>
        <v>0</v>
      </c>
      <c r="BC41" s="6">
        <f t="shared" si="124"/>
        <v>0</v>
      </c>
      <c r="BD41" s="6">
        <f t="shared" si="125"/>
        <v>0</v>
      </c>
      <c r="BF41" s="6">
        <f t="shared" si="126"/>
        <v>-2</v>
      </c>
      <c r="BG41" s="6">
        <f t="shared" si="127"/>
        <v>0</v>
      </c>
      <c r="BH41" s="6">
        <f t="shared" si="128"/>
        <v>0</v>
      </c>
      <c r="BI41" s="6">
        <f t="shared" si="129"/>
        <v>0</v>
      </c>
      <c r="BJ41" s="6">
        <f t="shared" si="130"/>
        <v>0</v>
      </c>
      <c r="BK41" s="6">
        <f t="shared" si="131"/>
        <v>0</v>
      </c>
      <c r="BL41" s="6">
        <f t="shared" si="132"/>
        <v>-2</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1</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5</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4</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1</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1</v>
      </c>
      <c r="O48" s="69">
        <f>AD51</f>
        <v>1</v>
      </c>
      <c r="P48" s="69"/>
      <c r="Q48" s="69"/>
      <c r="R48" s="69">
        <f>AD52</f>
        <v>0</v>
      </c>
      <c r="S48" s="69">
        <f>AD52</f>
        <v>0</v>
      </c>
      <c r="T48" s="69"/>
      <c r="U48" s="69"/>
      <c r="V48" s="69">
        <f>AD53</f>
        <v>0</v>
      </c>
      <c r="W48" s="69">
        <f>AD53</f>
        <v>0</v>
      </c>
      <c r="X48" s="69"/>
      <c r="Y48" s="69"/>
      <c r="Z48" s="69">
        <f>AD54</f>
        <v>1</v>
      </c>
      <c r="AA48" s="69">
        <f>AD54</f>
        <v>1</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2</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2</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9</v>
      </c>
      <c r="AA51" s="6">
        <f t="shared" si="145"/>
        <v>10</v>
      </c>
      <c r="AD51" s="6">
        <f t="shared" si="146"/>
        <v>1</v>
      </c>
      <c r="AE51" s="6">
        <f t="shared" si="147"/>
        <v>1</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-1</v>
      </c>
      <c r="BL51" s="6">
        <f t="shared" si="161"/>
        <v>-1</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5</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4</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10</v>
      </c>
      <c r="O54" s="6">
        <f t="shared" si="139"/>
        <v>9</v>
      </c>
      <c r="R54" s="6">
        <f t="shared" si="140"/>
        <v>0</v>
      </c>
      <c r="S54" s="6">
        <f t="shared" si="141"/>
        <v>0</v>
      </c>
      <c r="V54" s="6">
        <f t="shared" si="142"/>
        <v>0</v>
      </c>
      <c r="W54" s="6">
        <f t="shared" si="143"/>
        <v>0</v>
      </c>
      <c r="Z54" s="6">
        <f t="shared" si="144"/>
        <v>0</v>
      </c>
      <c r="AA54" s="6">
        <f t="shared" si="145"/>
        <v>0</v>
      </c>
      <c r="AD54" s="6">
        <f t="shared" si="146"/>
        <v>1</v>
      </c>
      <c r="AE54" s="6">
        <f t="shared" si="147"/>
        <v>1</v>
      </c>
      <c r="AX54" s="6">
        <f t="shared" si="148"/>
        <v>0</v>
      </c>
      <c r="AY54" s="6">
        <f t="shared" si="149"/>
        <v>0</v>
      </c>
      <c r="AZ54" s="6">
        <f t="shared" si="150"/>
        <v>1</v>
      </c>
      <c r="BA54" s="6">
        <f t="shared" si="151"/>
        <v>0</v>
      </c>
      <c r="BB54" s="6">
        <f t="shared" si="152"/>
        <v>0</v>
      </c>
      <c r="BC54" s="6">
        <f t="shared" si="153"/>
        <v>0</v>
      </c>
      <c r="BD54" s="6">
        <f t="shared" si="154"/>
        <v>1</v>
      </c>
      <c r="BF54" s="6">
        <f t="shared" si="155"/>
        <v>0</v>
      </c>
      <c r="BG54" s="6">
        <f t="shared" si="156"/>
        <v>0</v>
      </c>
      <c r="BH54" s="6">
        <f t="shared" si="157"/>
        <v>1</v>
      </c>
      <c r="BI54" s="6">
        <f t="shared" si="158"/>
        <v>0</v>
      </c>
      <c r="BJ54" s="6">
        <f t="shared" si="159"/>
        <v>0</v>
      </c>
      <c r="BK54" s="6">
        <f t="shared" si="160"/>
        <v>0</v>
      </c>
      <c r="BL54" s="6">
        <f t="shared" si="161"/>
        <v>1</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52" priority="1" operator="equal">
      <formula>0</formula>
    </cfRule>
  </conditionalFormatting>
  <conditionalFormatting sqref="J6:K6 N6:O7 R6:S8 V6:W9 Z6:AA10">
    <cfRule type="cellIs" dxfId="151" priority="2" operator="equal">
      <formula>0</formula>
    </cfRule>
  </conditionalFormatting>
  <conditionalFormatting sqref="B6:B11">
    <cfRule type="expression" dxfId="150" priority="3">
      <formula>IF(C6=1,TRUE,FALSE)</formula>
    </cfRule>
  </conditionalFormatting>
  <conditionalFormatting sqref="B6:B11">
    <cfRule type="expression" dxfId="14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8</v>
      </c>
      <c r="B1" s="175" t="s">
        <v>1794</v>
      </c>
      <c r="C1" s="274" t="s">
        <v>1838</v>
      </c>
      <c r="D1" s="69"/>
      <c r="E1" s="69"/>
      <c r="F1" s="177" t="s">
        <v>1712</v>
      </c>
      <c r="G1" s="178">
        <f>$AV$12</f>
        <v>6</v>
      </c>
      <c r="H1" s="179" t="s">
        <v>1796</v>
      </c>
      <c r="I1" s="69"/>
      <c r="J1" s="69"/>
      <c r="K1" s="69"/>
      <c r="L1" s="69"/>
      <c r="M1" s="69"/>
      <c r="N1" s="69"/>
      <c r="O1" s="69"/>
      <c r="P1" s="180" t="s">
        <v>1797</v>
      </c>
      <c r="Q1" s="74"/>
      <c r="R1" s="181">
        <f ca="1">INDIRECT(ADDRESS(4,A1,1,1,"Hřiště"))</f>
        <v>19</v>
      </c>
      <c r="S1" s="181">
        <f ca="1">INDIRECT(ADDRESS(5,A1,1,1,"Hřiště"))</f>
        <v>21</v>
      </c>
      <c r="T1" s="181"/>
      <c r="U1" s="69"/>
      <c r="V1" s="69"/>
      <c r="W1" s="69"/>
      <c r="X1" s="69"/>
      <c r="Y1" s="69"/>
      <c r="Z1" s="177" t="s">
        <v>1798</v>
      </c>
      <c r="AA1" s="178">
        <f>IF(G1=0,0,CHOOSE(G1,0,1,1,2,2,3))</f>
        <v>3</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Carreau Brno - Grepl Jiří</v>
      </c>
      <c r="C6" s="208">
        <f t="shared" ref="C6:C11" si="0">IF(CB6=0,"",CB6)</f>
        <v>1</v>
      </c>
      <c r="D6" s="209"/>
      <c r="E6" s="210"/>
      <c r="F6" s="211"/>
      <c r="G6" s="212"/>
      <c r="H6" s="213">
        <f>IF(TYPE(VLOOKUP(VALUE(CONCATENATE(TEXT($G$1,"0"),TEXT($A6,"0"),TEXT(K$3,"0"))),RozpisKK!$AA$3:$AD$76,3,0))&gt;3,"",VLOOKUP(VALUE(CONCATENATE(TEXT($G$1,"0"),TEXT($A6,"0"),TEXT(K$3,"0"))),RozpisKK!$AA$3:$AD$76,3,0))</f>
        <v>4</v>
      </c>
      <c r="I6" s="214">
        <f ca="1">IF(TYPE(VLOOKUP(VALUE(CONCATENATE(TEXT($G$1,"0"),TEXT($A6,"0"),TEXT(K$3,"0"))),RozpisKK!$AA$3:$AD$76,3,0))&gt;3,"",VLOOKUP(VALUE(CONCATENATE(TEXT($G$1,"0"),TEXT($A6,"0"),TEXT(K$3,"0"))),RozpisKK!$AA$3:$AD$76,4,0)+$R$1-1)</f>
        <v>21</v>
      </c>
      <c r="J6" s="215">
        <f>$G$7</f>
        <v>8</v>
      </c>
      <c r="K6" s="216">
        <f>$F$7</f>
        <v>11</v>
      </c>
      <c r="L6" s="213">
        <f>IF(TYPE(VLOOKUP(VALUE(CONCATENATE(TEXT($G$1,"0"),TEXT($A6,"0"),TEXT(O$3,"0"))),RozpisKK!$AA$3:$AD$76,3,0))&gt;3,"",VLOOKUP(VALUE(CONCATENATE(TEXT($G$1,"0"),TEXT($A6,"0"),TEXT(O$3,"0"))),RozpisKK!$AA$3:$AD$76,3,0))</f>
        <v>3</v>
      </c>
      <c r="M6" s="214">
        <f ca="1">IF(TYPE(VLOOKUP(VALUE(CONCATENATE(TEXT($G$1,"0"),TEXT($A6,"0"),TEXT(O$3,"0"))),RozpisKK!$AA$3:$AD$76,3,0))&gt;3,"",VLOOKUP(VALUE(CONCATENATE(TEXT($G$1,"0"),TEXT($A6,"0"),TEXT(O$3,"0"))),RozpisKK!$AA$3:$AD$76,4,0)+$R$1-1)</f>
        <v>20</v>
      </c>
      <c r="N6" s="215">
        <f>$G$8</f>
        <v>13</v>
      </c>
      <c r="O6" s="216">
        <f>$F$8</f>
        <v>6</v>
      </c>
      <c r="P6" s="213">
        <f>IF(TYPE(VLOOKUP(VALUE(CONCATENATE(TEXT($G$1,"0"),TEXT($A6,"0"),TEXT(S$3,"0"))),RozpisKK!$AA$3:$AD$76,3,0))&gt;3,"",VLOOKUP(VALUE(CONCATENATE(TEXT($G$1,"0"),TEXT($A6,"0"),TEXT(S$3,"0"))),RozpisKK!$AA$3:$AD$76,3,0))</f>
        <v>2</v>
      </c>
      <c r="Q6" s="214">
        <f ca="1">IF(TYPE(VLOOKUP(VALUE(CONCATENATE(TEXT($G$1,"0"),TEXT($A6,"0"),TEXT(S$3,"0"))),RozpisKK!$AA$3:$AD$76,3,0))&gt;3,"",VLOOKUP(VALUE(CONCATENATE(TEXT($G$1,"0"),TEXT($A6,"0"),TEXT(S$3,"0"))),RozpisKK!$AA$3:$AD$76,4,0)+$R$1-1)</f>
        <v>19</v>
      </c>
      <c r="R6" s="215">
        <f>$G$9</f>
        <v>13</v>
      </c>
      <c r="S6" s="216">
        <f>$F$9</f>
        <v>4</v>
      </c>
      <c r="T6" s="213">
        <f>IF(TYPE(VLOOKUP(VALUE(CONCATENATE(TEXT($G$1,"0"),TEXT($A6,"0"),TEXT(W$3,"0"))),RozpisKK!$AA$3:$AD$76,3,0))&gt;3,"",VLOOKUP(VALUE(CONCATENATE(TEXT($G$1,"0"),TEXT($A6,"0"),TEXT(W$3,"0"))),RozpisKK!$AA$3:$AD$76,3,0))</f>
        <v>1</v>
      </c>
      <c r="U6" s="214">
        <f ca="1">IF(TYPE(VLOOKUP(VALUE(CONCATENATE(TEXT($G$1,"0"),TEXT($A6,"0"),TEXT(W$3,"0"))),RozpisKK!$AA$3:$AD$76,3,0))&gt;3,"",VLOOKUP(VALUE(CONCATENATE(TEXT($G$1,"0"),TEXT($A6,"0"),TEXT(W$3,"0"))),RozpisKK!$AA$3:$AD$76,4,0)+$R$1-1)</f>
        <v>19</v>
      </c>
      <c r="V6" s="215">
        <f>$G$10</f>
        <v>13</v>
      </c>
      <c r="W6" s="216">
        <f>$F$10</f>
        <v>0</v>
      </c>
      <c r="X6" s="213">
        <f>IF(TYPE(VLOOKUP(VALUE(CONCATENATE(TEXT($G$1,"0"),TEXT($A6,"0"),TEXT(AA$3,"0"))),RozpisKK!$AA$3:$AD$76,3,0))&gt;3,"",VLOOKUP(VALUE(CONCATENATE(TEXT($G$1,"0"),TEXT($A6,"0"),TEXT(AA$3,"0"))),RozpisKK!$AA$3:$AD$76,3,0))</f>
        <v>5</v>
      </c>
      <c r="Y6" s="214">
        <f ca="1">IF(TYPE(VLOOKUP(VALUE(CONCATENATE(TEXT($G$1,"0"),TEXT($A6,"0"),TEXT(AA$3,"0"))),RozpisKK!$AA$3:$AD$76,3,0))&gt;3,"",VLOOKUP(VALUE(CONCATENATE(TEXT($G$1,"0"),TEXT($A6,"0"),TEXT(AA$3,"0"))),RozpisKK!$AA$3:$AD$76,4,0)+$R$1-1)</f>
        <v>21</v>
      </c>
      <c r="Z6" s="215">
        <f>$G$11</f>
        <v>13</v>
      </c>
      <c r="AA6" s="216">
        <f>$F$11</f>
        <v>9</v>
      </c>
      <c r="AB6" s="69"/>
      <c r="AC6" s="69"/>
      <c r="AD6" s="217">
        <f t="shared" ref="AD6:AD11" si="1">IF(OR(F6&gt;0,G6&gt;0,J6&gt;0,K6&gt;0,N6&gt;0,O6&gt;0,R6&gt;0,S6&gt;0,V6&gt;0,W6&gt;0,Z6&gt;0,AA6&gt;0),1,0)</f>
        <v>1</v>
      </c>
      <c r="AE6" s="218">
        <f t="shared" ref="AE6:AE11" si="2">SUM(AX6:BC6)</f>
        <v>4</v>
      </c>
      <c r="AF6" s="219"/>
      <c r="AG6" s="219">
        <f t="shared" ref="AG6:AG11" si="3">BD22</f>
        <v>1</v>
      </c>
      <c r="AH6" s="219">
        <f t="shared" ref="AH6:AH11" si="4">BD31</f>
        <v>0</v>
      </c>
      <c r="AI6" s="219">
        <f t="shared" ref="AI6:AI11" si="5">BD40</f>
        <v>0</v>
      </c>
      <c r="AJ6" s="219">
        <f t="shared" ref="AJ6:AJ11" si="6">BD49</f>
        <v>0</v>
      </c>
      <c r="AK6" s="219"/>
      <c r="AL6" s="219">
        <f t="shared" ref="AL6:AL11" si="7">BL22</f>
        <v>9</v>
      </c>
      <c r="AM6" s="219">
        <f t="shared" ref="AM6:AM11" si="8">BL31</f>
        <v>0</v>
      </c>
      <c r="AN6" s="219">
        <f t="shared" ref="AN6:AN11" si="9">BL40</f>
        <v>0</v>
      </c>
      <c r="AO6" s="219">
        <f t="shared" ref="AO6:AO11" si="10">BL49</f>
        <v>0</v>
      </c>
      <c r="AP6" s="220">
        <f t="shared" ref="AP6:AP11" si="11">SUM(BF6:BK6)</f>
        <v>30</v>
      </c>
      <c r="AQ6" s="220">
        <f t="shared" ref="AQ6:AQ11" si="12">SUM(BN6:BS6)</f>
        <v>60</v>
      </c>
      <c r="AR6" s="221"/>
      <c r="AS6" s="222" t="str">
        <f t="shared" ref="AS6:AS11" si="13">CONCATENATE(TEXT(AD6,"0"),TEXT(AE6,"0"),TEXT(AG6,"0"),TEXT(AH6,"0"),TEXT(AI6,"0"),TEXT(AJ6,"0"),TEXT(100+AL6,"000"),TEXT(100+AM6,"000"),TEXT(100+AN6,"000"),TEXT(100+AO6,"000"),TEXT(100+AP6,"000"),TEXT(AQ6,"000"))</f>
        <v>141000109100100100130060</v>
      </c>
      <c r="AT6" s="223">
        <f t="shared" ref="AT6:AT11" si="14">CB6</f>
        <v>1</v>
      </c>
      <c r="AU6" s="69"/>
      <c r="AV6" s="217">
        <f t="shared" ref="AV6:AV11" si="15">IF(OR(B6="",B6=" - "),0,1)</f>
        <v>1</v>
      </c>
      <c r="AX6" s="224">
        <f t="shared" ref="AX6:AX11" si="16">IF(F6&gt;G6,1,0)</f>
        <v>0</v>
      </c>
      <c r="AY6" s="224">
        <f t="shared" ref="AY6:AY11" si="17">IF(J6&gt;K6,1,0)</f>
        <v>0</v>
      </c>
      <c r="AZ6" s="224">
        <f t="shared" ref="AZ6:AZ11" si="18">IF(N6&gt;O6,1,0)</f>
        <v>1</v>
      </c>
      <c r="BA6" s="224">
        <f t="shared" ref="BA6:BA11" si="19">IF(R6&gt;S6,1,0)</f>
        <v>1</v>
      </c>
      <c r="BB6" s="224">
        <f t="shared" ref="BB6:BB11" si="20">IF(V6&gt;W6,1,0)</f>
        <v>1</v>
      </c>
      <c r="BC6" s="224">
        <f t="shared" ref="BC6:BC11" si="21">IF(Z6&gt;AA6,1,0)</f>
        <v>1</v>
      </c>
      <c r="BD6" s="224">
        <f t="shared" ref="BD6:BD11" si="22">SUM(AX6:BC6)</f>
        <v>4</v>
      </c>
      <c r="BF6" s="224">
        <f t="shared" ref="BF6:BF11" si="23">F6-G6</f>
        <v>0</v>
      </c>
      <c r="BG6" s="224">
        <f t="shared" ref="BG6:BG11" si="24">J6-K6</f>
        <v>-3</v>
      </c>
      <c r="BH6" s="224">
        <f t="shared" ref="BH6:BH11" si="25">N6-O6</f>
        <v>7</v>
      </c>
      <c r="BI6" s="224">
        <f t="shared" ref="BI6:BI11" si="26">R6-S6</f>
        <v>9</v>
      </c>
      <c r="BJ6" s="224">
        <f t="shared" ref="BJ6:BJ11" si="27">V6-W6</f>
        <v>13</v>
      </c>
      <c r="BK6" s="224">
        <f t="shared" ref="BK6:BK11" si="28">Z6-AA6</f>
        <v>4</v>
      </c>
      <c r="BL6" s="224">
        <f t="shared" ref="BL6:BL11" si="29">SUM(BF6:BK6)</f>
        <v>30</v>
      </c>
      <c r="BN6" s="224">
        <f t="shared" ref="BN6:BN11" si="30">F6</f>
        <v>0</v>
      </c>
      <c r="BO6" s="224">
        <f t="shared" ref="BO6:BO11" si="31">J6</f>
        <v>8</v>
      </c>
      <c r="BP6" s="224">
        <f t="shared" ref="BP6:BP11" si="32">N6</f>
        <v>13</v>
      </c>
      <c r="BQ6" s="224">
        <f t="shared" ref="BQ6:BQ11" si="33">R6</f>
        <v>13</v>
      </c>
      <c r="BR6" s="224">
        <f t="shared" ref="BR6:BR11" si="34">V6</f>
        <v>13</v>
      </c>
      <c r="BS6" s="224">
        <f t="shared" ref="BS6:BS11" si="35">Z6</f>
        <v>13</v>
      </c>
      <c r="BT6" s="224">
        <f t="shared" ref="BT6:BT11" si="36">SUM(BN6:BS6)</f>
        <v>60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1</v>
      </c>
    </row>
    <row r="7" spans="1:80" ht="36" customHeight="1">
      <c r="A7" s="225">
        <v>2</v>
      </c>
      <c r="B7" s="226" t="str">
        <f>IF(TYPE(VLOOKUP(CONCATENATE($C$1,A7),Skupiny!$A$3:$B$194,2,0))&gt;3," - ",VLOOKUP(CONCATENATE($C$1,A7),Skupiny!$A$3:$B$194,2,0))</f>
        <v>POP Praha - Hodboďová Romana</v>
      </c>
      <c r="C7" s="227">
        <f t="shared" si="0"/>
        <v>3</v>
      </c>
      <c r="D7" s="228">
        <f>IF(TYPE(VLOOKUP(VALUE(CONCATENATE(TEXT($G$1,"0"),TEXT($A7,"0"),TEXT(G$3,"0"))),RozpisKK!$AA$3:$AD$76,3,0))&gt;3,"",VLOOKUP(VALUE(CONCATENATE(TEXT($G$1,"0"),TEXT($A7,"0"),TEXT(G$3,"0"))),RozpisKK!$AA$3:$AD$76,3,0))</f>
        <v>4</v>
      </c>
      <c r="E7" s="229">
        <f ca="1">IF(TYPE(VLOOKUP(VALUE(CONCATENATE(TEXT($G$1,"0"),TEXT($A7,"0"),TEXT(G$3,"0"))),RozpisKK!$AA$3:$AD$76,3,0))&gt;3,"",VLOOKUP(VALUE(CONCATENATE(TEXT($G$1,"0"),TEXT($A7,"0"),TEXT(G$3,"0"))),RozpisKK!$AA$3:$AD$76,4,0)+$R$1-1)</f>
        <v>21</v>
      </c>
      <c r="F7" s="230">
        <v>11</v>
      </c>
      <c r="G7" s="231">
        <v>8</v>
      </c>
      <c r="H7" s="232"/>
      <c r="I7" s="233"/>
      <c r="J7" s="234"/>
      <c r="K7" s="235"/>
      <c r="L7" s="236">
        <f>IF(TYPE(VLOOKUP(VALUE(CONCATENATE(TEXT($G$1,"0"),TEXT($A7,"0"),TEXT(O$3,"0"))),RozpisKK!$AA$3:$AD$76,3,0))&gt;3,"",VLOOKUP(VALUE(CONCATENATE(TEXT($G$1,"0"),TEXT($A7,"0"),TEXT(O$3,"0"))),RozpisKK!$AA$3:$AD$76,3,0))</f>
        <v>2</v>
      </c>
      <c r="M7" s="237">
        <f ca="1">IF(TYPE(VLOOKUP(VALUE(CONCATENATE(TEXT($G$1,"0"),TEXT($A7,"0"),TEXT(O$3,"0"))),RozpisKK!$AA$3:$AD$76,3,0))&gt;3,"",VLOOKUP(VALUE(CONCATENATE(TEXT($G$1,"0"),TEXT($A7,"0"),TEXT(O$3,"0"))),RozpisKK!$AA$3:$AD$76,4,0)+$R$1-1)</f>
        <v>21</v>
      </c>
      <c r="N7" s="238">
        <f>$K$8</f>
        <v>13</v>
      </c>
      <c r="O7" s="216">
        <f>$J$8</f>
        <v>0</v>
      </c>
      <c r="P7" s="236">
        <f>IF(TYPE(VLOOKUP(VALUE(CONCATENATE(TEXT($G$1,"0"),TEXT($A7,"0"),TEXT(S$3,"0"))),RozpisKK!$AA$3:$AD$76,3,0))&gt;3,"",VLOOKUP(VALUE(CONCATENATE(TEXT($G$1,"0"),TEXT($A7,"0"),TEXT(S$3,"0"))),RozpisKK!$AA$3:$AD$76,3,0))</f>
        <v>1</v>
      </c>
      <c r="Q7" s="237">
        <f ca="1">IF(TYPE(VLOOKUP(VALUE(CONCATENATE(TEXT($G$1,"0"),TEXT($A7,"0"),TEXT(S$3,"0"))),RozpisKK!$AA$3:$AD$76,3,0))&gt;3,"",VLOOKUP(VALUE(CONCATENATE(TEXT($G$1,"0"),TEXT($A7,"0"),TEXT(S$3,"0"))),RozpisKK!$AA$3:$AD$76,4,0)+$R$1-1)</f>
        <v>20</v>
      </c>
      <c r="R7" s="238">
        <f>$K$9</f>
        <v>6</v>
      </c>
      <c r="S7" s="216">
        <f>$J$9</f>
        <v>13</v>
      </c>
      <c r="T7" s="236">
        <f>IF(TYPE(VLOOKUP(VALUE(CONCATENATE(TEXT($G$1,"0"),TEXT($A7,"0"),TEXT(W$3,"0"))),RozpisKK!$AA$3:$AD$76,3,0))&gt;3,"",VLOOKUP(VALUE(CONCATENATE(TEXT($G$1,"0"),TEXT($A7,"0"),TEXT(W$3,"0"))),RozpisKK!$AA$3:$AD$76,3,0))</f>
        <v>5</v>
      </c>
      <c r="U7" s="237">
        <f ca="1">IF(TYPE(VLOOKUP(VALUE(CONCATENATE(TEXT($G$1,"0"),TEXT($A7,"0"),TEXT(W$3,"0"))),RozpisKK!$AA$3:$AD$76,3,0))&gt;3,"",VLOOKUP(VALUE(CONCATENATE(TEXT($G$1,"0"),TEXT($A7,"0"),TEXT(W$3,"0"))),RozpisKK!$AA$3:$AD$76,4,0)+$R$1-1)</f>
        <v>20</v>
      </c>
      <c r="V7" s="238">
        <f>$K$10</f>
        <v>13</v>
      </c>
      <c r="W7" s="216">
        <f>$J$10</f>
        <v>1</v>
      </c>
      <c r="X7" s="236">
        <f>IF(TYPE(VLOOKUP(VALUE(CONCATENATE(TEXT($G$1,"0"),TEXT($A7,"0"),TEXT(AA$3,"0"))),RozpisKK!$AA$3:$AD$76,3,0))&gt;3,"",VLOOKUP(VALUE(CONCATENATE(TEXT($G$1,"0"),TEXT($A7,"0"),TEXT(AA$3,"0"))),RozpisKK!$AA$3:$AD$76,3,0))</f>
        <v>3</v>
      </c>
      <c r="Y7" s="237">
        <f ca="1">IF(TYPE(VLOOKUP(VALUE(CONCATENATE(TEXT($G$1,"0"),TEXT($A7,"0"),TEXT(AA$3,"0"))),RozpisKK!$AA$3:$AD$76,3,0))&gt;3,"",VLOOKUP(VALUE(CONCATENATE(TEXT($G$1,"0"),TEXT($A7,"0"),TEXT(AA$3,"0"))),RozpisKK!$AA$3:$AD$76,4,0)+$R$1-1)</f>
        <v>19</v>
      </c>
      <c r="Z7" s="238">
        <f>$K$11</f>
        <v>9</v>
      </c>
      <c r="AA7" s="216">
        <f>$J$11</f>
        <v>10</v>
      </c>
      <c r="AB7" s="69"/>
      <c r="AC7" s="69"/>
      <c r="AD7" s="217">
        <f t="shared" si="1"/>
        <v>1</v>
      </c>
      <c r="AE7" s="239">
        <f t="shared" si="2"/>
        <v>3</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20</v>
      </c>
      <c r="AQ7" s="220">
        <f t="shared" si="12"/>
        <v>52</v>
      </c>
      <c r="AR7" s="241"/>
      <c r="AS7" s="242" t="str">
        <f t="shared" si="13"/>
        <v>130000100100100100120052</v>
      </c>
      <c r="AT7" s="243">
        <f t="shared" si="14"/>
        <v>3</v>
      </c>
      <c r="AU7" s="69"/>
      <c r="AV7" s="217">
        <f t="shared" si="15"/>
        <v>1</v>
      </c>
      <c r="AX7" s="224">
        <f t="shared" si="16"/>
        <v>1</v>
      </c>
      <c r="AY7" s="224">
        <f t="shared" si="17"/>
        <v>0</v>
      </c>
      <c r="AZ7" s="224">
        <f t="shared" si="18"/>
        <v>1</v>
      </c>
      <c r="BA7" s="224">
        <f t="shared" si="19"/>
        <v>0</v>
      </c>
      <c r="BB7" s="224">
        <f t="shared" si="20"/>
        <v>1</v>
      </c>
      <c r="BC7" s="224">
        <f t="shared" si="21"/>
        <v>0</v>
      </c>
      <c r="BD7" s="224">
        <f t="shared" si="22"/>
        <v>3</v>
      </c>
      <c r="BF7" s="224">
        <f t="shared" si="23"/>
        <v>3</v>
      </c>
      <c r="BG7" s="224">
        <f t="shared" si="24"/>
        <v>0</v>
      </c>
      <c r="BH7" s="224">
        <f t="shared" si="25"/>
        <v>13</v>
      </c>
      <c r="BI7" s="224">
        <f t="shared" si="26"/>
        <v>-7</v>
      </c>
      <c r="BJ7" s="224">
        <f t="shared" si="27"/>
        <v>12</v>
      </c>
      <c r="BK7" s="224">
        <f t="shared" si="28"/>
        <v>-1</v>
      </c>
      <c r="BL7" s="224">
        <f t="shared" si="29"/>
        <v>20</v>
      </c>
      <c r="BN7" s="224">
        <f t="shared" si="30"/>
        <v>11</v>
      </c>
      <c r="BO7" s="224">
        <f t="shared" si="31"/>
        <v>0</v>
      </c>
      <c r="BP7" s="224">
        <f t="shared" si="32"/>
        <v>13</v>
      </c>
      <c r="BQ7" s="224">
        <f t="shared" si="33"/>
        <v>6</v>
      </c>
      <c r="BR7" s="224">
        <f t="shared" si="34"/>
        <v>13</v>
      </c>
      <c r="BS7" s="224">
        <f t="shared" si="35"/>
        <v>9</v>
      </c>
      <c r="BT7" s="224">
        <f t="shared" si="36"/>
        <v>52</v>
      </c>
      <c r="BV7" s="224">
        <f t="shared" si="37"/>
        <v>1</v>
      </c>
      <c r="BW7" s="224">
        <f t="shared" si="38"/>
        <v>0</v>
      </c>
      <c r="BX7" s="224">
        <f t="shared" si="39"/>
        <v>0</v>
      </c>
      <c r="BY7" s="224">
        <f t="shared" si="40"/>
        <v>1</v>
      </c>
      <c r="BZ7" s="224">
        <f t="shared" si="41"/>
        <v>0</v>
      </c>
      <c r="CA7" s="224">
        <f t="shared" si="42"/>
        <v>0</v>
      </c>
      <c r="CB7" s="224">
        <f t="shared" si="43"/>
        <v>3</v>
      </c>
    </row>
    <row r="8" spans="1:80" ht="36" customHeight="1">
      <c r="A8" s="225">
        <v>3</v>
      </c>
      <c r="B8" s="226" t="str">
        <f>IF(TYPE(VLOOKUP(CONCATENATE($C$1,A8),Skupiny!$A$3:$B$194,2,0))&gt;3," - ",VLOOKUP(CONCATENATE($C$1,A8),Skupiny!$A$3:$B$194,2,0))</f>
        <v>HRODE KRUMSÍN - Drmola Michal</v>
      </c>
      <c r="C8" s="227">
        <f t="shared" si="0"/>
        <v>5</v>
      </c>
      <c r="D8" s="228">
        <f>IF(TYPE(VLOOKUP(VALUE(CONCATENATE(TEXT($G$1,"0"),TEXT($A8,"0"),TEXT(G$3,"0"))),RozpisKK!$AA$3:$AD$76,3,0))&gt;3,"",VLOOKUP(VALUE(CONCATENATE(TEXT($G$1,"0"),TEXT($A8,"0"),TEXT(G$3,"0"))),RozpisKK!$AA$3:$AD$76,3,0))</f>
        <v>3</v>
      </c>
      <c r="E8" s="229">
        <f ca="1">IF(TYPE(VLOOKUP(VALUE(CONCATENATE(TEXT($G$1,"0"),TEXT($A8,"0"),TEXT(G$3,"0"))),RozpisKK!$AA$3:$AD$76,3,0))&gt;3,"",VLOOKUP(VALUE(CONCATENATE(TEXT($G$1,"0"),TEXT($A8,"0"),TEXT(G$3,"0"))),RozpisKK!$AA$3:$AD$76,4,0)+$R$1-1)</f>
        <v>20</v>
      </c>
      <c r="F8" s="230">
        <v>6</v>
      </c>
      <c r="G8" s="231">
        <v>13</v>
      </c>
      <c r="H8" s="228">
        <f>IF(TYPE(VLOOKUP(VALUE(CONCATENATE(TEXT($G$1,"0"),TEXT($A8,"0"),TEXT(K$3,"0"))),RozpisKK!$AA$3:$AD$76,3,0))&gt;3,"",VLOOKUP(VALUE(CONCATENATE(TEXT($G$1,"0"),TEXT($A8,"0"),TEXT(K$3,"0"))),RozpisKK!$AA$3:$AD$76,3,0))</f>
        <v>2</v>
      </c>
      <c r="I8" s="229">
        <f ca="1">IF(TYPE(VLOOKUP(VALUE(CONCATENATE(TEXT($G$1,"0"),TEXT($A8,"0"),TEXT(K$3,"0"))),RozpisKK!$AA$3:$AD$76,3,0))&gt;3,"",VLOOKUP(VALUE(CONCATENATE(TEXT($G$1,"0"),TEXT($A8,"0"),TEXT(K$3,"0"))),RozpisKK!$AA$3:$AD$76,4,0)+$R$1-1)</f>
        <v>21</v>
      </c>
      <c r="J8" s="230"/>
      <c r="K8" s="231">
        <v>13</v>
      </c>
      <c r="L8" s="232"/>
      <c r="M8" s="233"/>
      <c r="N8" s="234"/>
      <c r="O8" s="235"/>
      <c r="P8" s="236">
        <f>IF(TYPE(VLOOKUP(VALUE(CONCATENATE(TEXT($G$1,"0"),TEXT($A8,"0"),TEXT(S$3,"0"))),RozpisKK!$AA$3:$AD$76,3,0))&gt;3,"",VLOOKUP(VALUE(CONCATENATE(TEXT($G$1,"0"),TEXT($A8,"0"),TEXT(S$3,"0"))),RozpisKK!$AA$3:$AD$76,3,0))</f>
        <v>5</v>
      </c>
      <c r="Q8" s="237">
        <f ca="1">IF(TYPE(VLOOKUP(VALUE(CONCATENATE(TEXT($G$1,"0"),TEXT($A8,"0"),TEXT(S$3,"0"))),RozpisKK!$AA$3:$AD$76,3,0))&gt;3,"",VLOOKUP(VALUE(CONCATENATE(TEXT($G$1,"0"),TEXT($A8,"0"),TEXT(S$3,"0"))),RozpisKK!$AA$3:$AD$76,4,0)+$R$1-1)</f>
        <v>19</v>
      </c>
      <c r="R8" s="238">
        <f>$O$9</f>
        <v>2</v>
      </c>
      <c r="S8" s="216">
        <f>$N$9</f>
        <v>13</v>
      </c>
      <c r="T8" s="236">
        <f>IF(TYPE(VLOOKUP(VALUE(CONCATENATE(TEXT($G$1,"0"),TEXT($A8,"0"),TEXT(W$3,"0"))),RozpisKK!$AA$3:$AD$76,3,0))&gt;3,"",VLOOKUP(VALUE(CONCATENATE(TEXT($G$1,"0"),TEXT($A8,"0"),TEXT(W$3,"0"))),RozpisKK!$AA$3:$AD$76,3,0))</f>
        <v>4</v>
      </c>
      <c r="U8" s="237">
        <f ca="1">IF(TYPE(VLOOKUP(VALUE(CONCATENATE(TEXT($G$1,"0"),TEXT($A8,"0"),TEXT(W$3,"0"))),RozpisKK!$AA$3:$AD$76,3,0))&gt;3,"",VLOOKUP(VALUE(CONCATENATE(TEXT($G$1,"0"),TEXT($A8,"0"),TEXT(W$3,"0"))),RozpisKK!$AA$3:$AD$76,4,0)+$R$1-1)</f>
        <v>19</v>
      </c>
      <c r="V8" s="238">
        <f>$O$10</f>
        <v>13</v>
      </c>
      <c r="W8" s="216">
        <f>$N$10</f>
        <v>7</v>
      </c>
      <c r="X8" s="236">
        <f>IF(TYPE(VLOOKUP(VALUE(CONCATENATE(TEXT($G$1,"0"),TEXT($A8,"0"),TEXT(AA$3,"0"))),RozpisKK!$AA$3:$AD$76,3,0))&gt;3,"",VLOOKUP(VALUE(CONCATENATE(TEXT($G$1,"0"),TEXT($A8,"0"),TEXT(AA$3,"0"))),RozpisKK!$AA$3:$AD$76,3,0))</f>
        <v>1</v>
      </c>
      <c r="Y8" s="237">
        <f ca="1">IF(TYPE(VLOOKUP(VALUE(CONCATENATE(TEXT($G$1,"0"),TEXT($A8,"0"),TEXT(AA$3,"0"))),RozpisKK!$AA$3:$AD$76,3,0))&gt;3,"",VLOOKUP(VALUE(CONCATENATE(TEXT($G$1,"0"),TEXT($A8,"0"),TEXT(AA$3,"0"))),RozpisKK!$AA$3:$AD$76,4,0)+$R$1-1)</f>
        <v>21</v>
      </c>
      <c r="Z8" s="238">
        <f>$O$11</f>
        <v>6</v>
      </c>
      <c r="AA8" s="216">
        <f>$N$11</f>
        <v>9</v>
      </c>
      <c r="AB8" s="69"/>
      <c r="AC8" s="69"/>
      <c r="AD8" s="217">
        <f t="shared" si="1"/>
        <v>1</v>
      </c>
      <c r="AE8" s="239">
        <f t="shared" si="2"/>
        <v>1</v>
      </c>
      <c r="AF8" s="240"/>
      <c r="AG8" s="240">
        <f t="shared" si="3"/>
        <v>0</v>
      </c>
      <c r="AH8" s="240">
        <f t="shared" si="4"/>
        <v>0</v>
      </c>
      <c r="AI8" s="240">
        <f t="shared" si="5"/>
        <v>0</v>
      </c>
      <c r="AJ8" s="240">
        <f t="shared" si="6"/>
        <v>1</v>
      </c>
      <c r="AK8" s="240"/>
      <c r="AL8" s="219">
        <f t="shared" si="7"/>
        <v>0</v>
      </c>
      <c r="AM8" s="219">
        <f t="shared" si="8"/>
        <v>0</v>
      </c>
      <c r="AN8" s="219">
        <f t="shared" si="9"/>
        <v>0</v>
      </c>
      <c r="AO8" s="219">
        <f t="shared" si="10"/>
        <v>6</v>
      </c>
      <c r="AP8" s="220">
        <f t="shared" si="11"/>
        <v>-28</v>
      </c>
      <c r="AQ8" s="220">
        <f t="shared" si="12"/>
        <v>27</v>
      </c>
      <c r="AR8" s="241"/>
      <c r="AS8" s="242" t="str">
        <f t="shared" si="13"/>
        <v>110001100100100106072027</v>
      </c>
      <c r="AT8" s="243">
        <f t="shared" si="14"/>
        <v>5</v>
      </c>
      <c r="AU8" s="69"/>
      <c r="AV8" s="217">
        <f t="shared" si="15"/>
        <v>1</v>
      </c>
      <c r="AX8" s="224">
        <f t="shared" si="16"/>
        <v>0</v>
      </c>
      <c r="AY8" s="224">
        <f t="shared" si="17"/>
        <v>0</v>
      </c>
      <c r="AZ8" s="224">
        <f t="shared" si="18"/>
        <v>0</v>
      </c>
      <c r="BA8" s="224">
        <f t="shared" si="19"/>
        <v>0</v>
      </c>
      <c r="BB8" s="224">
        <f t="shared" si="20"/>
        <v>1</v>
      </c>
      <c r="BC8" s="224">
        <f t="shared" si="21"/>
        <v>0</v>
      </c>
      <c r="BD8" s="224">
        <f t="shared" si="22"/>
        <v>1</v>
      </c>
      <c r="BF8" s="224">
        <f t="shared" si="23"/>
        <v>-7</v>
      </c>
      <c r="BG8" s="224">
        <f t="shared" si="24"/>
        <v>-13</v>
      </c>
      <c r="BH8" s="224">
        <f t="shared" si="25"/>
        <v>0</v>
      </c>
      <c r="BI8" s="224">
        <f t="shared" si="26"/>
        <v>-11</v>
      </c>
      <c r="BJ8" s="224">
        <f t="shared" si="27"/>
        <v>6</v>
      </c>
      <c r="BK8" s="224">
        <f t="shared" si="28"/>
        <v>-3</v>
      </c>
      <c r="BL8" s="224">
        <f t="shared" si="29"/>
        <v>-28</v>
      </c>
      <c r="BN8" s="224">
        <f t="shared" si="30"/>
        <v>6</v>
      </c>
      <c r="BO8" s="224">
        <f t="shared" si="31"/>
        <v>0</v>
      </c>
      <c r="BP8" s="224">
        <f t="shared" si="32"/>
        <v>0</v>
      </c>
      <c r="BQ8" s="224">
        <f t="shared" si="33"/>
        <v>2</v>
      </c>
      <c r="BR8" s="224">
        <f t="shared" si="34"/>
        <v>13</v>
      </c>
      <c r="BS8" s="224">
        <f t="shared" si="35"/>
        <v>6</v>
      </c>
      <c r="BT8" s="224">
        <f t="shared" si="36"/>
        <v>27</v>
      </c>
      <c r="BV8" s="224">
        <f t="shared" si="37"/>
        <v>1</v>
      </c>
      <c r="BW8" s="224">
        <f t="shared" si="38"/>
        <v>1</v>
      </c>
      <c r="BX8" s="224">
        <f t="shared" si="39"/>
        <v>0</v>
      </c>
      <c r="BY8" s="224">
        <f t="shared" si="40"/>
        <v>1</v>
      </c>
      <c r="BZ8" s="224">
        <f t="shared" si="41"/>
        <v>0</v>
      </c>
      <c r="CA8" s="224">
        <f t="shared" si="42"/>
        <v>1</v>
      </c>
      <c r="CB8" s="224">
        <f t="shared" si="43"/>
        <v>5</v>
      </c>
    </row>
    <row r="9" spans="1:80" ht="36" customHeight="1">
      <c r="A9" s="225">
        <v>4</v>
      </c>
      <c r="B9" s="226" t="str">
        <f>IF(TYPE(VLOOKUP(CONCATENATE($C$1,A9),Skupiny!$A$3:$B$194,2,0))&gt;3," - ",VLOOKUP(CONCATENATE($C$1,A9),Skupiny!$A$3:$B$194,2,0))</f>
        <v>SOKOL Staříč - Šimíček Ladislav</v>
      </c>
      <c r="C9" s="227">
        <f t="shared" si="0"/>
        <v>2</v>
      </c>
      <c r="D9" s="228">
        <f>IF(TYPE(VLOOKUP(VALUE(CONCATENATE(TEXT($G$1,"0"),TEXT($A9,"0"),TEXT(G$3,"0"))),RozpisKK!$AA$3:$AD$76,3,0))&gt;3,"",VLOOKUP(VALUE(CONCATENATE(TEXT($G$1,"0"),TEXT($A9,"0"),TEXT(G$3,"0"))),RozpisKK!$AA$3:$AD$76,3,0))</f>
        <v>2</v>
      </c>
      <c r="E9" s="229">
        <f ca="1">IF(TYPE(VLOOKUP(VALUE(CONCATENATE(TEXT($G$1,"0"),TEXT($A9,"0"),TEXT(G$3,"0"))),RozpisKK!$AA$3:$AD$76,3,0))&gt;3,"",VLOOKUP(VALUE(CONCATENATE(TEXT($G$1,"0"),TEXT($A9,"0"),TEXT(G$3,"0"))),RozpisKK!$AA$3:$AD$76,4,0)+$R$1-1)</f>
        <v>19</v>
      </c>
      <c r="F9" s="230">
        <v>4</v>
      </c>
      <c r="G9" s="231">
        <v>13</v>
      </c>
      <c r="H9" s="228">
        <f>IF(TYPE(VLOOKUP(VALUE(CONCATENATE(TEXT($G$1,"0"),TEXT($A9,"0"),TEXT(K$3,"0"))),RozpisKK!$AA$3:$AD$76,3,0))&gt;3,"",VLOOKUP(VALUE(CONCATENATE(TEXT($G$1,"0"),TEXT($A9,"0"),TEXT(K$3,"0"))),RozpisKK!$AA$3:$AD$76,3,0))</f>
        <v>1</v>
      </c>
      <c r="I9" s="229">
        <f ca="1">IF(TYPE(VLOOKUP(VALUE(CONCATENATE(TEXT($G$1,"0"),TEXT($A9,"0"),TEXT(K$3,"0"))),RozpisKK!$AA$3:$AD$76,3,0))&gt;3,"",VLOOKUP(VALUE(CONCATENATE(TEXT($G$1,"0"),TEXT($A9,"0"),TEXT(K$3,"0"))),RozpisKK!$AA$3:$AD$76,4,0)+$R$1-1)</f>
        <v>20</v>
      </c>
      <c r="J9" s="230">
        <v>13</v>
      </c>
      <c r="K9" s="231">
        <v>6</v>
      </c>
      <c r="L9" s="228">
        <f>IF(TYPE(VLOOKUP(VALUE(CONCATENATE(TEXT($G$1,"0"),TEXT($A9,"0"),TEXT(O$3,"0"))),RozpisKK!$AA$3:$AD$76,3,0))&gt;3,"",VLOOKUP(VALUE(CONCATENATE(TEXT($G$1,"0"),TEXT($A9,"0"),TEXT(O$3,"0"))),RozpisKK!$AA$3:$AD$76,3,0))</f>
        <v>5</v>
      </c>
      <c r="M9" s="229">
        <f ca="1">IF(TYPE(VLOOKUP(VALUE(CONCATENATE(TEXT($G$1,"0"),TEXT($A9,"0"),TEXT(O$3,"0"))),RozpisKK!$AA$3:$AD$76,3,0))&gt;3,"",VLOOKUP(VALUE(CONCATENATE(TEXT($G$1,"0"),TEXT($A9,"0"),TEXT(O$3,"0"))),RozpisKK!$AA$3:$AD$76,4,0)+$R$1-1)</f>
        <v>19</v>
      </c>
      <c r="N9" s="230">
        <v>13</v>
      </c>
      <c r="O9" s="231">
        <v>2</v>
      </c>
      <c r="P9" s="232"/>
      <c r="Q9" s="233"/>
      <c r="R9" s="234"/>
      <c r="S9" s="235"/>
      <c r="T9" s="236">
        <f>IF(TYPE(VLOOKUP(VALUE(CONCATENATE(TEXT($G$1,"0"),TEXT($A9,"0"),TEXT(W$3,"0"))),RozpisKK!$AA$3:$AD$76,3,0))&gt;3,"",VLOOKUP(VALUE(CONCATENATE(TEXT($G$1,"0"),TEXT($A9,"0"),TEXT(W$3,"0"))),RozpisKK!$AA$3:$AD$76,3,0))</f>
        <v>3</v>
      </c>
      <c r="U9" s="237">
        <f ca="1">IF(TYPE(VLOOKUP(VALUE(CONCATENATE(TEXT($G$1,"0"),TEXT($A9,"0"),TEXT(W$3,"0"))),RozpisKK!$AA$3:$AD$76,3,0))&gt;3,"",VLOOKUP(VALUE(CONCATENATE(TEXT($G$1,"0"),TEXT($A9,"0"),TEXT(W$3,"0"))),RozpisKK!$AA$3:$AD$76,4,0)+$R$1-1)</f>
        <v>21</v>
      </c>
      <c r="V9" s="238">
        <f>$S$10</f>
        <v>13</v>
      </c>
      <c r="W9" s="216">
        <f>$R$10</f>
        <v>5</v>
      </c>
      <c r="X9" s="236">
        <f>IF(TYPE(VLOOKUP(VALUE(CONCATENATE(TEXT($G$1,"0"),TEXT($A9,"0"),TEXT(AA$3,"0"))),RozpisKK!$AA$3:$AD$76,3,0))&gt;3,"",VLOOKUP(VALUE(CONCATENATE(TEXT($G$1,"0"),TEXT($A9,"0"),TEXT(AA$3,"0"))),RozpisKK!$AA$3:$AD$76,3,0))</f>
        <v>4</v>
      </c>
      <c r="Y9" s="237">
        <f ca="1">IF(TYPE(VLOOKUP(VALUE(CONCATENATE(TEXT($G$1,"0"),TEXT($A9,"0"),TEXT(AA$3,"0"))),RozpisKK!$AA$3:$AD$76,3,0))&gt;3,"",VLOOKUP(VALUE(CONCATENATE(TEXT($G$1,"0"),TEXT($A9,"0"),TEXT(AA$3,"0"))),RozpisKK!$AA$3:$AD$76,4,0)+$R$1-1)</f>
        <v>20</v>
      </c>
      <c r="Z9" s="238">
        <f>$S$11</f>
        <v>13</v>
      </c>
      <c r="AA9" s="216">
        <f>$R$11</f>
        <v>1</v>
      </c>
      <c r="AB9" s="69"/>
      <c r="AC9" s="69"/>
      <c r="AD9" s="217">
        <f t="shared" si="1"/>
        <v>1</v>
      </c>
      <c r="AE9" s="239">
        <f t="shared" si="2"/>
        <v>4</v>
      </c>
      <c r="AF9" s="240"/>
      <c r="AG9" s="240">
        <f t="shared" si="3"/>
        <v>0</v>
      </c>
      <c r="AH9" s="240">
        <f t="shared" si="4"/>
        <v>0</v>
      </c>
      <c r="AI9" s="240">
        <f t="shared" si="5"/>
        <v>0</v>
      </c>
      <c r="AJ9" s="240">
        <f t="shared" si="6"/>
        <v>0</v>
      </c>
      <c r="AK9" s="240"/>
      <c r="AL9" s="219">
        <f t="shared" si="7"/>
        <v>-9</v>
      </c>
      <c r="AM9" s="219">
        <f t="shared" si="8"/>
        <v>0</v>
      </c>
      <c r="AN9" s="219">
        <f t="shared" si="9"/>
        <v>0</v>
      </c>
      <c r="AO9" s="219">
        <f t="shared" si="10"/>
        <v>0</v>
      </c>
      <c r="AP9" s="220">
        <f t="shared" si="11"/>
        <v>29</v>
      </c>
      <c r="AQ9" s="220">
        <f t="shared" si="12"/>
        <v>56</v>
      </c>
      <c r="AR9" s="241"/>
      <c r="AS9" s="242" t="str">
        <f t="shared" si="13"/>
        <v>140000091100100100129056</v>
      </c>
      <c r="AT9" s="243">
        <f t="shared" si="14"/>
        <v>2</v>
      </c>
      <c r="AU9" s="69"/>
      <c r="AV9" s="217">
        <f t="shared" si="15"/>
        <v>1</v>
      </c>
      <c r="AX9" s="224">
        <f t="shared" si="16"/>
        <v>0</v>
      </c>
      <c r="AY9" s="224">
        <f t="shared" si="17"/>
        <v>1</v>
      </c>
      <c r="AZ9" s="224">
        <f t="shared" si="18"/>
        <v>1</v>
      </c>
      <c r="BA9" s="224">
        <f t="shared" si="19"/>
        <v>0</v>
      </c>
      <c r="BB9" s="224">
        <f t="shared" si="20"/>
        <v>1</v>
      </c>
      <c r="BC9" s="224">
        <f t="shared" si="21"/>
        <v>1</v>
      </c>
      <c r="BD9" s="224">
        <f t="shared" si="22"/>
        <v>4</v>
      </c>
      <c r="BF9" s="224">
        <f t="shared" si="23"/>
        <v>-9</v>
      </c>
      <c r="BG9" s="224">
        <f t="shared" si="24"/>
        <v>7</v>
      </c>
      <c r="BH9" s="224">
        <f t="shared" si="25"/>
        <v>11</v>
      </c>
      <c r="BI9" s="224">
        <f t="shared" si="26"/>
        <v>0</v>
      </c>
      <c r="BJ9" s="224">
        <f t="shared" si="27"/>
        <v>8</v>
      </c>
      <c r="BK9" s="224">
        <f t="shared" si="28"/>
        <v>12</v>
      </c>
      <c r="BL9" s="224">
        <f t="shared" si="29"/>
        <v>29</v>
      </c>
      <c r="BN9" s="224">
        <f t="shared" si="30"/>
        <v>4</v>
      </c>
      <c r="BO9" s="224">
        <f t="shared" si="31"/>
        <v>13</v>
      </c>
      <c r="BP9" s="224">
        <f t="shared" si="32"/>
        <v>13</v>
      </c>
      <c r="BQ9" s="224">
        <f t="shared" si="33"/>
        <v>0</v>
      </c>
      <c r="BR9" s="224">
        <f t="shared" si="34"/>
        <v>13</v>
      </c>
      <c r="BS9" s="224">
        <f t="shared" si="35"/>
        <v>13</v>
      </c>
      <c r="BT9" s="224">
        <f t="shared" si="36"/>
        <v>56</v>
      </c>
      <c r="BV9" s="224">
        <f t="shared" si="37"/>
        <v>1</v>
      </c>
      <c r="BW9" s="224">
        <f t="shared" si="38"/>
        <v>0</v>
      </c>
      <c r="BX9" s="224">
        <f t="shared" si="39"/>
        <v>0</v>
      </c>
      <c r="BY9" s="224">
        <f t="shared" si="40"/>
        <v>0</v>
      </c>
      <c r="BZ9" s="224">
        <f t="shared" si="41"/>
        <v>0</v>
      </c>
      <c r="CA9" s="224">
        <f t="shared" si="42"/>
        <v>0</v>
      </c>
      <c r="CB9" s="224">
        <f t="shared" si="43"/>
        <v>2</v>
      </c>
    </row>
    <row r="10" spans="1:80" ht="36" customHeight="1">
      <c r="A10" s="225">
        <v>5</v>
      </c>
      <c r="B10" s="226" t="str">
        <f>IF(TYPE(VLOOKUP(CONCATENATE($C$1,A10),Skupiny!$A$3:$B$194,2,0))&gt;3," - ",VLOOKUP(CONCATENATE($C$1,A10),Skupiny!$A$3:$B$194,2,0))</f>
        <v>PK Polouvsí - Rusek Luboš</v>
      </c>
      <c r="C10" s="227">
        <f t="shared" si="0"/>
        <v>6</v>
      </c>
      <c r="D10" s="228">
        <f>IF(TYPE(VLOOKUP(VALUE(CONCATENATE(TEXT($G$1,"0"),TEXT($A10,"0"),TEXT(G$3,"0"))),RozpisKK!$AA$3:$AD$76,3,0))&gt;3,"",VLOOKUP(VALUE(CONCATENATE(TEXT($G$1,"0"),TEXT($A10,"0"),TEXT(G$3,"0"))),RozpisKK!$AA$3:$AD$76,3,0))</f>
        <v>1</v>
      </c>
      <c r="E10" s="229">
        <f ca="1">IF(TYPE(VLOOKUP(VALUE(CONCATENATE(TEXT($G$1,"0"),TEXT($A10,"0"),TEXT(G$3,"0"))),RozpisKK!$AA$3:$AD$76,3,0))&gt;3,"",VLOOKUP(VALUE(CONCATENATE(TEXT($G$1,"0"),TEXT($A10,"0"),TEXT(G$3,"0"))),RozpisKK!$AA$3:$AD$76,4,0)+$R$1-1)</f>
        <v>19</v>
      </c>
      <c r="F10" s="230">
        <v>0</v>
      </c>
      <c r="G10" s="231">
        <v>13</v>
      </c>
      <c r="H10" s="228">
        <f>IF(TYPE(VLOOKUP(VALUE(CONCATENATE(TEXT($G$1,"0"),TEXT($A10,"0"),TEXT(K$3,"0"))),RozpisKK!$AA$3:$AD$76,3,0))&gt;3,"",VLOOKUP(VALUE(CONCATENATE(TEXT($G$1,"0"),TEXT($A10,"0"),TEXT(K$3,"0"))),RozpisKK!$AA$3:$AD$76,3,0))</f>
        <v>5</v>
      </c>
      <c r="I10" s="229">
        <f ca="1">IF(TYPE(VLOOKUP(VALUE(CONCATENATE(TEXT($G$1,"0"),TEXT($A10,"0"),TEXT(K$3,"0"))),RozpisKK!$AA$3:$AD$76,3,0))&gt;3,"",VLOOKUP(VALUE(CONCATENATE(TEXT($G$1,"0"),TEXT($A10,"0"),TEXT(K$3,"0"))),RozpisKK!$AA$3:$AD$76,4,0)+$R$1-1)</f>
        <v>20</v>
      </c>
      <c r="J10" s="230">
        <v>1</v>
      </c>
      <c r="K10" s="231">
        <v>13</v>
      </c>
      <c r="L10" s="228">
        <f>IF(TYPE(VLOOKUP(VALUE(CONCATENATE(TEXT($G$1,"0"),TEXT($A10,"0"),TEXT(O$3,"0"))),RozpisKK!$AA$3:$AD$76,3,0))&gt;3,"",VLOOKUP(VALUE(CONCATENATE(TEXT($G$1,"0"),TEXT($A10,"0"),TEXT(O$3,"0"))),RozpisKK!$AA$3:$AD$76,3,0))</f>
        <v>4</v>
      </c>
      <c r="M10" s="229">
        <f ca="1">IF(TYPE(VLOOKUP(VALUE(CONCATENATE(TEXT($G$1,"0"),TEXT($A10,"0"),TEXT(O$3,"0"))),RozpisKK!$AA$3:$AD$76,3,0))&gt;3,"",VLOOKUP(VALUE(CONCATENATE(TEXT($G$1,"0"),TEXT($A10,"0"),TEXT(O$3,"0"))),RozpisKK!$AA$3:$AD$76,4,0)+$R$1-1)</f>
        <v>19</v>
      </c>
      <c r="N10" s="230">
        <v>7</v>
      </c>
      <c r="O10" s="231">
        <v>13</v>
      </c>
      <c r="P10" s="228">
        <f>IF(TYPE(VLOOKUP(VALUE(CONCATENATE(TEXT($G$1,"0"),TEXT($A10,"0"),TEXT(S$3,"0"))),RozpisKK!$AA$3:$AD$76,3,0))&gt;3,"",VLOOKUP(VALUE(CONCATENATE(TEXT($G$1,"0"),TEXT($A10,"0"),TEXT(S$3,"0"))),RozpisKK!$AA$3:$AD$76,3,0))</f>
        <v>3</v>
      </c>
      <c r="Q10" s="229">
        <f ca="1">IF(TYPE(VLOOKUP(VALUE(CONCATENATE(TEXT($G$1,"0"),TEXT($A10,"0"),TEXT(S$3,"0"))),RozpisKK!$AA$3:$AD$76,3,0))&gt;3,"",VLOOKUP(VALUE(CONCATENATE(TEXT($G$1,"0"),TEXT($A10,"0"),TEXT(S$3,"0"))),RozpisKK!$AA$3:$AD$76,4,0)+$R$1-1)</f>
        <v>21</v>
      </c>
      <c r="R10" s="230">
        <v>5</v>
      </c>
      <c r="S10" s="231">
        <v>13</v>
      </c>
      <c r="T10" s="232"/>
      <c r="U10" s="233"/>
      <c r="V10" s="234"/>
      <c r="W10" s="235"/>
      <c r="X10" s="236">
        <f>IF(TYPE(VLOOKUP(VALUE(CONCATENATE(TEXT($G$1,"0"),TEXT($A10,"0"),TEXT(AA$3,"0"))),RozpisKK!$AA$3:$AD$76,3,0))&gt;3,"",VLOOKUP(VALUE(CONCATENATE(TEXT($G$1,"0"),TEXT($A10,"0"),TEXT(AA$3,"0"))),RozpisKK!$AA$3:$AD$76,3,0))</f>
        <v>2</v>
      </c>
      <c r="Y10" s="237">
        <f ca="1">IF(TYPE(VLOOKUP(VALUE(CONCATENATE(TEXT($G$1,"0"),TEXT($A10,"0"),TEXT(AA$3,"0"))),RozpisKK!$AA$3:$AD$76,3,0))&gt;3,"",VLOOKUP(VALUE(CONCATENATE(TEXT($G$1,"0"),TEXT($A10,"0"),TEXT(AA$3,"0"))),RozpisKK!$AA$3:$AD$76,4,0)+$R$1-1)</f>
        <v>20</v>
      </c>
      <c r="Z10" s="238">
        <f>$W$11</f>
        <v>11</v>
      </c>
      <c r="AA10" s="216">
        <f>$V$11</f>
        <v>10</v>
      </c>
      <c r="AB10" s="69"/>
      <c r="AC10" s="69"/>
      <c r="AD10" s="217">
        <f t="shared" si="1"/>
        <v>1</v>
      </c>
      <c r="AE10" s="239">
        <f t="shared" si="2"/>
        <v>1</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-6</v>
      </c>
      <c r="AP10" s="220">
        <f t="shared" si="11"/>
        <v>-38</v>
      </c>
      <c r="AQ10" s="220">
        <f t="shared" si="12"/>
        <v>24</v>
      </c>
      <c r="AR10" s="241"/>
      <c r="AS10" s="242" t="str">
        <f t="shared" si="13"/>
        <v>110000100100100094062024</v>
      </c>
      <c r="AT10" s="243">
        <f t="shared" si="14"/>
        <v>6</v>
      </c>
      <c r="AU10" s="69"/>
      <c r="AV10" s="217">
        <f t="shared" si="15"/>
        <v>1</v>
      </c>
      <c r="AX10" s="224">
        <f t="shared" si="16"/>
        <v>0</v>
      </c>
      <c r="AY10" s="224">
        <f t="shared" si="17"/>
        <v>0</v>
      </c>
      <c r="AZ10" s="224">
        <f t="shared" si="18"/>
        <v>0</v>
      </c>
      <c r="BA10" s="224">
        <f t="shared" si="19"/>
        <v>0</v>
      </c>
      <c r="BB10" s="224">
        <f t="shared" si="20"/>
        <v>0</v>
      </c>
      <c r="BC10" s="224">
        <f t="shared" si="21"/>
        <v>1</v>
      </c>
      <c r="BD10" s="224">
        <f t="shared" si="22"/>
        <v>1</v>
      </c>
      <c r="BF10" s="224">
        <f t="shared" si="23"/>
        <v>-13</v>
      </c>
      <c r="BG10" s="224">
        <f t="shared" si="24"/>
        <v>-12</v>
      </c>
      <c r="BH10" s="224">
        <f t="shared" si="25"/>
        <v>-6</v>
      </c>
      <c r="BI10" s="224">
        <f t="shared" si="26"/>
        <v>-8</v>
      </c>
      <c r="BJ10" s="224">
        <f t="shared" si="27"/>
        <v>0</v>
      </c>
      <c r="BK10" s="224">
        <f t="shared" si="28"/>
        <v>1</v>
      </c>
      <c r="BL10" s="224">
        <f t="shared" si="29"/>
        <v>-38</v>
      </c>
      <c r="BN10" s="224">
        <f t="shared" si="30"/>
        <v>0</v>
      </c>
      <c r="BO10" s="224">
        <f t="shared" si="31"/>
        <v>1</v>
      </c>
      <c r="BP10" s="224">
        <f t="shared" si="32"/>
        <v>7</v>
      </c>
      <c r="BQ10" s="224">
        <f t="shared" si="33"/>
        <v>5</v>
      </c>
      <c r="BR10" s="224">
        <f t="shared" si="34"/>
        <v>0</v>
      </c>
      <c r="BS10" s="224">
        <f t="shared" si="35"/>
        <v>11</v>
      </c>
      <c r="BT10" s="224">
        <f t="shared" si="36"/>
        <v>24</v>
      </c>
      <c r="BV10" s="224">
        <f t="shared" si="37"/>
        <v>1</v>
      </c>
      <c r="BW10" s="224">
        <f t="shared" si="38"/>
        <v>1</v>
      </c>
      <c r="BX10" s="224">
        <f t="shared" si="39"/>
        <v>1</v>
      </c>
      <c r="BY10" s="224">
        <f t="shared" si="40"/>
        <v>1</v>
      </c>
      <c r="BZ10" s="224">
        <f t="shared" si="41"/>
        <v>0</v>
      </c>
      <c r="CA10" s="224">
        <f t="shared" si="42"/>
        <v>1</v>
      </c>
      <c r="CB10" s="224">
        <f t="shared" si="43"/>
        <v>6</v>
      </c>
    </row>
    <row r="11" spans="1:80" ht="38.25" customHeight="1">
      <c r="A11" s="225">
        <v>6</v>
      </c>
      <c r="B11" s="244" t="str">
        <f>IF(TYPE(VLOOKUP(CONCATENATE($C$1,A11),Skupiny!$A$3:$B$194,2,0))&gt;3," - ",VLOOKUP(CONCATENATE($C$1,A11),Skupiny!$A$3:$B$194,2,0))</f>
        <v>1. Starobrněnský PK - Blažejová Eva</v>
      </c>
      <c r="C11" s="245">
        <f t="shared" si="0"/>
        <v>4</v>
      </c>
      <c r="D11" s="246">
        <f>IF(TYPE(VLOOKUP(VALUE(CONCATENATE(TEXT($G$1,"0"),TEXT($A11,"0"),TEXT(G$3,"0"))),RozpisKK!$AA$3:$AD$76,3,0))&gt;3,"",VLOOKUP(VALUE(CONCATENATE(TEXT($G$1,"0"),TEXT($A11,"0"),TEXT(G$3,"0"))),RozpisKK!$AA$3:$AD$76,3,0))</f>
        <v>5</v>
      </c>
      <c r="E11" s="247">
        <f ca="1">IF(TYPE(VLOOKUP(VALUE(CONCATENATE(TEXT($G$1,"0"),TEXT($A11,"0"),TEXT(G$3,"0"))),RozpisKK!$AA$3:$AD$76,3,0))&gt;3,"",VLOOKUP(VALUE(CONCATENATE(TEXT($G$1,"0"),TEXT($A11,"0"),TEXT(G$3,"0"))),RozpisKK!$AA$3:$AD$76,4,0)+$R$1-1)</f>
        <v>21</v>
      </c>
      <c r="F11" s="248">
        <v>9</v>
      </c>
      <c r="G11" s="249">
        <v>13</v>
      </c>
      <c r="H11" s="246">
        <f>IF(TYPE(VLOOKUP(VALUE(CONCATENATE(TEXT($G$1,"0"),TEXT($A11,"0"),TEXT(K$3,"0"))),RozpisKK!$AA$3:$AD$76,3,0))&gt;3,"",VLOOKUP(VALUE(CONCATENATE(TEXT($G$1,"0"),TEXT($A11,"0"),TEXT(K$3,"0"))),RozpisKK!$AA$3:$AD$76,3,0))</f>
        <v>3</v>
      </c>
      <c r="I11" s="247">
        <f ca="1">IF(TYPE(VLOOKUP(VALUE(CONCATENATE(TEXT($G$1,"0"),TEXT($A11,"0"),TEXT(K$3,"0"))),RozpisKK!$AA$3:$AD$76,3,0))&gt;3,"",VLOOKUP(VALUE(CONCATENATE(TEXT($G$1,"0"),TEXT($A11,"0"),TEXT(K$3,"0"))),RozpisKK!$AA$3:$AD$76,4,0)+$R$1-1)</f>
        <v>19</v>
      </c>
      <c r="J11" s="248">
        <v>10</v>
      </c>
      <c r="K11" s="249">
        <v>9</v>
      </c>
      <c r="L11" s="246">
        <f>IF(TYPE(VLOOKUP(VALUE(CONCATENATE(TEXT($G$1,"0"),TEXT($A11,"0"),TEXT(O$3,"0"))),RozpisKK!$AA$3:$AD$76,3,0))&gt;3,"",VLOOKUP(VALUE(CONCATENATE(TEXT($G$1,"0"),TEXT($A11,"0"),TEXT(O$3,"0"))),RozpisKK!$AA$3:$AD$76,3,0))</f>
        <v>1</v>
      </c>
      <c r="M11" s="247">
        <f ca="1">IF(TYPE(VLOOKUP(VALUE(CONCATENATE(TEXT($G$1,"0"),TEXT($A11,"0"),TEXT(O$3,"0"))),RozpisKK!$AA$3:$AD$76,3,0))&gt;3,"",VLOOKUP(VALUE(CONCATENATE(TEXT($G$1,"0"),TEXT($A11,"0"),TEXT(O$3,"0"))),RozpisKK!$AA$3:$AD$76,4,0)+$R$1-1)</f>
        <v>21</v>
      </c>
      <c r="N11" s="248">
        <v>9</v>
      </c>
      <c r="O11" s="249">
        <v>6</v>
      </c>
      <c r="P11" s="246">
        <f>IF(TYPE(VLOOKUP(VALUE(CONCATENATE(TEXT($G$1,"0"),TEXT($A11,"0"),TEXT(S$3,"0"))),RozpisKK!$AA$3:$AD$76,3,0))&gt;3,"",VLOOKUP(VALUE(CONCATENATE(TEXT($G$1,"0"),TEXT($A11,"0"),TEXT(S$3,"0"))),RozpisKK!$AA$3:$AD$76,3,0))</f>
        <v>4</v>
      </c>
      <c r="Q11" s="247">
        <f ca="1">IF(TYPE(VLOOKUP(VALUE(CONCATENATE(TEXT($G$1,"0"),TEXT($A11,"0"),TEXT(S$3,"0"))),RozpisKK!$AA$3:$AD$76,3,0))&gt;3,"",VLOOKUP(VALUE(CONCATENATE(TEXT($G$1,"0"),TEXT($A11,"0"),TEXT(S$3,"0"))),RozpisKK!$AA$3:$AD$76,4,0)+$R$1-1)</f>
        <v>20</v>
      </c>
      <c r="R11" s="248">
        <v>1</v>
      </c>
      <c r="S11" s="249">
        <v>13</v>
      </c>
      <c r="T11" s="246">
        <f>IF(TYPE(VLOOKUP(VALUE(CONCATENATE(TEXT($G$1,"0"),TEXT($A11,"0"),TEXT(W$3,"0"))),RozpisKK!$AA$3:$AD$76,3,0))&gt;3,"",VLOOKUP(VALUE(CONCATENATE(TEXT($G$1,"0"),TEXT($A11,"0"),TEXT(W$3,"0"))),RozpisKK!$AA$3:$AD$76,3,0))</f>
        <v>2</v>
      </c>
      <c r="U11" s="247">
        <f ca="1">IF(TYPE(VLOOKUP(VALUE(CONCATENATE(TEXT($G$1,"0"),TEXT($A11,"0"),TEXT(W$3,"0"))),RozpisKK!$AA$3:$AD$76,3,0))&gt;3,"",VLOOKUP(VALUE(CONCATENATE(TEXT($G$1,"0"),TEXT($A11,"0"),TEXT(W$3,"0"))),RozpisKK!$AA$3:$AD$76,4,0)+$R$1-1)</f>
        <v>20</v>
      </c>
      <c r="V11" s="248">
        <v>10</v>
      </c>
      <c r="W11" s="249">
        <v>11</v>
      </c>
      <c r="X11" s="232"/>
      <c r="Y11" s="233"/>
      <c r="Z11" s="234"/>
      <c r="AA11" s="235"/>
      <c r="AB11" s="69"/>
      <c r="AC11" s="69"/>
      <c r="AD11" s="217">
        <f t="shared" si="1"/>
        <v>1</v>
      </c>
      <c r="AE11" s="250">
        <f t="shared" si="2"/>
        <v>2</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-13</v>
      </c>
      <c r="AQ11" s="247">
        <f t="shared" si="12"/>
        <v>39</v>
      </c>
      <c r="AR11" s="252"/>
      <c r="AS11" s="253" t="str">
        <f t="shared" si="13"/>
        <v>120000100100100100087039</v>
      </c>
      <c r="AT11" s="254">
        <f t="shared" si="14"/>
        <v>4</v>
      </c>
      <c r="AU11" s="69"/>
      <c r="AV11" s="217">
        <f t="shared" si="15"/>
        <v>1</v>
      </c>
      <c r="AX11" s="224">
        <f t="shared" si="16"/>
        <v>0</v>
      </c>
      <c r="AY11" s="224">
        <f t="shared" si="17"/>
        <v>1</v>
      </c>
      <c r="AZ11" s="224">
        <f t="shared" si="18"/>
        <v>1</v>
      </c>
      <c r="BA11" s="224">
        <f t="shared" si="19"/>
        <v>0</v>
      </c>
      <c r="BB11" s="224">
        <f t="shared" si="20"/>
        <v>0</v>
      </c>
      <c r="BC11" s="224">
        <f t="shared" si="21"/>
        <v>0</v>
      </c>
      <c r="BD11" s="224">
        <f t="shared" si="22"/>
        <v>2</v>
      </c>
      <c r="BF11" s="224">
        <f t="shared" si="23"/>
        <v>-4</v>
      </c>
      <c r="BG11" s="224">
        <f t="shared" si="24"/>
        <v>1</v>
      </c>
      <c r="BH11" s="224">
        <f t="shared" si="25"/>
        <v>3</v>
      </c>
      <c r="BI11" s="224">
        <f t="shared" si="26"/>
        <v>-12</v>
      </c>
      <c r="BJ11" s="224">
        <f t="shared" si="27"/>
        <v>-1</v>
      </c>
      <c r="BK11" s="224">
        <f t="shared" si="28"/>
        <v>0</v>
      </c>
      <c r="BL11" s="224">
        <f t="shared" si="29"/>
        <v>-13</v>
      </c>
      <c r="BN11" s="224">
        <f t="shared" si="30"/>
        <v>9</v>
      </c>
      <c r="BO11" s="224">
        <f t="shared" si="31"/>
        <v>10</v>
      </c>
      <c r="BP11" s="224">
        <f t="shared" si="32"/>
        <v>9</v>
      </c>
      <c r="BQ11" s="224">
        <f t="shared" si="33"/>
        <v>1</v>
      </c>
      <c r="BR11" s="224">
        <f t="shared" si="34"/>
        <v>10</v>
      </c>
      <c r="BS11" s="224">
        <f t="shared" si="35"/>
        <v>0</v>
      </c>
      <c r="BT11" s="224">
        <f t="shared" si="36"/>
        <v>39</v>
      </c>
      <c r="BV11" s="224">
        <f t="shared" si="37"/>
        <v>1</v>
      </c>
      <c r="BW11" s="224">
        <f t="shared" si="38"/>
        <v>1</v>
      </c>
      <c r="BX11" s="224">
        <f t="shared" si="39"/>
        <v>0</v>
      </c>
      <c r="BY11" s="224">
        <f t="shared" si="40"/>
        <v>1</v>
      </c>
      <c r="BZ11" s="224">
        <f t="shared" si="41"/>
        <v>0</v>
      </c>
      <c r="CA11" s="224">
        <f t="shared" si="42"/>
        <v>0</v>
      </c>
      <c r="CB11" s="224">
        <f t="shared" si="43"/>
        <v>4</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6</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Carreau Brno - Grepl Jiří</v>
      </c>
      <c r="C14" s="261" t="str">
        <f t="shared" ref="C14:C17" si="45">CONCATENATE($C$1,A6)</f>
        <v>H1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SOKOL Staříč - Šimíček Ladislav</v>
      </c>
      <c r="C15" s="261" t="str">
        <f t="shared" si="45"/>
        <v>H2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POP Praha - Hodboďová Romana</v>
      </c>
      <c r="C16" s="261" t="str">
        <f t="shared" si="45"/>
        <v>H3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1. Starobrněnský PK - Blažejová Eva</v>
      </c>
      <c r="C17" s="261" t="str">
        <f t="shared" si="45"/>
        <v>H4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1</v>
      </c>
      <c r="G21" s="69">
        <f>AD22</f>
        <v>1</v>
      </c>
      <c r="H21" s="69"/>
      <c r="I21" s="69"/>
      <c r="J21" s="69">
        <f>AD23</f>
        <v>0</v>
      </c>
      <c r="K21" s="69">
        <f>AD23</f>
        <v>0</v>
      </c>
      <c r="L21" s="69"/>
      <c r="M21" s="69"/>
      <c r="N21" s="69">
        <f>AD24</f>
        <v>0</v>
      </c>
      <c r="O21" s="69">
        <f>AD24</f>
        <v>0</v>
      </c>
      <c r="P21" s="69"/>
      <c r="Q21" s="69"/>
      <c r="R21" s="69">
        <f>AD25</f>
        <v>1</v>
      </c>
      <c r="S21" s="69">
        <f>AD25</f>
        <v>1</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13</v>
      </c>
      <c r="S22" s="6">
        <f t="shared" ref="S22:S27" si="54">S$21*$AD22*$S6</f>
        <v>4</v>
      </c>
      <c r="V22" s="6">
        <f t="shared" ref="V22:V27" si="55">V$21*$AD22*$V6</f>
        <v>0</v>
      </c>
      <c r="W22" s="6">
        <f t="shared" ref="W22:W27" si="56">W$21*$AD22*$W6</f>
        <v>0</v>
      </c>
      <c r="Z22" s="6">
        <f t="shared" ref="Z22:Z27" si="57">Z$21*$AD22*$Z6</f>
        <v>0</v>
      </c>
      <c r="AA22" s="6">
        <f t="shared" ref="AA22:AA27" si="58">AA$21*$AD22*$AA6</f>
        <v>0</v>
      </c>
      <c r="AD22" s="6">
        <f t="shared" ref="AD22:AD27" si="59">IF(AE22=$A$21,1,0)</f>
        <v>1</v>
      </c>
      <c r="AE22" s="6">
        <f t="shared" ref="AE22:AE27" si="60">$AE6</f>
        <v>4</v>
      </c>
      <c r="AX22" s="6">
        <f t="shared" ref="AX22:AX27" si="61">IF(F22&gt;G22,1,0)</f>
        <v>0</v>
      </c>
      <c r="AY22" s="6">
        <f t="shared" ref="AY22:AY27" si="62">IF(J22&gt;K22,1,0)</f>
        <v>0</v>
      </c>
      <c r="AZ22" s="6">
        <f t="shared" ref="AZ22:AZ27" si="63">IF(N22&gt;O22,1,0)</f>
        <v>0</v>
      </c>
      <c r="BA22" s="6">
        <f t="shared" ref="BA22:BA27" si="64">IF(R22&gt;S22,1,0)</f>
        <v>1</v>
      </c>
      <c r="BB22" s="6">
        <f t="shared" ref="BB22:BB27" si="65">IF(V22&gt;W22,1,0)</f>
        <v>0</v>
      </c>
      <c r="BC22" s="6">
        <f t="shared" ref="BC22:BC27" si="66">IF(Z22&gt;AA22,1,0)</f>
        <v>0</v>
      </c>
      <c r="BD22" s="6">
        <f t="shared" ref="BD22:BD27" si="67">SUM(AX22:BC22)</f>
        <v>1</v>
      </c>
      <c r="BF22" s="6">
        <f t="shared" ref="BF22:BF27" si="68">F22-G22</f>
        <v>0</v>
      </c>
      <c r="BG22" s="6">
        <f t="shared" ref="BG22:BG27" si="69">J22-K22</f>
        <v>0</v>
      </c>
      <c r="BH22" s="6">
        <f t="shared" ref="BH22:BH27" si="70">N22-O22</f>
        <v>0</v>
      </c>
      <c r="BI22" s="6">
        <f t="shared" ref="BI22:BI27" si="71">R22-S22</f>
        <v>9</v>
      </c>
      <c r="BJ22" s="6">
        <f t="shared" ref="BJ22:BJ27" si="72">V22-W22</f>
        <v>0</v>
      </c>
      <c r="BK22" s="6">
        <f t="shared" ref="BK22:BK27" si="73">Z22-AA22</f>
        <v>0</v>
      </c>
      <c r="BL22" s="6">
        <f t="shared" ref="BL22:BL27" si="74">SUM(BF22:BK22)</f>
        <v>9</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3</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1</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4</v>
      </c>
      <c r="G25" s="6">
        <f t="shared" si="48"/>
        <v>13</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1</v>
      </c>
      <c r="AE25" s="6">
        <f t="shared" si="60"/>
        <v>4</v>
      </c>
      <c r="AX25" s="6">
        <f t="shared" si="61"/>
        <v>0</v>
      </c>
      <c r="AY25" s="6">
        <f t="shared" si="62"/>
        <v>0</v>
      </c>
      <c r="AZ25" s="6">
        <f t="shared" si="63"/>
        <v>0</v>
      </c>
      <c r="BA25" s="6">
        <f t="shared" si="64"/>
        <v>0</v>
      </c>
      <c r="BB25" s="6">
        <f t="shared" si="65"/>
        <v>0</v>
      </c>
      <c r="BC25" s="6">
        <f t="shared" si="66"/>
        <v>0</v>
      </c>
      <c r="BD25" s="6">
        <f t="shared" si="67"/>
        <v>0</v>
      </c>
      <c r="BF25" s="6">
        <f t="shared" si="68"/>
        <v>-9</v>
      </c>
      <c r="BG25" s="6">
        <f t="shared" si="69"/>
        <v>0</v>
      </c>
      <c r="BH25" s="6">
        <f t="shared" si="70"/>
        <v>0</v>
      </c>
      <c r="BI25" s="6">
        <f t="shared" si="71"/>
        <v>0</v>
      </c>
      <c r="BJ25" s="6">
        <f t="shared" si="72"/>
        <v>0</v>
      </c>
      <c r="BK25" s="6">
        <f t="shared" si="73"/>
        <v>0</v>
      </c>
      <c r="BL25" s="6">
        <f t="shared" si="74"/>
        <v>-9</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1</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2</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1</v>
      </c>
      <c r="K30" s="69">
        <f>AD32</f>
        <v>1</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4</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1</v>
      </c>
      <c r="AE32" s="6">
        <f t="shared" si="89"/>
        <v>3</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1</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4</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1</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2</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1</v>
      </c>
      <c r="AA39" s="69">
        <f>AD45</f>
        <v>1</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4</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3</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1</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4</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1</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1</v>
      </c>
      <c r="AE45" s="6">
        <f t="shared" si="118"/>
        <v>2</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1</v>
      </c>
      <c r="O48" s="69">
        <f>AD51</f>
        <v>1</v>
      </c>
      <c r="P48" s="69"/>
      <c r="Q48" s="69"/>
      <c r="R48" s="69">
        <f>AD52</f>
        <v>0</v>
      </c>
      <c r="S48" s="69">
        <f>AD52</f>
        <v>0</v>
      </c>
      <c r="T48" s="69"/>
      <c r="U48" s="69"/>
      <c r="V48" s="69">
        <f>AD53</f>
        <v>1</v>
      </c>
      <c r="W48" s="69">
        <f>AD53</f>
        <v>1</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4</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3</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13</v>
      </c>
      <c r="W51" s="6">
        <f t="shared" si="143"/>
        <v>7</v>
      </c>
      <c r="Z51" s="6">
        <f t="shared" si="144"/>
        <v>0</v>
      </c>
      <c r="AA51" s="6">
        <f t="shared" si="145"/>
        <v>0</v>
      </c>
      <c r="AD51" s="6">
        <f t="shared" si="146"/>
        <v>1</v>
      </c>
      <c r="AE51" s="6">
        <f t="shared" si="147"/>
        <v>1</v>
      </c>
      <c r="AX51" s="6">
        <f t="shared" si="148"/>
        <v>0</v>
      </c>
      <c r="AY51" s="6">
        <f t="shared" si="149"/>
        <v>0</v>
      </c>
      <c r="AZ51" s="6">
        <f t="shared" si="150"/>
        <v>0</v>
      </c>
      <c r="BA51" s="6">
        <f t="shared" si="151"/>
        <v>0</v>
      </c>
      <c r="BB51" s="6">
        <f t="shared" si="152"/>
        <v>1</v>
      </c>
      <c r="BC51" s="6">
        <f t="shared" si="153"/>
        <v>0</v>
      </c>
      <c r="BD51" s="6">
        <f t="shared" si="154"/>
        <v>1</v>
      </c>
      <c r="BF51" s="6">
        <f t="shared" si="155"/>
        <v>0</v>
      </c>
      <c r="BG51" s="6">
        <f t="shared" si="156"/>
        <v>0</v>
      </c>
      <c r="BH51" s="6">
        <f t="shared" si="157"/>
        <v>0</v>
      </c>
      <c r="BI51" s="6">
        <f t="shared" si="158"/>
        <v>0</v>
      </c>
      <c r="BJ51" s="6">
        <f t="shared" si="159"/>
        <v>6</v>
      </c>
      <c r="BK51" s="6">
        <f t="shared" si="160"/>
        <v>0</v>
      </c>
      <c r="BL51" s="6">
        <f t="shared" si="161"/>
        <v>6</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4</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7</v>
      </c>
      <c r="O53" s="6">
        <f t="shared" si="139"/>
        <v>13</v>
      </c>
      <c r="R53" s="6">
        <f t="shared" si="140"/>
        <v>0</v>
      </c>
      <c r="S53" s="6">
        <f t="shared" si="141"/>
        <v>0</v>
      </c>
      <c r="V53" s="6">
        <f t="shared" si="142"/>
        <v>0</v>
      </c>
      <c r="W53" s="6">
        <f t="shared" si="143"/>
        <v>0</v>
      </c>
      <c r="Z53" s="6">
        <f t="shared" si="144"/>
        <v>0</v>
      </c>
      <c r="AA53" s="6">
        <f t="shared" si="145"/>
        <v>0</v>
      </c>
      <c r="AD53" s="6">
        <f t="shared" si="146"/>
        <v>1</v>
      </c>
      <c r="AE53" s="6">
        <f t="shared" si="147"/>
        <v>1</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-6</v>
      </c>
      <c r="BI53" s="6">
        <f t="shared" si="158"/>
        <v>0</v>
      </c>
      <c r="BJ53" s="6">
        <f t="shared" si="159"/>
        <v>0</v>
      </c>
      <c r="BK53" s="6">
        <f t="shared" si="160"/>
        <v>0</v>
      </c>
      <c r="BL53" s="6">
        <f t="shared" si="161"/>
        <v>-6</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2</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48" priority="1" operator="equal">
      <formula>0</formula>
    </cfRule>
  </conditionalFormatting>
  <conditionalFormatting sqref="J6:K6 N6:O7 R6:S8 V6:W9 Z6:AA10">
    <cfRule type="cellIs" dxfId="147" priority="2" operator="equal">
      <formula>0</formula>
    </cfRule>
  </conditionalFormatting>
  <conditionalFormatting sqref="B6:B11">
    <cfRule type="expression" dxfId="146" priority="3">
      <formula>IF(C6=1,TRUE,FALSE)</formula>
    </cfRule>
  </conditionalFormatting>
  <conditionalFormatting sqref="B6:B11">
    <cfRule type="expression" dxfId="14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9</v>
      </c>
      <c r="B1" s="175" t="s">
        <v>1794</v>
      </c>
      <c r="C1" s="274" t="s">
        <v>1839</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I1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I2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I3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I4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44" priority="1" operator="equal">
      <formula>0</formula>
    </cfRule>
  </conditionalFormatting>
  <conditionalFormatting sqref="J6:K6 N6:O7 R6:S8 V6:W9 Z6:AA10">
    <cfRule type="cellIs" dxfId="143" priority="2" operator="equal">
      <formula>0</formula>
    </cfRule>
  </conditionalFormatting>
  <conditionalFormatting sqref="B6:B11">
    <cfRule type="expression" dxfId="142" priority="3">
      <formula>IF(C6=1,TRUE,FALSE)</formula>
    </cfRule>
  </conditionalFormatting>
  <conditionalFormatting sqref="B6:B11">
    <cfRule type="expression" dxfId="14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0"/>
  <sheetViews>
    <sheetView workbookViewId="0">
      <pane ySplit="3" topLeftCell="A4" activePane="bottomLeft" state="frozen"/>
      <selection pane="bottomLeft" activeCell="B5" sqref="B5"/>
    </sheetView>
  </sheetViews>
  <sheetFormatPr defaultColWidth="14.375" defaultRowHeight="15" customHeight="1"/>
  <cols>
    <col min="1" max="1" width="6.375" customWidth="1"/>
    <col min="2" max="2" width="35.875" customWidth="1"/>
    <col min="3" max="3" width="10" customWidth="1"/>
    <col min="4" max="4" width="25.125" customWidth="1"/>
    <col min="5" max="5" width="32.125" customWidth="1"/>
    <col min="6" max="6" width="15.625" customWidth="1"/>
    <col min="7" max="26" width="8" customWidth="1"/>
  </cols>
  <sheetData>
    <row r="1" spans="1:6" ht="30" customHeight="1">
      <c r="A1" s="20" t="s">
        <v>106</v>
      </c>
      <c r="B1" s="21"/>
      <c r="C1" s="21"/>
      <c r="D1" s="21"/>
      <c r="E1" s="22"/>
      <c r="F1" s="23">
        <v>45035</v>
      </c>
    </row>
    <row r="2" spans="1:6" ht="13.5" customHeight="1">
      <c r="B2" s="24"/>
      <c r="C2" s="24"/>
      <c r="D2" s="24"/>
      <c r="E2" s="24"/>
      <c r="F2" s="24"/>
    </row>
    <row r="3" spans="1:6" ht="13.5" customHeight="1">
      <c r="A3" s="25" t="s">
        <v>107</v>
      </c>
      <c r="B3" s="25" t="s">
        <v>108</v>
      </c>
      <c r="C3" s="25" t="s">
        <v>109</v>
      </c>
      <c r="D3" s="25" t="s">
        <v>110</v>
      </c>
      <c r="E3" s="25" t="s">
        <v>111</v>
      </c>
      <c r="F3" s="25" t="s">
        <v>112</v>
      </c>
    </row>
    <row r="4" spans="1:6" ht="12" customHeight="1">
      <c r="A4" s="6">
        <v>23001</v>
      </c>
      <c r="B4" s="6" t="s">
        <v>113</v>
      </c>
      <c r="C4" s="26" t="s">
        <v>114</v>
      </c>
      <c r="D4" s="6" t="s">
        <v>115</v>
      </c>
      <c r="E4" s="6" t="s">
        <v>116</v>
      </c>
      <c r="F4" s="6">
        <v>2</v>
      </c>
    </row>
    <row r="5" spans="1:6" ht="12" customHeight="1">
      <c r="A5" s="6">
        <v>23002</v>
      </c>
      <c r="B5" s="6" t="s">
        <v>117</v>
      </c>
      <c r="C5" s="26" t="s">
        <v>118</v>
      </c>
      <c r="D5" s="6" t="s">
        <v>119</v>
      </c>
      <c r="E5" s="6" t="s">
        <v>120</v>
      </c>
      <c r="F5" s="6">
        <v>3</v>
      </c>
    </row>
    <row r="6" spans="1:6" ht="12" customHeight="1">
      <c r="A6" s="6">
        <v>23003</v>
      </c>
      <c r="B6" s="6" t="s">
        <v>121</v>
      </c>
      <c r="C6" s="26" t="s">
        <v>122</v>
      </c>
      <c r="D6" s="6" t="s">
        <v>119</v>
      </c>
      <c r="E6" s="6" t="s">
        <v>120</v>
      </c>
      <c r="F6" s="6">
        <v>3</v>
      </c>
    </row>
    <row r="7" spans="1:6" ht="12" customHeight="1">
      <c r="A7" s="6">
        <v>23004</v>
      </c>
      <c r="B7" s="6" t="s">
        <v>123</v>
      </c>
      <c r="C7" s="26" t="s">
        <v>124</v>
      </c>
      <c r="D7" s="6" t="s">
        <v>119</v>
      </c>
      <c r="E7" s="6" t="s">
        <v>120</v>
      </c>
      <c r="F7" s="6">
        <v>3</v>
      </c>
    </row>
    <row r="8" spans="1:6" ht="12" customHeight="1">
      <c r="A8" s="6">
        <v>23005</v>
      </c>
      <c r="B8" s="6" t="s">
        <v>125</v>
      </c>
      <c r="C8" s="26" t="s">
        <v>126</v>
      </c>
      <c r="D8" s="6" t="s">
        <v>119</v>
      </c>
      <c r="E8" s="6" t="s">
        <v>120</v>
      </c>
      <c r="F8" s="6">
        <v>3</v>
      </c>
    </row>
    <row r="9" spans="1:6" ht="12" customHeight="1">
      <c r="A9" s="6">
        <v>23006</v>
      </c>
      <c r="B9" s="6" t="s">
        <v>127</v>
      </c>
      <c r="C9" s="26" t="s">
        <v>128</v>
      </c>
      <c r="D9" s="6" t="s">
        <v>129</v>
      </c>
      <c r="E9" s="6" t="s">
        <v>130</v>
      </c>
      <c r="F9" s="6">
        <v>2</v>
      </c>
    </row>
    <row r="10" spans="1:6" ht="12" customHeight="1">
      <c r="A10" s="6">
        <v>23054</v>
      </c>
      <c r="B10" s="6" t="s">
        <v>131</v>
      </c>
      <c r="C10" s="26" t="s">
        <v>132</v>
      </c>
      <c r="D10" s="6" t="s">
        <v>133</v>
      </c>
      <c r="E10" s="6" t="s">
        <v>134</v>
      </c>
      <c r="F10" s="6">
        <v>3</v>
      </c>
    </row>
    <row r="11" spans="1:6" ht="12" customHeight="1">
      <c r="A11" s="6">
        <v>23008</v>
      </c>
      <c r="B11" s="6" t="s">
        <v>135</v>
      </c>
      <c r="C11" s="26" t="s">
        <v>136</v>
      </c>
      <c r="D11" s="6" t="s">
        <v>137</v>
      </c>
      <c r="E11" s="6" t="s">
        <v>138</v>
      </c>
      <c r="F11" s="6">
        <v>3</v>
      </c>
    </row>
    <row r="12" spans="1:6" ht="12" customHeight="1">
      <c r="A12" s="6">
        <v>23009</v>
      </c>
      <c r="B12" s="6" t="s">
        <v>139</v>
      </c>
      <c r="C12" s="26" t="s">
        <v>140</v>
      </c>
      <c r="D12" s="6" t="s">
        <v>137</v>
      </c>
      <c r="E12" s="6" t="s">
        <v>141</v>
      </c>
      <c r="F12" s="6">
        <v>2</v>
      </c>
    </row>
    <row r="13" spans="1:6" ht="12" customHeight="1">
      <c r="A13" s="6">
        <v>23010</v>
      </c>
      <c r="B13" s="6" t="s">
        <v>142</v>
      </c>
      <c r="C13" s="26" t="s">
        <v>140</v>
      </c>
      <c r="D13" s="6" t="s">
        <v>143</v>
      </c>
      <c r="E13" s="6" t="s">
        <v>144</v>
      </c>
      <c r="F13" s="6">
        <v>2</v>
      </c>
    </row>
    <row r="14" spans="1:6" ht="12" customHeight="1">
      <c r="A14" s="6">
        <v>23011</v>
      </c>
      <c r="B14" s="6" t="s">
        <v>145</v>
      </c>
      <c r="C14" s="26" t="s">
        <v>146</v>
      </c>
      <c r="D14" s="6" t="s">
        <v>133</v>
      </c>
      <c r="E14" s="6" t="s">
        <v>134</v>
      </c>
      <c r="F14" s="6">
        <v>3</v>
      </c>
    </row>
    <row r="15" spans="1:6" ht="12" customHeight="1">
      <c r="A15" s="6">
        <v>23013</v>
      </c>
      <c r="B15" s="6" t="s">
        <v>147</v>
      </c>
      <c r="C15" s="26" t="s">
        <v>148</v>
      </c>
      <c r="D15" s="6" t="s">
        <v>137</v>
      </c>
      <c r="E15" s="6" t="s">
        <v>138</v>
      </c>
      <c r="F15" s="6">
        <v>2</v>
      </c>
    </row>
    <row r="16" spans="1:6" ht="12" customHeight="1">
      <c r="A16" s="6">
        <v>23012</v>
      </c>
      <c r="B16" s="6" t="s">
        <v>149</v>
      </c>
      <c r="C16" s="26" t="s">
        <v>148</v>
      </c>
      <c r="D16" s="6" t="s">
        <v>150</v>
      </c>
      <c r="E16" s="6" t="s">
        <v>151</v>
      </c>
      <c r="F16" s="6">
        <v>3</v>
      </c>
    </row>
    <row r="17" spans="1:6" ht="12" customHeight="1">
      <c r="A17" s="6">
        <v>23015</v>
      </c>
      <c r="B17" s="6" t="s">
        <v>152</v>
      </c>
      <c r="C17" s="26" t="s">
        <v>153</v>
      </c>
      <c r="D17" s="6" t="s">
        <v>129</v>
      </c>
      <c r="E17" s="6" t="s">
        <v>130</v>
      </c>
      <c r="F17" s="6">
        <v>2</v>
      </c>
    </row>
    <row r="18" spans="1:6" ht="12" customHeight="1">
      <c r="A18" s="6">
        <v>23014</v>
      </c>
      <c r="B18" s="6" t="s">
        <v>154</v>
      </c>
      <c r="C18" s="26" t="s">
        <v>153</v>
      </c>
      <c r="D18" s="6" t="s">
        <v>155</v>
      </c>
      <c r="E18" s="6" t="s">
        <v>156</v>
      </c>
      <c r="F18" s="6">
        <v>3</v>
      </c>
    </row>
    <row r="19" spans="1:6" ht="12" customHeight="1">
      <c r="A19" s="6">
        <v>23016</v>
      </c>
      <c r="B19" s="6" t="s">
        <v>157</v>
      </c>
      <c r="C19" s="26" t="s">
        <v>158</v>
      </c>
      <c r="D19" s="6" t="s">
        <v>129</v>
      </c>
      <c r="E19" s="6" t="s">
        <v>130</v>
      </c>
      <c r="F19" s="6">
        <v>1</v>
      </c>
    </row>
    <row r="20" spans="1:6" ht="12" customHeight="1">
      <c r="A20" s="6">
        <v>23017</v>
      </c>
      <c r="B20" s="6" t="s">
        <v>159</v>
      </c>
      <c r="C20" s="26" t="s">
        <v>160</v>
      </c>
      <c r="F20" s="6">
        <v>0</v>
      </c>
    </row>
    <row r="21" spans="1:6" ht="12" customHeight="1">
      <c r="A21" s="6">
        <v>23018</v>
      </c>
      <c r="B21" s="6" t="s">
        <v>161</v>
      </c>
      <c r="C21" s="26" t="s">
        <v>160</v>
      </c>
      <c r="D21" s="6" t="s">
        <v>162</v>
      </c>
      <c r="E21" s="6" t="s">
        <v>163</v>
      </c>
      <c r="F21" s="6">
        <v>3</v>
      </c>
    </row>
    <row r="22" spans="1:6" ht="12" customHeight="1">
      <c r="A22" s="6">
        <v>23019</v>
      </c>
      <c r="B22" s="6" t="s">
        <v>164</v>
      </c>
      <c r="C22" s="26" t="s">
        <v>165</v>
      </c>
      <c r="D22" s="6" t="s">
        <v>137</v>
      </c>
      <c r="E22" s="6" t="s">
        <v>138</v>
      </c>
      <c r="F22" s="6">
        <v>2</v>
      </c>
    </row>
    <row r="23" spans="1:6" ht="12" customHeight="1">
      <c r="A23" s="6">
        <v>23021</v>
      </c>
      <c r="B23" s="6" t="s">
        <v>166</v>
      </c>
      <c r="C23" s="26" t="s">
        <v>167</v>
      </c>
      <c r="D23" s="6" t="s">
        <v>168</v>
      </c>
      <c r="E23" s="6" t="s">
        <v>169</v>
      </c>
      <c r="F23" s="6">
        <v>2</v>
      </c>
    </row>
    <row r="24" spans="1:6" ht="12" customHeight="1">
      <c r="A24" s="6">
        <v>23080</v>
      </c>
      <c r="B24" s="6" t="s">
        <v>170</v>
      </c>
      <c r="C24" s="26" t="s">
        <v>167</v>
      </c>
      <c r="D24" s="6" t="s">
        <v>137</v>
      </c>
      <c r="E24" s="6" t="s">
        <v>138</v>
      </c>
      <c r="F24" s="6">
        <v>2</v>
      </c>
    </row>
    <row r="25" spans="1:6" ht="12" customHeight="1">
      <c r="A25" s="6">
        <v>23081</v>
      </c>
      <c r="B25" s="6" t="s">
        <v>171</v>
      </c>
      <c r="C25" s="26" t="s">
        <v>167</v>
      </c>
      <c r="D25" s="6" t="s">
        <v>137</v>
      </c>
      <c r="E25" s="6" t="s">
        <v>138</v>
      </c>
      <c r="F25" s="6">
        <v>2</v>
      </c>
    </row>
    <row r="26" spans="1:6" ht="12" customHeight="1">
      <c r="A26" s="6">
        <v>23022</v>
      </c>
      <c r="B26" s="6" t="s">
        <v>172</v>
      </c>
      <c r="C26" s="26" t="s">
        <v>167</v>
      </c>
      <c r="D26" s="6" t="s">
        <v>173</v>
      </c>
      <c r="E26" s="6" t="s">
        <v>174</v>
      </c>
      <c r="F26" s="6">
        <v>3</v>
      </c>
    </row>
    <row r="27" spans="1:6" ht="12" customHeight="1">
      <c r="A27" s="6">
        <v>23024</v>
      </c>
      <c r="B27" s="6" t="s">
        <v>175</v>
      </c>
      <c r="C27" s="26" t="s">
        <v>176</v>
      </c>
      <c r="F27" s="6">
        <v>0</v>
      </c>
    </row>
    <row r="28" spans="1:6" ht="12" customHeight="1">
      <c r="A28" s="6">
        <v>23026</v>
      </c>
      <c r="B28" s="6" t="s">
        <v>177</v>
      </c>
      <c r="C28" s="26" t="s">
        <v>178</v>
      </c>
      <c r="D28" s="6" t="s">
        <v>179</v>
      </c>
      <c r="E28" s="6" t="s">
        <v>180</v>
      </c>
      <c r="F28" s="6">
        <v>2</v>
      </c>
    </row>
    <row r="29" spans="1:6" ht="12" customHeight="1">
      <c r="A29" s="6">
        <v>23025</v>
      </c>
      <c r="B29" s="6" t="s">
        <v>181</v>
      </c>
      <c r="C29" s="26" t="s">
        <v>178</v>
      </c>
      <c r="D29" s="6" t="s">
        <v>182</v>
      </c>
      <c r="E29" s="6" t="s">
        <v>174</v>
      </c>
      <c r="F29" s="6">
        <v>3</v>
      </c>
    </row>
    <row r="30" spans="1:6" ht="12" customHeight="1">
      <c r="A30" s="6">
        <v>23028</v>
      </c>
      <c r="B30" s="6" t="s">
        <v>183</v>
      </c>
      <c r="C30" s="26" t="s">
        <v>184</v>
      </c>
      <c r="D30" s="6" t="s">
        <v>185</v>
      </c>
      <c r="E30" s="6" t="s">
        <v>186</v>
      </c>
      <c r="F30" s="6">
        <v>2</v>
      </c>
    </row>
    <row r="31" spans="1:6" ht="12" customHeight="1">
      <c r="A31" s="6">
        <v>23027</v>
      </c>
      <c r="B31" s="6" t="s">
        <v>187</v>
      </c>
      <c r="C31" s="26" t="s">
        <v>184</v>
      </c>
      <c r="D31" s="6" t="s">
        <v>188</v>
      </c>
      <c r="E31" s="6" t="s">
        <v>189</v>
      </c>
      <c r="F31" s="6">
        <v>3</v>
      </c>
    </row>
    <row r="32" spans="1:6" ht="12" customHeight="1">
      <c r="A32" s="6">
        <v>23029</v>
      </c>
      <c r="B32" s="6" t="s">
        <v>190</v>
      </c>
      <c r="C32" s="26" t="s">
        <v>191</v>
      </c>
      <c r="D32" s="6" t="s">
        <v>192</v>
      </c>
      <c r="E32" s="6" t="s">
        <v>193</v>
      </c>
      <c r="F32" s="6">
        <v>2</v>
      </c>
    </row>
    <row r="33" spans="1:6" ht="12" customHeight="1">
      <c r="A33" s="6">
        <v>23030</v>
      </c>
      <c r="B33" s="6" t="s">
        <v>194</v>
      </c>
      <c r="C33" s="26" t="s">
        <v>191</v>
      </c>
      <c r="D33" s="6" t="s">
        <v>143</v>
      </c>
      <c r="E33" s="6" t="s">
        <v>144</v>
      </c>
      <c r="F33" s="6">
        <v>1</v>
      </c>
    </row>
    <row r="34" spans="1:6" ht="12" customHeight="1">
      <c r="A34" s="6">
        <v>23032</v>
      </c>
      <c r="B34" s="6" t="s">
        <v>195</v>
      </c>
      <c r="C34" s="26" t="s">
        <v>196</v>
      </c>
      <c r="D34" s="6" t="s">
        <v>150</v>
      </c>
      <c r="E34" s="6" t="s">
        <v>151</v>
      </c>
      <c r="F34" s="6">
        <v>3</v>
      </c>
    </row>
    <row r="35" spans="1:6" ht="12" customHeight="1">
      <c r="A35" s="6">
        <v>23033</v>
      </c>
      <c r="B35" s="6" t="s">
        <v>197</v>
      </c>
      <c r="C35" s="26" t="s">
        <v>196</v>
      </c>
      <c r="D35" s="6" t="s">
        <v>198</v>
      </c>
      <c r="E35" s="6" t="s">
        <v>199</v>
      </c>
      <c r="F35" s="6">
        <v>2</v>
      </c>
    </row>
    <row r="36" spans="1:6" ht="12" customHeight="1">
      <c r="A36" s="6">
        <v>23023</v>
      </c>
      <c r="B36" s="6" t="s">
        <v>200</v>
      </c>
      <c r="C36" s="26" t="s">
        <v>196</v>
      </c>
      <c r="D36" s="6" t="s">
        <v>201</v>
      </c>
      <c r="E36" s="6" t="s">
        <v>120</v>
      </c>
      <c r="F36" s="6">
        <v>2</v>
      </c>
    </row>
    <row r="37" spans="1:6" ht="12" customHeight="1">
      <c r="A37" s="6">
        <v>23034</v>
      </c>
      <c r="B37" s="6" t="s">
        <v>202</v>
      </c>
      <c r="C37" s="26" t="s">
        <v>203</v>
      </c>
      <c r="D37" s="6" t="s">
        <v>198</v>
      </c>
      <c r="E37" s="6" t="s">
        <v>199</v>
      </c>
      <c r="F37" s="6">
        <v>2</v>
      </c>
    </row>
    <row r="38" spans="1:6" ht="12" customHeight="1">
      <c r="A38" s="6">
        <v>23035</v>
      </c>
      <c r="B38" s="6" t="s">
        <v>204</v>
      </c>
      <c r="C38" s="26" t="s">
        <v>205</v>
      </c>
      <c r="D38" s="6" t="s">
        <v>206</v>
      </c>
      <c r="F38" s="6">
        <v>3</v>
      </c>
    </row>
    <row r="39" spans="1:6" ht="12" customHeight="1">
      <c r="A39" s="6">
        <v>23037</v>
      </c>
      <c r="B39" s="6" t="s">
        <v>207</v>
      </c>
      <c r="C39" s="26" t="s">
        <v>205</v>
      </c>
      <c r="D39" s="6" t="s">
        <v>208</v>
      </c>
      <c r="E39" s="6" t="s">
        <v>186</v>
      </c>
      <c r="F39" s="6">
        <v>2</v>
      </c>
    </row>
    <row r="40" spans="1:6" ht="12" customHeight="1">
      <c r="A40" s="6">
        <v>23031</v>
      </c>
      <c r="B40" s="6" t="s">
        <v>209</v>
      </c>
      <c r="C40" s="26" t="s">
        <v>205</v>
      </c>
      <c r="D40" s="6" t="s">
        <v>133</v>
      </c>
      <c r="E40" s="6" t="s">
        <v>134</v>
      </c>
      <c r="F40" s="6">
        <v>2</v>
      </c>
    </row>
    <row r="41" spans="1:6" ht="12" customHeight="1">
      <c r="A41" s="6">
        <v>23036</v>
      </c>
      <c r="B41" s="6" t="s">
        <v>210</v>
      </c>
      <c r="C41" s="26" t="s">
        <v>205</v>
      </c>
      <c r="D41" s="6" t="s">
        <v>150</v>
      </c>
      <c r="E41" s="6" t="s">
        <v>151</v>
      </c>
      <c r="F41" s="6">
        <v>3</v>
      </c>
    </row>
    <row r="42" spans="1:6" ht="12" customHeight="1">
      <c r="A42" s="6">
        <v>23038</v>
      </c>
      <c r="B42" s="6" t="s">
        <v>211</v>
      </c>
      <c r="C42" s="26" t="s">
        <v>212</v>
      </c>
      <c r="D42" s="6" t="s">
        <v>150</v>
      </c>
      <c r="E42" s="6" t="s">
        <v>151</v>
      </c>
      <c r="F42" s="6">
        <v>2</v>
      </c>
    </row>
    <row r="43" spans="1:6" ht="12" customHeight="1">
      <c r="A43" s="6">
        <v>23039</v>
      </c>
      <c r="B43" s="6" t="s">
        <v>213</v>
      </c>
      <c r="C43" s="26" t="s">
        <v>214</v>
      </c>
      <c r="D43" s="6" t="s">
        <v>215</v>
      </c>
      <c r="E43" s="6" t="s">
        <v>120</v>
      </c>
      <c r="F43" s="6">
        <v>3</v>
      </c>
    </row>
    <row r="44" spans="1:6" ht="12" customHeight="1">
      <c r="A44" s="6">
        <v>23041</v>
      </c>
      <c r="B44" s="6" t="s">
        <v>216</v>
      </c>
      <c r="C44" s="26" t="s">
        <v>217</v>
      </c>
      <c r="D44" s="6" t="s">
        <v>218</v>
      </c>
      <c r="F44" s="6">
        <v>3</v>
      </c>
    </row>
    <row r="45" spans="1:6" ht="12" customHeight="1">
      <c r="A45" s="6">
        <v>23040</v>
      </c>
      <c r="B45" s="6" t="s">
        <v>219</v>
      </c>
      <c r="C45" s="26" t="s">
        <v>217</v>
      </c>
      <c r="D45" s="6" t="s">
        <v>220</v>
      </c>
      <c r="E45" s="6" t="s">
        <v>221</v>
      </c>
      <c r="F45" s="6">
        <v>3</v>
      </c>
    </row>
    <row r="46" spans="1:6" ht="12" customHeight="1">
      <c r="A46" s="6">
        <v>23043</v>
      </c>
      <c r="B46" s="6" t="s">
        <v>222</v>
      </c>
      <c r="C46" s="26" t="s">
        <v>223</v>
      </c>
      <c r="D46" s="6" t="s">
        <v>201</v>
      </c>
      <c r="E46" s="6" t="s">
        <v>120</v>
      </c>
      <c r="F46" s="6">
        <v>1</v>
      </c>
    </row>
    <row r="47" spans="1:6" ht="12" customHeight="1">
      <c r="A47" s="6">
        <v>23044</v>
      </c>
      <c r="B47" s="6" t="s">
        <v>224</v>
      </c>
      <c r="C47" s="26" t="s">
        <v>225</v>
      </c>
      <c r="D47" s="6" t="s">
        <v>201</v>
      </c>
      <c r="E47" s="6" t="s">
        <v>120</v>
      </c>
      <c r="F47" s="6">
        <v>1</v>
      </c>
    </row>
    <row r="48" spans="1:6" ht="12" customHeight="1">
      <c r="A48" s="6">
        <v>23047</v>
      </c>
      <c r="B48" s="6" t="s">
        <v>226</v>
      </c>
      <c r="C48" s="26" t="s">
        <v>227</v>
      </c>
      <c r="D48" s="6" t="s">
        <v>228</v>
      </c>
      <c r="E48" s="6" t="s">
        <v>229</v>
      </c>
      <c r="F48" s="6">
        <v>2</v>
      </c>
    </row>
    <row r="49" spans="1:6" ht="12" customHeight="1">
      <c r="A49" s="6">
        <v>23045</v>
      </c>
      <c r="B49" s="6" t="s">
        <v>230</v>
      </c>
      <c r="C49" s="26" t="s">
        <v>227</v>
      </c>
      <c r="D49" s="6" t="s">
        <v>231</v>
      </c>
      <c r="E49" s="6" t="s">
        <v>232</v>
      </c>
      <c r="F49" s="6">
        <v>2</v>
      </c>
    </row>
    <row r="50" spans="1:6" ht="12" customHeight="1">
      <c r="A50" s="6">
        <v>23046</v>
      </c>
      <c r="B50" s="6" t="s">
        <v>233</v>
      </c>
      <c r="C50" s="26" t="s">
        <v>227</v>
      </c>
      <c r="D50" s="6" t="s">
        <v>234</v>
      </c>
      <c r="E50" s="6" t="s">
        <v>235</v>
      </c>
      <c r="F50" s="6">
        <v>3</v>
      </c>
    </row>
    <row r="51" spans="1:6" ht="12" customHeight="1">
      <c r="A51" s="6">
        <v>23050</v>
      </c>
      <c r="B51" s="6" t="s">
        <v>236</v>
      </c>
      <c r="C51" s="26" t="s">
        <v>237</v>
      </c>
      <c r="D51" s="6" t="s">
        <v>238</v>
      </c>
      <c r="E51" s="6" t="s">
        <v>239</v>
      </c>
      <c r="F51" s="6">
        <v>3</v>
      </c>
    </row>
    <row r="52" spans="1:6" ht="12" customHeight="1">
      <c r="A52" s="6">
        <v>23048</v>
      </c>
      <c r="B52" s="6" t="s">
        <v>240</v>
      </c>
      <c r="C52" s="26" t="s">
        <v>237</v>
      </c>
      <c r="D52" s="6" t="s">
        <v>241</v>
      </c>
      <c r="E52" s="6" t="s">
        <v>242</v>
      </c>
      <c r="F52" s="6">
        <v>3</v>
      </c>
    </row>
    <row r="53" spans="1:6" ht="12" customHeight="1">
      <c r="A53" s="6">
        <v>23049</v>
      </c>
      <c r="B53" s="6" t="s">
        <v>243</v>
      </c>
      <c r="C53" s="26" t="s">
        <v>237</v>
      </c>
      <c r="D53" s="6" t="s">
        <v>244</v>
      </c>
      <c r="E53" s="6" t="s">
        <v>174</v>
      </c>
      <c r="F53" s="6">
        <v>1</v>
      </c>
    </row>
    <row r="54" spans="1:6" ht="12" customHeight="1">
      <c r="A54" s="6">
        <v>23051</v>
      </c>
      <c r="B54" s="6" t="s">
        <v>245</v>
      </c>
      <c r="C54" s="26" t="s">
        <v>246</v>
      </c>
      <c r="D54" s="6" t="s">
        <v>247</v>
      </c>
      <c r="E54" s="6" t="s">
        <v>193</v>
      </c>
      <c r="F54" s="6">
        <v>2</v>
      </c>
    </row>
    <row r="55" spans="1:6" ht="12" customHeight="1">
      <c r="A55" s="6">
        <v>23052</v>
      </c>
      <c r="B55" s="6" t="s">
        <v>248</v>
      </c>
      <c r="C55" s="26" t="s">
        <v>249</v>
      </c>
      <c r="D55" s="6" t="s">
        <v>247</v>
      </c>
      <c r="E55" s="6" t="s">
        <v>193</v>
      </c>
      <c r="F55" s="6">
        <v>3</v>
      </c>
    </row>
    <row r="56" spans="1:6" ht="12" customHeight="1">
      <c r="A56" s="6">
        <v>23053</v>
      </c>
      <c r="B56" s="6" t="s">
        <v>250</v>
      </c>
      <c r="C56" s="26" t="s">
        <v>251</v>
      </c>
      <c r="D56" s="6" t="s">
        <v>252</v>
      </c>
      <c r="E56" s="6" t="s">
        <v>253</v>
      </c>
      <c r="F56" s="6">
        <v>2</v>
      </c>
    </row>
    <row r="57" spans="1:6" ht="12" customHeight="1">
      <c r="A57" s="6">
        <v>23055</v>
      </c>
      <c r="B57" s="6" t="s">
        <v>254</v>
      </c>
      <c r="C57" s="26" t="s">
        <v>255</v>
      </c>
      <c r="D57" s="6" t="s">
        <v>252</v>
      </c>
      <c r="E57" s="6" t="s">
        <v>253</v>
      </c>
      <c r="F57" s="6">
        <v>1</v>
      </c>
    </row>
    <row r="58" spans="1:6" ht="12" customHeight="1">
      <c r="A58" s="6">
        <v>23056</v>
      </c>
      <c r="B58" s="6" t="s">
        <v>256</v>
      </c>
      <c r="C58" s="26" t="s">
        <v>257</v>
      </c>
      <c r="F58" s="6">
        <v>0</v>
      </c>
    </row>
    <row r="59" spans="1:6" ht="12" customHeight="1">
      <c r="A59" s="6">
        <v>23057</v>
      </c>
      <c r="B59" s="6" t="s">
        <v>258</v>
      </c>
      <c r="C59" s="26" t="s">
        <v>259</v>
      </c>
      <c r="F59" s="6">
        <v>3</v>
      </c>
    </row>
    <row r="60" spans="1:6" ht="12" customHeight="1">
      <c r="A60" s="6">
        <v>23042</v>
      </c>
      <c r="B60" s="6" t="s">
        <v>260</v>
      </c>
      <c r="C60" s="26" t="s">
        <v>261</v>
      </c>
      <c r="D60" s="6" t="s">
        <v>228</v>
      </c>
      <c r="E60" s="6" t="s">
        <v>229</v>
      </c>
      <c r="F60" s="6">
        <v>2</v>
      </c>
    </row>
    <row r="61" spans="1:6" ht="12" customHeight="1">
      <c r="A61" s="6">
        <v>23058</v>
      </c>
      <c r="B61" s="6" t="s">
        <v>262</v>
      </c>
      <c r="C61" s="26" t="s">
        <v>261</v>
      </c>
      <c r="D61" s="6" t="s">
        <v>263</v>
      </c>
      <c r="E61" s="6" t="s">
        <v>141</v>
      </c>
      <c r="F61" s="6">
        <v>3</v>
      </c>
    </row>
    <row r="62" spans="1:6" ht="12" customHeight="1">
      <c r="A62" s="6">
        <v>23059</v>
      </c>
      <c r="B62" s="6" t="s">
        <v>264</v>
      </c>
      <c r="C62" s="26" t="s">
        <v>265</v>
      </c>
      <c r="D62" s="6" t="s">
        <v>201</v>
      </c>
      <c r="E62" s="6" t="s">
        <v>120</v>
      </c>
      <c r="F62" s="6">
        <v>3</v>
      </c>
    </row>
    <row r="63" spans="1:6" ht="12" customHeight="1">
      <c r="A63" s="6">
        <v>23060</v>
      </c>
      <c r="B63" s="6" t="s">
        <v>266</v>
      </c>
      <c r="C63" s="26" t="s">
        <v>267</v>
      </c>
      <c r="D63" s="6" t="s">
        <v>268</v>
      </c>
      <c r="F63" s="6">
        <v>3</v>
      </c>
    </row>
    <row r="64" spans="1:6" ht="12" customHeight="1">
      <c r="A64" s="6">
        <v>23061</v>
      </c>
      <c r="B64" s="6" t="s">
        <v>269</v>
      </c>
      <c r="C64" s="26" t="s">
        <v>270</v>
      </c>
      <c r="D64" s="6" t="s">
        <v>220</v>
      </c>
      <c r="E64" s="6" t="s">
        <v>221</v>
      </c>
      <c r="F64" s="6">
        <v>3</v>
      </c>
    </row>
    <row r="65" spans="1:6" ht="12" customHeight="1">
      <c r="A65" s="6">
        <v>23062</v>
      </c>
      <c r="B65" s="6" t="s">
        <v>271</v>
      </c>
      <c r="C65" s="26" t="s">
        <v>272</v>
      </c>
      <c r="D65" s="6" t="s">
        <v>273</v>
      </c>
      <c r="F65" s="6">
        <v>3</v>
      </c>
    </row>
    <row r="66" spans="1:6" ht="12" customHeight="1">
      <c r="A66" s="6">
        <v>23063</v>
      </c>
      <c r="B66" s="6" t="s">
        <v>274</v>
      </c>
      <c r="C66" s="26" t="s">
        <v>272</v>
      </c>
      <c r="D66" s="6" t="s">
        <v>162</v>
      </c>
      <c r="E66" s="6" t="s">
        <v>163</v>
      </c>
      <c r="F66" s="6">
        <v>3</v>
      </c>
    </row>
    <row r="67" spans="1:6" ht="12" customHeight="1">
      <c r="A67" s="6">
        <v>23064</v>
      </c>
      <c r="B67" s="6" t="s">
        <v>275</v>
      </c>
      <c r="C67" s="26" t="s">
        <v>276</v>
      </c>
      <c r="D67" s="6" t="s">
        <v>201</v>
      </c>
      <c r="E67" s="6" t="s">
        <v>120</v>
      </c>
      <c r="F67" s="6">
        <v>2</v>
      </c>
    </row>
    <row r="68" spans="1:6" ht="12" customHeight="1">
      <c r="A68" s="6">
        <v>23065</v>
      </c>
      <c r="B68" s="6" t="s">
        <v>277</v>
      </c>
      <c r="C68" s="26" t="s">
        <v>278</v>
      </c>
      <c r="D68" s="6" t="s">
        <v>208</v>
      </c>
      <c r="E68" s="6" t="s">
        <v>186</v>
      </c>
      <c r="F68" s="6">
        <v>3</v>
      </c>
    </row>
    <row r="69" spans="1:6" ht="12" customHeight="1">
      <c r="A69" s="6">
        <v>23066</v>
      </c>
      <c r="B69" s="6" t="s">
        <v>279</v>
      </c>
      <c r="C69" s="26" t="s">
        <v>278</v>
      </c>
      <c r="D69" s="6" t="s">
        <v>137</v>
      </c>
      <c r="E69" s="6" t="s">
        <v>138</v>
      </c>
      <c r="F69" s="6">
        <v>2</v>
      </c>
    </row>
    <row r="70" spans="1:6" ht="12" customHeight="1">
      <c r="A70" s="6">
        <v>23067</v>
      </c>
      <c r="B70" s="6" t="s">
        <v>280</v>
      </c>
      <c r="C70" s="26" t="s">
        <v>281</v>
      </c>
      <c r="F70" s="6">
        <v>2</v>
      </c>
    </row>
    <row r="71" spans="1:6" ht="12" customHeight="1">
      <c r="A71" s="6">
        <v>23068</v>
      </c>
      <c r="B71" s="6" t="s">
        <v>282</v>
      </c>
      <c r="C71" s="26" t="s">
        <v>283</v>
      </c>
      <c r="F71" s="6">
        <v>0</v>
      </c>
    </row>
    <row r="72" spans="1:6" ht="12" customHeight="1">
      <c r="A72" s="6">
        <v>23069</v>
      </c>
      <c r="B72" s="6" t="s">
        <v>284</v>
      </c>
      <c r="C72" s="26" t="s">
        <v>283</v>
      </c>
      <c r="D72" s="6" t="s">
        <v>244</v>
      </c>
      <c r="E72" s="6" t="s">
        <v>174</v>
      </c>
      <c r="F72" s="6">
        <v>2</v>
      </c>
    </row>
    <row r="73" spans="1:6" ht="12" customHeight="1">
      <c r="A73" s="6">
        <v>23070</v>
      </c>
      <c r="B73" s="6" t="s">
        <v>285</v>
      </c>
      <c r="C73" s="26" t="s">
        <v>286</v>
      </c>
      <c r="D73" s="6" t="s">
        <v>133</v>
      </c>
      <c r="E73" s="6" t="s">
        <v>134</v>
      </c>
      <c r="F73" s="6">
        <v>3</v>
      </c>
    </row>
    <row r="74" spans="1:6" ht="12" customHeight="1">
      <c r="A74" s="6">
        <v>23071</v>
      </c>
      <c r="B74" s="6" t="s">
        <v>287</v>
      </c>
      <c r="C74" s="26" t="s">
        <v>286</v>
      </c>
      <c r="D74" s="6" t="s">
        <v>143</v>
      </c>
      <c r="E74" s="6" t="s">
        <v>144</v>
      </c>
      <c r="F74" s="6">
        <v>2</v>
      </c>
    </row>
    <row r="75" spans="1:6" ht="12" customHeight="1">
      <c r="A75" s="6">
        <v>23072</v>
      </c>
      <c r="B75" s="6" t="s">
        <v>288</v>
      </c>
      <c r="C75" s="26" t="s">
        <v>286</v>
      </c>
      <c r="D75" s="6" t="s">
        <v>168</v>
      </c>
      <c r="E75" s="6" t="s">
        <v>169</v>
      </c>
      <c r="F75" s="6">
        <v>2</v>
      </c>
    </row>
    <row r="76" spans="1:6" ht="12" customHeight="1">
      <c r="A76" s="6">
        <v>23073</v>
      </c>
      <c r="B76" s="6" t="s">
        <v>289</v>
      </c>
      <c r="C76" s="26" t="s">
        <v>290</v>
      </c>
      <c r="D76" s="6" t="s">
        <v>234</v>
      </c>
      <c r="E76" s="6" t="s">
        <v>235</v>
      </c>
      <c r="F76" s="6">
        <v>3</v>
      </c>
    </row>
    <row r="77" spans="1:6" ht="12" customHeight="1">
      <c r="A77" s="6">
        <v>23074</v>
      </c>
      <c r="B77" s="6" t="s">
        <v>291</v>
      </c>
      <c r="C77" s="26" t="s">
        <v>292</v>
      </c>
      <c r="D77" s="6" t="s">
        <v>137</v>
      </c>
      <c r="E77" s="6" t="s">
        <v>138</v>
      </c>
      <c r="F77" s="6">
        <v>2</v>
      </c>
    </row>
    <row r="78" spans="1:6" ht="12" customHeight="1">
      <c r="A78" s="6">
        <v>23075</v>
      </c>
      <c r="B78" s="6" t="s">
        <v>293</v>
      </c>
      <c r="C78" s="26" t="s">
        <v>292</v>
      </c>
      <c r="D78" s="6" t="s">
        <v>198</v>
      </c>
      <c r="E78" s="6" t="s">
        <v>199</v>
      </c>
      <c r="F78" s="6">
        <v>3</v>
      </c>
    </row>
    <row r="79" spans="1:6" ht="12" customHeight="1">
      <c r="A79" s="6">
        <v>23076</v>
      </c>
      <c r="B79" s="6" t="s">
        <v>294</v>
      </c>
      <c r="C79" s="26" t="s">
        <v>295</v>
      </c>
      <c r="D79" s="6" t="s">
        <v>231</v>
      </c>
      <c r="E79" s="6" t="s">
        <v>232</v>
      </c>
      <c r="F79" s="6">
        <v>2</v>
      </c>
    </row>
    <row r="80" spans="1:6" ht="12" customHeight="1">
      <c r="A80" s="6">
        <v>23077</v>
      </c>
      <c r="B80" s="6" t="s">
        <v>296</v>
      </c>
      <c r="C80" s="26" t="s">
        <v>295</v>
      </c>
      <c r="D80" s="6" t="s">
        <v>150</v>
      </c>
      <c r="E80" s="6" t="s">
        <v>151</v>
      </c>
      <c r="F80" s="6">
        <v>2</v>
      </c>
    </row>
    <row r="81" spans="1:6" ht="12" customHeight="1">
      <c r="A81" s="6">
        <v>23078</v>
      </c>
      <c r="B81" s="6" t="s">
        <v>297</v>
      </c>
      <c r="C81" s="26" t="s">
        <v>298</v>
      </c>
      <c r="D81" s="6" t="s">
        <v>137</v>
      </c>
      <c r="E81" s="6" t="s">
        <v>299</v>
      </c>
      <c r="F81" s="6">
        <v>3</v>
      </c>
    </row>
    <row r="82" spans="1:6" ht="12" customHeight="1">
      <c r="A82" s="6">
        <v>23079</v>
      </c>
      <c r="B82" s="6" t="s">
        <v>300</v>
      </c>
      <c r="C82" s="26" t="s">
        <v>301</v>
      </c>
      <c r="D82" s="6" t="s">
        <v>129</v>
      </c>
      <c r="E82" s="6" t="s">
        <v>130</v>
      </c>
      <c r="F82" s="6">
        <v>2</v>
      </c>
    </row>
    <row r="83" spans="1:6" ht="12" customHeight="1">
      <c r="C83" s="26"/>
    </row>
    <row r="84" spans="1:6" ht="12" customHeight="1">
      <c r="C84" s="26"/>
    </row>
    <row r="85" spans="1:6" ht="12" customHeight="1">
      <c r="C85" s="26"/>
    </row>
    <row r="86" spans="1:6" ht="12" customHeight="1">
      <c r="C86" s="26"/>
    </row>
    <row r="87" spans="1:6" ht="12" customHeight="1">
      <c r="C87" s="26"/>
    </row>
    <row r="88" spans="1:6" ht="12" customHeight="1">
      <c r="C88" s="26"/>
    </row>
    <row r="89" spans="1:6" ht="12" customHeight="1">
      <c r="C89" s="26"/>
    </row>
    <row r="90" spans="1:6" ht="12" customHeight="1">
      <c r="C90" s="26"/>
    </row>
    <row r="91" spans="1:6" ht="12" customHeight="1">
      <c r="C91" s="26"/>
    </row>
    <row r="92" spans="1:6" ht="12" customHeight="1">
      <c r="C92" s="26"/>
    </row>
    <row r="93" spans="1:6" ht="12" customHeight="1">
      <c r="C93" s="26"/>
    </row>
    <row r="94" spans="1:6" ht="12" customHeight="1">
      <c r="C94" s="26"/>
    </row>
    <row r="95" spans="1:6" ht="12" customHeight="1">
      <c r="C95" s="26"/>
    </row>
    <row r="96" spans="1:6" ht="12" customHeight="1">
      <c r="C96" s="26"/>
    </row>
    <row r="97" spans="3:3" ht="12" customHeight="1">
      <c r="C97" s="26"/>
    </row>
    <row r="98" spans="3:3" ht="12" customHeight="1">
      <c r="C98" s="26"/>
    </row>
    <row r="99" spans="3:3" ht="12" customHeight="1">
      <c r="C99" s="26"/>
    </row>
    <row r="100" spans="3:3" ht="12" customHeight="1">
      <c r="C100" s="26"/>
    </row>
    <row r="101" spans="3:3" ht="12" customHeight="1">
      <c r="C101" s="26"/>
    </row>
    <row r="102" spans="3:3" ht="12" customHeight="1">
      <c r="C102" s="26"/>
    </row>
    <row r="103" spans="3:3" ht="12" customHeight="1">
      <c r="C103" s="26"/>
    </row>
    <row r="104" spans="3:3" ht="12" customHeight="1">
      <c r="C104" s="26"/>
    </row>
    <row r="105" spans="3:3" ht="12" customHeight="1">
      <c r="C105" s="26"/>
    </row>
    <row r="106" spans="3:3" ht="12" customHeight="1">
      <c r="C106" s="26"/>
    </row>
    <row r="107" spans="3:3" ht="12" customHeight="1">
      <c r="C107" s="26"/>
    </row>
    <row r="108" spans="3:3" ht="12" customHeight="1">
      <c r="C108" s="26"/>
    </row>
    <row r="109" spans="3:3" ht="12" customHeight="1">
      <c r="C109" s="26"/>
    </row>
    <row r="110" spans="3:3" ht="12" customHeight="1">
      <c r="C110" s="26"/>
    </row>
    <row r="111" spans="3:3" ht="12" customHeight="1">
      <c r="C111" s="26"/>
    </row>
    <row r="112" spans="3:3" ht="12" customHeight="1">
      <c r="C112" s="26"/>
    </row>
    <row r="113" spans="3:3" ht="12" customHeight="1">
      <c r="C113" s="26"/>
    </row>
    <row r="114" spans="3:3" ht="12" customHeight="1">
      <c r="C114" s="26"/>
    </row>
    <row r="115" spans="3:3" ht="12" customHeight="1">
      <c r="C115" s="26"/>
    </row>
    <row r="116" spans="3:3" ht="12" customHeight="1">
      <c r="C116" s="26"/>
    </row>
    <row r="117" spans="3:3" ht="12" customHeight="1">
      <c r="C117" s="26"/>
    </row>
    <row r="118" spans="3:3" ht="12" customHeight="1">
      <c r="C118" s="26"/>
    </row>
    <row r="119" spans="3:3" ht="12" customHeight="1">
      <c r="C119" s="26"/>
    </row>
    <row r="120" spans="3:3" ht="12" customHeight="1">
      <c r="C120" s="26"/>
    </row>
    <row r="121" spans="3:3" ht="12" customHeight="1"/>
    <row r="122" spans="3:3" ht="12" customHeight="1"/>
    <row r="123" spans="3:3" ht="12" customHeight="1"/>
    <row r="124" spans="3:3" ht="12" customHeight="1"/>
    <row r="125" spans="3:3" ht="12" customHeight="1"/>
    <row r="126" spans="3:3" ht="12" customHeight="1"/>
    <row r="127" spans="3:3" ht="12" customHeight="1"/>
    <row r="128" spans="3:3"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10</v>
      </c>
      <c r="B1" s="175" t="s">
        <v>1794</v>
      </c>
      <c r="C1" s="274" t="s">
        <v>434</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J1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J2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J3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J4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40" priority="1" operator="equal">
      <formula>0</formula>
    </cfRule>
  </conditionalFormatting>
  <conditionalFormatting sqref="J6:K6 N6:O7 R6:S8 V6:W9 Z6:AA10">
    <cfRule type="cellIs" dxfId="139" priority="2" operator="equal">
      <formula>0</formula>
    </cfRule>
  </conditionalFormatting>
  <conditionalFormatting sqref="B6:B11">
    <cfRule type="expression" dxfId="138" priority="3">
      <formula>IF(C6=1,TRUE,FALSE)</formula>
    </cfRule>
  </conditionalFormatting>
  <conditionalFormatting sqref="B6:B11">
    <cfRule type="expression" dxfId="13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11</v>
      </c>
      <c r="B1" s="175" t="s">
        <v>1794</v>
      </c>
      <c r="C1" s="274" t="s">
        <v>1840</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K1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K2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K3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K4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36" priority="1" operator="equal">
      <formula>0</formula>
    </cfRule>
  </conditionalFormatting>
  <conditionalFormatting sqref="J6:K6 N6:O7 R6:S8 V6:W9 Z6:AA10">
    <cfRule type="cellIs" dxfId="135" priority="2" operator="equal">
      <formula>0</formula>
    </cfRule>
  </conditionalFormatting>
  <conditionalFormatting sqref="B6:B11">
    <cfRule type="expression" dxfId="134" priority="3">
      <formula>IF(C6=1,TRUE,FALSE)</formula>
    </cfRule>
  </conditionalFormatting>
  <conditionalFormatting sqref="B6:B11">
    <cfRule type="expression" dxfId="13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12</v>
      </c>
      <c r="B1" s="175" t="s">
        <v>1794</v>
      </c>
      <c r="C1" s="274" t="s">
        <v>1841</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L1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L2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L3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L4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32" priority="1" operator="equal">
      <formula>0</formula>
    </cfRule>
  </conditionalFormatting>
  <conditionalFormatting sqref="J6:K6 N6:O7 R6:S8 V6:W9 Z6:AA10">
    <cfRule type="cellIs" dxfId="131" priority="2" operator="equal">
      <formula>0</formula>
    </cfRule>
  </conditionalFormatting>
  <conditionalFormatting sqref="B6:B11">
    <cfRule type="expression" dxfId="130" priority="3">
      <formula>IF(C6=1,TRUE,FALSE)</formula>
    </cfRule>
  </conditionalFormatting>
  <conditionalFormatting sqref="B6:B11">
    <cfRule type="expression" dxfId="12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13</v>
      </c>
      <c r="B1" s="175" t="s">
        <v>1794</v>
      </c>
      <c r="C1" s="274" t="s">
        <v>1842</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M1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M2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M3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M4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28" priority="1" operator="equal">
      <formula>0</formula>
    </cfRule>
  </conditionalFormatting>
  <conditionalFormatting sqref="J6:K6 N6:O7 R6:S8 V6:W9 Z6:AA10">
    <cfRule type="cellIs" dxfId="127" priority="2" operator="equal">
      <formula>0</formula>
    </cfRule>
  </conditionalFormatting>
  <conditionalFormatting sqref="B6:B11">
    <cfRule type="expression" dxfId="126" priority="3">
      <formula>IF(C6=1,TRUE,FALSE)</formula>
    </cfRule>
  </conditionalFormatting>
  <conditionalFormatting sqref="B6:B11">
    <cfRule type="expression" dxfId="12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14</v>
      </c>
      <c r="B1" s="175" t="s">
        <v>1794</v>
      </c>
      <c r="C1" s="274" t="s">
        <v>1843</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N1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N2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N3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N4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24" priority="1" operator="equal">
      <formula>0</formula>
    </cfRule>
  </conditionalFormatting>
  <conditionalFormatting sqref="J6:K6 N6:O7 R6:S8 V6:W9 Z6:AA10">
    <cfRule type="cellIs" dxfId="123" priority="2" operator="equal">
      <formula>0</formula>
    </cfRule>
  </conditionalFormatting>
  <conditionalFormatting sqref="B6:B11">
    <cfRule type="expression" dxfId="122" priority="3">
      <formula>IF(C6=1,TRUE,FALSE)</formula>
    </cfRule>
  </conditionalFormatting>
  <conditionalFormatting sqref="B6:B11">
    <cfRule type="expression" dxfId="12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15</v>
      </c>
      <c r="B1" s="175" t="s">
        <v>1794</v>
      </c>
      <c r="C1" s="274" t="s">
        <v>1844</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O1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O2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O3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O4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20" priority="1" operator="equal">
      <formula>0</formula>
    </cfRule>
  </conditionalFormatting>
  <conditionalFormatting sqref="J6:K6 N6:O7 R6:S8 V6:W9 Z6:AA10">
    <cfRule type="cellIs" dxfId="119" priority="2" operator="equal">
      <formula>0</formula>
    </cfRule>
  </conditionalFormatting>
  <conditionalFormatting sqref="B6:B11">
    <cfRule type="expression" dxfId="118" priority="3">
      <formula>IF(C6=1,TRUE,FALSE)</formula>
    </cfRule>
  </conditionalFormatting>
  <conditionalFormatting sqref="B6:B11">
    <cfRule type="expression" dxfId="11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16</v>
      </c>
      <c r="B1" s="175" t="s">
        <v>1794</v>
      </c>
      <c r="C1" s="274" t="s">
        <v>1845</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P1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P2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P3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P4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16" priority="1" operator="equal">
      <formula>0</formula>
    </cfRule>
  </conditionalFormatting>
  <conditionalFormatting sqref="J6:K6 N6:O7 R6:S8 V6:W9 Z6:AA10">
    <cfRule type="cellIs" dxfId="115" priority="2" operator="equal">
      <formula>0</formula>
    </cfRule>
  </conditionalFormatting>
  <conditionalFormatting sqref="B6:B11">
    <cfRule type="expression" dxfId="114" priority="3">
      <formula>IF(C6=1,TRUE,FALSE)</formula>
    </cfRule>
  </conditionalFormatting>
  <conditionalFormatting sqref="B6:B11">
    <cfRule type="expression" dxfId="11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17</v>
      </c>
      <c r="B1" s="175" t="s">
        <v>1794</v>
      </c>
      <c r="C1" s="274" t="s">
        <v>1846</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Q1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Q2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Q3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Q4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12" priority="1" operator="equal">
      <formula>0</formula>
    </cfRule>
  </conditionalFormatting>
  <conditionalFormatting sqref="J6:K6 N6:O7 R6:S8 V6:W9 Z6:AA10">
    <cfRule type="cellIs" dxfId="111" priority="2" operator="equal">
      <formula>0</formula>
    </cfRule>
  </conditionalFormatting>
  <conditionalFormatting sqref="B6:B11">
    <cfRule type="expression" dxfId="110" priority="3">
      <formula>IF(C6=1,TRUE,FALSE)</formula>
    </cfRule>
  </conditionalFormatting>
  <conditionalFormatting sqref="B6:B11">
    <cfRule type="expression" dxfId="10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18</v>
      </c>
      <c r="B1" s="175" t="s">
        <v>1794</v>
      </c>
      <c r="C1" s="274" t="s">
        <v>1847</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R1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R2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R3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R4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08" priority="1" operator="equal">
      <formula>0</formula>
    </cfRule>
  </conditionalFormatting>
  <conditionalFormatting sqref="J6:K6 N6:O7 R6:S8 V6:W9 Z6:AA10">
    <cfRule type="cellIs" dxfId="107" priority="2" operator="equal">
      <formula>0</formula>
    </cfRule>
  </conditionalFormatting>
  <conditionalFormatting sqref="B6:B11">
    <cfRule type="expression" dxfId="106" priority="3">
      <formula>IF(C6=1,TRUE,FALSE)</formula>
    </cfRule>
  </conditionalFormatting>
  <conditionalFormatting sqref="B6:B11">
    <cfRule type="expression" dxfId="10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19</v>
      </c>
      <c r="B1" s="175" t="s">
        <v>1794</v>
      </c>
      <c r="C1" s="274" t="s">
        <v>310</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S1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S2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S3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S4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04" priority="1" operator="equal">
      <formula>0</formula>
    </cfRule>
  </conditionalFormatting>
  <conditionalFormatting sqref="J6:K6 N6:O7 R6:S8 V6:W9 Z6:AA10">
    <cfRule type="cellIs" dxfId="103" priority="2" operator="equal">
      <formula>0</formula>
    </cfRule>
  </conditionalFormatting>
  <conditionalFormatting sqref="B6:B11">
    <cfRule type="expression" dxfId="102" priority="3">
      <formula>IF(C6=1,TRUE,FALSE)</formula>
    </cfRule>
  </conditionalFormatting>
  <conditionalFormatting sqref="B6:B11">
    <cfRule type="expression" dxfId="10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4.375" defaultRowHeight="15" customHeight="1"/>
  <cols>
    <col min="1" max="1" width="6" customWidth="1"/>
    <col min="2" max="2" width="51.375" customWidth="1"/>
    <col min="3" max="26" width="8" customWidth="1"/>
  </cols>
  <sheetData>
    <row r="1" spans="1:3" ht="29.25" customHeight="1">
      <c r="A1" s="27" t="s">
        <v>302</v>
      </c>
      <c r="B1" s="28"/>
      <c r="C1" s="29"/>
    </row>
    <row r="2" spans="1:3" ht="12" customHeight="1">
      <c r="A2" s="6" t="s">
        <v>303</v>
      </c>
    </row>
    <row r="3" spans="1:3" ht="12" customHeight="1"/>
    <row r="4" spans="1:3" ht="12" customHeight="1">
      <c r="A4" s="30" t="s">
        <v>304</v>
      </c>
      <c r="B4" s="31" t="s">
        <v>305</v>
      </c>
      <c r="C4" s="32" t="s">
        <v>306</v>
      </c>
    </row>
    <row r="5" spans="1:3" ht="12" customHeight="1">
      <c r="A5" s="33" t="s">
        <v>307</v>
      </c>
      <c r="B5" s="34"/>
      <c r="C5" s="35"/>
    </row>
    <row r="6" spans="1:3" ht="15" customHeight="1">
      <c r="A6" s="36" t="s">
        <v>308</v>
      </c>
      <c r="B6" s="37" t="s">
        <v>309</v>
      </c>
      <c r="C6" s="38" t="s">
        <v>310</v>
      </c>
    </row>
    <row r="7" spans="1:3" ht="15" customHeight="1">
      <c r="A7" s="39" t="s">
        <v>311</v>
      </c>
      <c r="B7" s="40" t="s">
        <v>312</v>
      </c>
      <c r="C7" s="38" t="s">
        <v>313</v>
      </c>
    </row>
    <row r="8" spans="1:3" ht="15" customHeight="1">
      <c r="A8" s="39" t="s">
        <v>314</v>
      </c>
      <c r="B8" s="40" t="s">
        <v>315</v>
      </c>
      <c r="C8" s="38" t="s">
        <v>316</v>
      </c>
    </row>
    <row r="9" spans="1:3" ht="15" customHeight="1">
      <c r="A9" s="39" t="s">
        <v>317</v>
      </c>
      <c r="B9" s="40" t="s">
        <v>318</v>
      </c>
      <c r="C9" s="38" t="s">
        <v>316</v>
      </c>
    </row>
    <row r="10" spans="1:3" ht="15" customHeight="1">
      <c r="A10" s="39" t="s">
        <v>319</v>
      </c>
      <c r="B10" s="40" t="s">
        <v>320</v>
      </c>
      <c r="C10" s="38" t="s">
        <v>310</v>
      </c>
    </row>
    <row r="11" spans="1:3" ht="15" customHeight="1">
      <c r="A11" s="39" t="s">
        <v>321</v>
      </c>
      <c r="B11" s="40" t="s">
        <v>322</v>
      </c>
      <c r="C11" s="38" t="s">
        <v>316</v>
      </c>
    </row>
    <row r="12" spans="1:3" ht="15" customHeight="1">
      <c r="A12" s="39" t="s">
        <v>323</v>
      </c>
      <c r="B12" s="40" t="s">
        <v>324</v>
      </c>
      <c r="C12" s="38" t="s">
        <v>313</v>
      </c>
    </row>
    <row r="13" spans="1:3" ht="15" customHeight="1">
      <c r="A13" s="39" t="s">
        <v>325</v>
      </c>
      <c r="B13" s="40" t="s">
        <v>326</v>
      </c>
      <c r="C13" s="38" t="s">
        <v>310</v>
      </c>
    </row>
    <row r="14" spans="1:3" ht="15" customHeight="1">
      <c r="A14" s="39" t="s">
        <v>327</v>
      </c>
      <c r="B14" s="40" t="s">
        <v>328</v>
      </c>
      <c r="C14" s="38" t="s">
        <v>313</v>
      </c>
    </row>
    <row r="15" spans="1:3" ht="15" customHeight="1">
      <c r="A15" s="39" t="s">
        <v>329</v>
      </c>
      <c r="B15" s="40" t="s">
        <v>239</v>
      </c>
      <c r="C15" s="38" t="s">
        <v>313</v>
      </c>
    </row>
    <row r="16" spans="1:3" ht="15" customHeight="1">
      <c r="A16" s="39" t="s">
        <v>330</v>
      </c>
      <c r="B16" s="40" t="s">
        <v>331</v>
      </c>
      <c r="C16" s="38" t="s">
        <v>313</v>
      </c>
    </row>
    <row r="17" spans="1:3" ht="15" customHeight="1">
      <c r="A17" s="39" t="s">
        <v>332</v>
      </c>
      <c r="B17" s="40" t="s">
        <v>333</v>
      </c>
      <c r="C17" s="38" t="s">
        <v>313</v>
      </c>
    </row>
    <row r="18" spans="1:3" ht="15" customHeight="1">
      <c r="A18" s="39" t="s">
        <v>334</v>
      </c>
      <c r="B18" s="40" t="s">
        <v>221</v>
      </c>
      <c r="C18" s="38" t="s">
        <v>313</v>
      </c>
    </row>
    <row r="19" spans="1:3" ht="15" customHeight="1">
      <c r="A19" s="39" t="s">
        <v>335</v>
      </c>
      <c r="B19" s="40" t="s">
        <v>232</v>
      </c>
      <c r="C19" s="38" t="s">
        <v>316</v>
      </c>
    </row>
    <row r="20" spans="1:3" ht="15" customHeight="1">
      <c r="A20" s="39" t="s">
        <v>336</v>
      </c>
      <c r="B20" s="40" t="s">
        <v>337</v>
      </c>
      <c r="C20" s="38" t="s">
        <v>310</v>
      </c>
    </row>
    <row r="21" spans="1:3" ht="15" customHeight="1">
      <c r="A21" s="39" t="s">
        <v>338</v>
      </c>
      <c r="B21" s="40" t="s">
        <v>339</v>
      </c>
      <c r="C21" s="38" t="s">
        <v>310</v>
      </c>
    </row>
    <row r="22" spans="1:3" ht="15" customHeight="1">
      <c r="A22" s="39" t="s">
        <v>340</v>
      </c>
      <c r="B22" s="40" t="s">
        <v>341</v>
      </c>
      <c r="C22" s="38" t="s">
        <v>313</v>
      </c>
    </row>
    <row r="23" spans="1:3" ht="15" customHeight="1">
      <c r="A23" s="39" t="s">
        <v>342</v>
      </c>
      <c r="B23" s="40" t="s">
        <v>343</v>
      </c>
      <c r="C23" s="38" t="s">
        <v>316</v>
      </c>
    </row>
    <row r="24" spans="1:3" ht="15" customHeight="1">
      <c r="A24" s="39" t="s">
        <v>344</v>
      </c>
      <c r="B24" s="40" t="s">
        <v>345</v>
      </c>
      <c r="C24" s="38" t="s">
        <v>316</v>
      </c>
    </row>
    <row r="25" spans="1:3" ht="15" customHeight="1">
      <c r="A25" s="39" t="s">
        <v>346</v>
      </c>
      <c r="B25" s="40" t="s">
        <v>347</v>
      </c>
      <c r="C25" s="38" t="s">
        <v>313</v>
      </c>
    </row>
    <row r="26" spans="1:3" ht="15" customHeight="1">
      <c r="A26" s="39" t="s">
        <v>348</v>
      </c>
      <c r="B26" s="40" t="s">
        <v>349</v>
      </c>
      <c r="C26" s="38" t="s">
        <v>313</v>
      </c>
    </row>
    <row r="27" spans="1:3" ht="15" customHeight="1">
      <c r="A27" s="39" t="s">
        <v>350</v>
      </c>
      <c r="B27" s="40" t="s">
        <v>351</v>
      </c>
      <c r="C27" s="38" t="s">
        <v>313</v>
      </c>
    </row>
    <row r="28" spans="1:3" ht="15" customHeight="1">
      <c r="A28" s="39" t="s">
        <v>352</v>
      </c>
      <c r="B28" s="40" t="s">
        <v>163</v>
      </c>
      <c r="C28" s="38" t="s">
        <v>313</v>
      </c>
    </row>
    <row r="29" spans="1:3" ht="15" customHeight="1">
      <c r="A29" s="39" t="s">
        <v>353</v>
      </c>
      <c r="B29" s="40" t="s">
        <v>354</v>
      </c>
      <c r="C29" s="38" t="s">
        <v>316</v>
      </c>
    </row>
    <row r="30" spans="1:3" ht="15" customHeight="1">
      <c r="A30" s="39" t="s">
        <v>355</v>
      </c>
      <c r="B30" s="40" t="s">
        <v>356</v>
      </c>
      <c r="C30" s="38" t="s">
        <v>310</v>
      </c>
    </row>
    <row r="31" spans="1:3" ht="15" customHeight="1">
      <c r="A31" s="39" t="s">
        <v>357</v>
      </c>
      <c r="B31" s="40" t="s">
        <v>156</v>
      </c>
      <c r="C31" s="38" t="s">
        <v>313</v>
      </c>
    </row>
    <row r="32" spans="1:3" ht="15" customHeight="1">
      <c r="A32" s="41" t="s">
        <v>358</v>
      </c>
      <c r="B32" s="42" t="s">
        <v>359</v>
      </c>
      <c r="C32" s="38" t="s">
        <v>316</v>
      </c>
    </row>
    <row r="33" spans="1:3" ht="15" customHeight="1">
      <c r="A33" s="41" t="s">
        <v>360</v>
      </c>
      <c r="B33" s="42" t="s">
        <v>361</v>
      </c>
      <c r="C33" s="38" t="s">
        <v>316</v>
      </c>
    </row>
    <row r="34" spans="1:3" ht="15" customHeight="1">
      <c r="A34" s="41" t="s">
        <v>362</v>
      </c>
      <c r="B34" s="42" t="s">
        <v>363</v>
      </c>
      <c r="C34" s="38" t="s">
        <v>310</v>
      </c>
    </row>
    <row r="35" spans="1:3" ht="15" customHeight="1">
      <c r="A35" s="41" t="s">
        <v>364</v>
      </c>
      <c r="B35" s="42" t="s">
        <v>365</v>
      </c>
      <c r="C35" s="38" t="s">
        <v>316</v>
      </c>
    </row>
    <row r="36" spans="1:3" ht="15" customHeight="1">
      <c r="A36" s="41" t="s">
        <v>366</v>
      </c>
      <c r="B36" s="42" t="s">
        <v>367</v>
      </c>
      <c r="C36" s="38" t="s">
        <v>316</v>
      </c>
    </row>
    <row r="37" spans="1:3" ht="15" customHeight="1">
      <c r="A37" s="41" t="s">
        <v>368</v>
      </c>
      <c r="B37" s="42" t="s">
        <v>369</v>
      </c>
      <c r="C37" s="38" t="s">
        <v>316</v>
      </c>
    </row>
    <row r="38" spans="1:3" ht="15" customHeight="1">
      <c r="A38" s="41" t="s">
        <v>370</v>
      </c>
      <c r="B38" s="42" t="s">
        <v>371</v>
      </c>
      <c r="C38" s="38" t="s">
        <v>316</v>
      </c>
    </row>
    <row r="39" spans="1:3" ht="15" customHeight="1">
      <c r="A39" s="41" t="s">
        <v>372</v>
      </c>
      <c r="B39" s="42" t="s">
        <v>373</v>
      </c>
      <c r="C39" s="38" t="s">
        <v>310</v>
      </c>
    </row>
    <row r="40" spans="1:3" ht="15" customHeight="1">
      <c r="A40" s="41" t="s">
        <v>374</v>
      </c>
      <c r="B40" s="42" t="s">
        <v>375</v>
      </c>
      <c r="C40" s="38" t="s">
        <v>316</v>
      </c>
    </row>
    <row r="41" spans="1:3" ht="15" customHeight="1">
      <c r="A41" s="41" t="s">
        <v>376</v>
      </c>
      <c r="B41" s="42" t="s">
        <v>377</v>
      </c>
      <c r="C41" s="38" t="s">
        <v>310</v>
      </c>
    </row>
    <row r="42" spans="1:3" ht="15" customHeight="1">
      <c r="A42" s="41" t="s">
        <v>378</v>
      </c>
      <c r="B42" s="42" t="s">
        <v>379</v>
      </c>
      <c r="C42" s="38" t="s">
        <v>316</v>
      </c>
    </row>
    <row r="43" spans="1:3" ht="15" customHeight="1">
      <c r="A43" s="41" t="s">
        <v>380</v>
      </c>
      <c r="B43" s="42" t="s">
        <v>381</v>
      </c>
      <c r="C43" s="38" t="s">
        <v>316</v>
      </c>
    </row>
    <row r="44" spans="1:3" ht="15" customHeight="1">
      <c r="A44" s="41" t="s">
        <v>382</v>
      </c>
      <c r="B44" s="42" t="s">
        <v>383</v>
      </c>
      <c r="C44" s="38" t="s">
        <v>316</v>
      </c>
    </row>
    <row r="45" spans="1:3" ht="15" customHeight="1">
      <c r="A45" s="41" t="s">
        <v>384</v>
      </c>
      <c r="B45" s="42" t="s">
        <v>385</v>
      </c>
      <c r="C45" s="38" t="s">
        <v>310</v>
      </c>
    </row>
    <row r="46" spans="1:3" ht="15" customHeight="1">
      <c r="A46" s="41" t="s">
        <v>386</v>
      </c>
      <c r="B46" s="42" t="s">
        <v>387</v>
      </c>
      <c r="C46" s="38" t="s">
        <v>316</v>
      </c>
    </row>
    <row r="47" spans="1:3" ht="15" customHeight="1">
      <c r="A47" s="41" t="s">
        <v>388</v>
      </c>
      <c r="B47" s="42" t="s">
        <v>389</v>
      </c>
      <c r="C47" s="38" t="s">
        <v>316</v>
      </c>
    </row>
    <row r="48" spans="1:3" ht="15" customHeight="1">
      <c r="A48" s="41" t="s">
        <v>390</v>
      </c>
      <c r="B48" s="42" t="s">
        <v>391</v>
      </c>
      <c r="C48" s="38" t="s">
        <v>316</v>
      </c>
    </row>
    <row r="49" spans="1:3" ht="15" customHeight="1">
      <c r="A49" s="41" t="s">
        <v>392</v>
      </c>
      <c r="B49" s="42" t="s">
        <v>393</v>
      </c>
      <c r="C49" s="38" t="s">
        <v>310</v>
      </c>
    </row>
    <row r="50" spans="1:3" ht="15" customHeight="1">
      <c r="A50" s="41" t="s">
        <v>394</v>
      </c>
      <c r="B50" s="42" t="s">
        <v>395</v>
      </c>
      <c r="C50" s="38" t="s">
        <v>310</v>
      </c>
    </row>
    <row r="51" spans="1:3" ht="15" customHeight="1">
      <c r="A51" s="41" t="s">
        <v>396</v>
      </c>
      <c r="B51" s="42" t="s">
        <v>397</v>
      </c>
      <c r="C51" s="38" t="s">
        <v>316</v>
      </c>
    </row>
    <row r="52" spans="1:3" ht="15" customHeight="1">
      <c r="A52" s="41" t="s">
        <v>398</v>
      </c>
      <c r="B52" s="42" t="s">
        <v>399</v>
      </c>
      <c r="C52" s="38" t="s">
        <v>316</v>
      </c>
    </row>
    <row r="53" spans="1:3" ht="15" customHeight="1">
      <c r="A53" s="41" t="s">
        <v>400</v>
      </c>
      <c r="B53" s="42" t="s">
        <v>401</v>
      </c>
      <c r="C53" s="38" t="s">
        <v>313</v>
      </c>
    </row>
    <row r="54" spans="1:3" ht="12" customHeight="1"/>
    <row r="55" spans="1:3" ht="12" customHeight="1"/>
    <row r="56" spans="1:3" ht="12" customHeight="1"/>
    <row r="57" spans="1:3" ht="12" customHeight="1"/>
    <row r="58" spans="1:3" ht="12" customHeight="1"/>
    <row r="59" spans="1:3" ht="12" customHeight="1"/>
    <row r="60" spans="1:3" ht="12" customHeight="1"/>
    <row r="61" spans="1:3" ht="12" customHeight="1"/>
    <row r="62" spans="1:3" ht="12" customHeight="1"/>
    <row r="63" spans="1:3" ht="12" customHeight="1"/>
    <row r="64" spans="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C6:C53">
    <cfRule type="cellIs" dxfId="194" priority="1" operator="equal">
      <formula>"V"</formula>
    </cfRule>
  </conditionalFormatting>
  <conditionalFormatting sqref="C6:C53">
    <cfRule type="cellIs" dxfId="193" priority="2" operator="equal">
      <formula>"Z"</formula>
    </cfRule>
  </conditionalFormatting>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20</v>
      </c>
      <c r="B1" s="175" t="s">
        <v>1794</v>
      </c>
      <c r="C1" s="274" t="s">
        <v>1848</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T1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T2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T3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T4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100" priority="1" operator="equal">
      <formula>0</formula>
    </cfRule>
  </conditionalFormatting>
  <conditionalFormatting sqref="J6:K6 N6:O7 R6:S8 V6:W9 Z6:AA10">
    <cfRule type="cellIs" dxfId="99" priority="2" operator="equal">
      <formula>0</formula>
    </cfRule>
  </conditionalFormatting>
  <conditionalFormatting sqref="B6:B11">
    <cfRule type="expression" dxfId="98" priority="3">
      <formula>IF(C6=1,TRUE,FALSE)</formula>
    </cfRule>
  </conditionalFormatting>
  <conditionalFormatting sqref="B6:B11">
    <cfRule type="expression" dxfId="9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21</v>
      </c>
      <c r="B1" s="175" t="s">
        <v>1794</v>
      </c>
      <c r="C1" s="274" t="s">
        <v>1849</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U1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U2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U3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U4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96" priority="1" operator="equal">
      <formula>0</formula>
    </cfRule>
  </conditionalFormatting>
  <conditionalFormatting sqref="J6:K6 N6:O7 R6:S8 V6:W9 Z6:AA10">
    <cfRule type="cellIs" dxfId="95" priority="2" operator="equal">
      <formula>0</formula>
    </cfRule>
  </conditionalFormatting>
  <conditionalFormatting sqref="B6:B11">
    <cfRule type="expression" dxfId="94" priority="3">
      <formula>IF(C6=1,TRUE,FALSE)</formula>
    </cfRule>
  </conditionalFormatting>
  <conditionalFormatting sqref="B6:B11">
    <cfRule type="expression" dxfId="9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22</v>
      </c>
      <c r="B1" s="175" t="s">
        <v>1794</v>
      </c>
      <c r="C1" s="274" t="s">
        <v>313</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9" t="s">
        <v>1804</v>
      </c>
      <c r="G4" s="486"/>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V1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V2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V3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V4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92" priority="1" operator="equal">
      <formula>0</formula>
    </cfRule>
  </conditionalFormatting>
  <conditionalFormatting sqref="J6:K6 N6:O7 R6:S8 V6:W9 Z6:AA10">
    <cfRule type="cellIs" dxfId="91" priority="2" operator="equal">
      <formula>0</formula>
    </cfRule>
  </conditionalFormatting>
  <conditionalFormatting sqref="B6:B11">
    <cfRule type="expression" dxfId="90" priority="3">
      <formula>IF(C6=1,TRUE,FALSE)</formula>
    </cfRule>
  </conditionalFormatting>
  <conditionalFormatting sqref="B6:B11">
    <cfRule type="expression" dxfId="8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23</v>
      </c>
      <c r="B1" s="175" t="s">
        <v>1794</v>
      </c>
      <c r="C1" s="274" t="s">
        <v>1850</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W1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W2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W3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W4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88" priority="1" operator="equal">
      <formula>0</formula>
    </cfRule>
  </conditionalFormatting>
  <conditionalFormatting sqref="J6:K6 N6:O7 R6:S8 V6:W9 Z6:AA10">
    <cfRule type="cellIs" dxfId="87" priority="2" operator="equal">
      <formula>0</formula>
    </cfRule>
  </conditionalFormatting>
  <conditionalFormatting sqref="B6:B11">
    <cfRule type="expression" dxfId="86" priority="3">
      <formula>IF(C6=1,TRUE,FALSE)</formula>
    </cfRule>
  </conditionalFormatting>
  <conditionalFormatting sqref="B6:B11">
    <cfRule type="expression" dxfId="8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24</v>
      </c>
      <c r="B1" s="175" t="s">
        <v>1794</v>
      </c>
      <c r="C1" s="274" t="s">
        <v>1851</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X1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X2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X3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X4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84" priority="1" operator="equal">
      <formula>0</formula>
    </cfRule>
  </conditionalFormatting>
  <conditionalFormatting sqref="J6:K6 N6:O7 R6:S8 V6:W9 Z6:AA10">
    <cfRule type="cellIs" dxfId="83" priority="2" operator="equal">
      <formula>0</formula>
    </cfRule>
  </conditionalFormatting>
  <conditionalFormatting sqref="B6:B11">
    <cfRule type="expression" dxfId="82" priority="3">
      <formula>IF(C6=1,TRUE,FALSE)</formula>
    </cfRule>
  </conditionalFormatting>
  <conditionalFormatting sqref="B6:B11">
    <cfRule type="expression" dxfId="8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25</v>
      </c>
      <c r="B1" s="175" t="s">
        <v>1794</v>
      </c>
      <c r="C1" s="274" t="s">
        <v>1852</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Y1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Y2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Y3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Y4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80" priority="1" operator="equal">
      <formula>0</formula>
    </cfRule>
  </conditionalFormatting>
  <conditionalFormatting sqref="J6:K6 N6:O7 R6:S8 V6:W9 Z6:AA10">
    <cfRule type="cellIs" dxfId="79" priority="2" operator="equal">
      <formula>0</formula>
    </cfRule>
  </conditionalFormatting>
  <conditionalFormatting sqref="B6:B11">
    <cfRule type="expression" dxfId="78" priority="3">
      <formula>IF(C6=1,TRUE,FALSE)</formula>
    </cfRule>
  </conditionalFormatting>
  <conditionalFormatting sqref="B6:B11">
    <cfRule type="expression" dxfId="7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26</v>
      </c>
      <c r="B1" s="175" t="s">
        <v>1794</v>
      </c>
      <c r="C1" s="274" t="s">
        <v>316</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Z1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Z2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Z3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Z4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76" priority="1" operator="equal">
      <formula>0</formula>
    </cfRule>
  </conditionalFormatting>
  <conditionalFormatting sqref="J6:K6 N6:O7 R6:S8 V6:W9 Z6:AA10">
    <cfRule type="cellIs" dxfId="75" priority="2" operator="equal">
      <formula>0</formula>
    </cfRule>
  </conditionalFormatting>
  <conditionalFormatting sqref="B6:B11">
    <cfRule type="expression" dxfId="74" priority="3">
      <formula>IF(C6=1,TRUE,FALSE)</formula>
    </cfRule>
  </conditionalFormatting>
  <conditionalFormatting sqref="B6:B11">
    <cfRule type="expression" dxfId="7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27</v>
      </c>
      <c r="B1" s="175" t="s">
        <v>1794</v>
      </c>
      <c r="C1" s="274" t="s">
        <v>1853</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AA1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AA2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AA3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AA4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72" priority="1" operator="equal">
      <formula>0</formula>
    </cfRule>
  </conditionalFormatting>
  <conditionalFormatting sqref="J6:K6 N6:O7 R6:S8 V6:W9 Z6:AA10">
    <cfRule type="cellIs" dxfId="71" priority="2" operator="equal">
      <formula>0</formula>
    </cfRule>
  </conditionalFormatting>
  <conditionalFormatting sqref="B6:B11">
    <cfRule type="expression" dxfId="70" priority="3">
      <formula>IF(C6=1,TRUE,FALSE)</formula>
    </cfRule>
  </conditionalFormatting>
  <conditionalFormatting sqref="B6:B11">
    <cfRule type="expression" dxfId="6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28</v>
      </c>
      <c r="B1" s="175" t="s">
        <v>1794</v>
      </c>
      <c r="C1" s="274" t="s">
        <v>1854</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AB1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AB2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AB3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AB4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68" priority="1" operator="equal">
      <formula>0</formula>
    </cfRule>
  </conditionalFormatting>
  <conditionalFormatting sqref="J6:K6 N6:O7 R6:S8 V6:W9 Z6:AA10">
    <cfRule type="cellIs" dxfId="67" priority="2" operator="equal">
      <formula>0</formula>
    </cfRule>
  </conditionalFormatting>
  <conditionalFormatting sqref="B6:B11">
    <cfRule type="expression" dxfId="66" priority="3">
      <formula>IF(C6=1,TRUE,FALSE)</formula>
    </cfRule>
  </conditionalFormatting>
  <conditionalFormatting sqref="B6:B11">
    <cfRule type="expression" dxfId="65"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29</v>
      </c>
      <c r="B1" s="175" t="s">
        <v>1794</v>
      </c>
      <c r="C1" s="274" t="s">
        <v>1855</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AC1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AC2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AC3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AC4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64" priority="1" operator="equal">
      <formula>0</formula>
    </cfRule>
  </conditionalFormatting>
  <conditionalFormatting sqref="J6:K6 N6:O7 R6:S8 V6:W9 Z6:AA10">
    <cfRule type="cellIs" dxfId="63" priority="2" operator="equal">
      <formula>0</formula>
    </cfRule>
  </conditionalFormatting>
  <conditionalFormatting sqref="B6:B11">
    <cfRule type="expression" dxfId="62" priority="3">
      <formula>IF(C6=1,TRUE,FALSE)</formula>
    </cfRule>
  </conditionalFormatting>
  <conditionalFormatting sqref="B6:B11">
    <cfRule type="expression" dxfId="61"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20"/>
  <sheetViews>
    <sheetView workbookViewId="0">
      <pane ySplit="4" topLeftCell="A5" activePane="bottomLeft" state="frozen"/>
      <selection pane="bottomLeft" activeCell="B6" sqref="B6"/>
    </sheetView>
  </sheetViews>
  <sheetFormatPr defaultColWidth="14.375" defaultRowHeight="15" customHeight="1"/>
  <cols>
    <col min="1" max="1" width="8.625" customWidth="1"/>
    <col min="2" max="2" width="17.25" customWidth="1"/>
    <col min="3" max="3" width="16.125" customWidth="1"/>
    <col min="4" max="4" width="4" customWidth="1"/>
    <col min="5" max="5" width="31" customWidth="1"/>
    <col min="6" max="6" width="6.75" customWidth="1"/>
    <col min="7" max="9" width="7.375" customWidth="1"/>
    <col min="10" max="10" width="9.375" customWidth="1"/>
    <col min="11" max="26" width="8" customWidth="1"/>
  </cols>
  <sheetData>
    <row r="1" spans="1:11" ht="30" customHeight="1">
      <c r="A1" s="27" t="s">
        <v>402</v>
      </c>
      <c r="B1" s="28"/>
      <c r="C1" s="28"/>
      <c r="D1" s="28"/>
      <c r="E1" s="29"/>
      <c r="F1" s="28"/>
      <c r="G1" s="28"/>
      <c r="H1" s="28"/>
      <c r="I1" s="43"/>
      <c r="J1" s="44"/>
      <c r="K1" s="28"/>
    </row>
    <row r="2" spans="1:11" ht="18.75" customHeight="1">
      <c r="A2" s="45" t="s">
        <v>403</v>
      </c>
      <c r="B2" s="45"/>
      <c r="C2" s="45"/>
      <c r="D2" s="45"/>
      <c r="E2" s="46">
        <v>45035</v>
      </c>
      <c r="F2" s="477"/>
      <c r="G2" s="478"/>
      <c r="H2" s="45"/>
      <c r="I2" s="45"/>
      <c r="J2" s="45"/>
      <c r="K2" s="45"/>
    </row>
    <row r="3" spans="1:11" ht="12.75" customHeight="1">
      <c r="D3" s="479"/>
      <c r="E3" s="480"/>
      <c r="F3" s="47" t="s">
        <v>404</v>
      </c>
    </row>
    <row r="4" spans="1:11" ht="13.5" customHeight="1">
      <c r="A4" s="48" t="s">
        <v>405</v>
      </c>
      <c r="B4" s="48" t="s">
        <v>406</v>
      </c>
      <c r="C4" s="48" t="s">
        <v>407</v>
      </c>
      <c r="D4" s="48" t="s">
        <v>408</v>
      </c>
      <c r="E4" s="48" t="s">
        <v>409</v>
      </c>
      <c r="F4" s="48" t="s">
        <v>307</v>
      </c>
      <c r="G4" s="48" t="s">
        <v>410</v>
      </c>
      <c r="H4" s="48" t="s">
        <v>411</v>
      </c>
      <c r="I4" s="48" t="s">
        <v>412</v>
      </c>
      <c r="J4" s="48" t="s">
        <v>413</v>
      </c>
      <c r="K4" s="48" t="s">
        <v>414</v>
      </c>
    </row>
    <row r="5" spans="1:11" ht="12" customHeight="1">
      <c r="A5" s="6">
        <v>20529</v>
      </c>
      <c r="B5" s="6" t="s">
        <v>415</v>
      </c>
      <c r="C5" s="6" t="s">
        <v>416</v>
      </c>
      <c r="E5" s="6" t="s">
        <v>253</v>
      </c>
      <c r="F5" s="6">
        <v>86</v>
      </c>
      <c r="G5" s="6">
        <v>1988</v>
      </c>
      <c r="H5" s="6">
        <v>545</v>
      </c>
      <c r="I5" s="6">
        <v>2</v>
      </c>
      <c r="J5" s="6">
        <v>93.304000000000002</v>
      </c>
      <c r="K5" s="6">
        <v>0</v>
      </c>
    </row>
    <row r="6" spans="1:11" ht="12" customHeight="1">
      <c r="A6" s="6">
        <v>22167</v>
      </c>
      <c r="B6" s="6" t="s">
        <v>417</v>
      </c>
      <c r="C6" s="6" t="s">
        <v>418</v>
      </c>
      <c r="E6" s="6" t="s">
        <v>375</v>
      </c>
      <c r="F6" s="6">
        <v>43</v>
      </c>
      <c r="G6" s="6">
        <v>1973</v>
      </c>
      <c r="H6" s="6">
        <v>361</v>
      </c>
      <c r="I6" s="6">
        <v>7.0469999999999997</v>
      </c>
      <c r="J6" s="6">
        <v>344.50099999999998</v>
      </c>
      <c r="K6" s="6">
        <v>21</v>
      </c>
    </row>
    <row r="7" spans="1:11" ht="12" customHeight="1">
      <c r="A7" s="6">
        <v>24317</v>
      </c>
      <c r="B7" s="6" t="s">
        <v>419</v>
      </c>
      <c r="C7" s="6" t="s">
        <v>420</v>
      </c>
      <c r="E7" s="6" t="s">
        <v>156</v>
      </c>
      <c r="F7" s="6">
        <v>33</v>
      </c>
      <c r="G7" s="6">
        <v>1954</v>
      </c>
      <c r="H7" s="6">
        <v>122</v>
      </c>
      <c r="I7" s="6">
        <v>21.626999999999999</v>
      </c>
      <c r="J7" s="6">
        <v>1613.251</v>
      </c>
      <c r="K7" s="6">
        <v>617</v>
      </c>
    </row>
    <row r="8" spans="1:11" ht="12" customHeight="1">
      <c r="A8" s="6">
        <v>21018</v>
      </c>
      <c r="B8" s="6" t="s">
        <v>421</v>
      </c>
      <c r="C8" s="6" t="s">
        <v>422</v>
      </c>
      <c r="E8" s="6" t="s">
        <v>169</v>
      </c>
      <c r="F8" s="6">
        <v>69</v>
      </c>
      <c r="G8" s="6">
        <v>1979</v>
      </c>
      <c r="H8" s="6">
        <v>345</v>
      </c>
      <c r="I8" s="6">
        <v>8.407</v>
      </c>
      <c r="J8" s="6">
        <v>385.80200000000002</v>
      </c>
      <c r="K8" s="6">
        <v>113</v>
      </c>
    </row>
    <row r="9" spans="1:11" ht="12" customHeight="1">
      <c r="A9" s="6">
        <v>14091</v>
      </c>
      <c r="B9" s="6" t="s">
        <v>423</v>
      </c>
      <c r="C9" s="6" t="s">
        <v>424</v>
      </c>
      <c r="E9" s="6" t="s">
        <v>425</v>
      </c>
      <c r="F9" s="6">
        <v>79</v>
      </c>
      <c r="G9" s="6">
        <v>1987</v>
      </c>
      <c r="H9" s="6">
        <v>582</v>
      </c>
      <c r="I9" s="6">
        <v>1.8129999999999999</v>
      </c>
      <c r="J9" s="6">
        <v>62.308</v>
      </c>
      <c r="K9" s="6">
        <v>0</v>
      </c>
    </row>
    <row r="10" spans="1:11" ht="12" customHeight="1">
      <c r="A10" s="6">
        <v>18081</v>
      </c>
      <c r="B10" s="6" t="s">
        <v>426</v>
      </c>
      <c r="C10" s="6" t="s">
        <v>427</v>
      </c>
      <c r="E10" s="6" t="s">
        <v>193</v>
      </c>
      <c r="F10" s="6">
        <v>89</v>
      </c>
      <c r="G10" s="6">
        <v>1950</v>
      </c>
      <c r="H10" s="6">
        <v>219</v>
      </c>
      <c r="I10" s="6">
        <v>16.001000000000001</v>
      </c>
      <c r="J10" s="6">
        <v>923.02800000000002</v>
      </c>
      <c r="K10" s="6">
        <v>342</v>
      </c>
    </row>
    <row r="11" spans="1:11" ht="12" customHeight="1">
      <c r="A11" s="6">
        <v>96209</v>
      </c>
      <c r="B11" s="6" t="s">
        <v>426</v>
      </c>
      <c r="C11" s="6" t="s">
        <v>424</v>
      </c>
      <c r="E11" s="6" t="s">
        <v>229</v>
      </c>
      <c r="F11" s="6">
        <v>1</v>
      </c>
      <c r="G11" s="6">
        <v>1962</v>
      </c>
      <c r="H11" s="6">
        <v>421</v>
      </c>
      <c r="I11" s="6">
        <v>2.1880000000000002</v>
      </c>
      <c r="J11" s="6">
        <v>235.953</v>
      </c>
      <c r="K11" s="6">
        <v>138</v>
      </c>
    </row>
    <row r="12" spans="1:11" ht="12" customHeight="1">
      <c r="A12" s="6">
        <v>18080</v>
      </c>
      <c r="B12" s="6" t="s">
        <v>428</v>
      </c>
      <c r="C12" s="6" t="s">
        <v>429</v>
      </c>
      <c r="D12" s="6" t="s">
        <v>316</v>
      </c>
      <c r="E12" s="6" t="s">
        <v>193</v>
      </c>
      <c r="F12" s="6">
        <v>89</v>
      </c>
      <c r="G12" s="6">
        <v>1949</v>
      </c>
      <c r="H12" s="6">
        <v>280</v>
      </c>
      <c r="I12" s="6">
        <v>12.97</v>
      </c>
      <c r="J12" s="6">
        <v>579.322</v>
      </c>
      <c r="K12" s="6">
        <v>150</v>
      </c>
    </row>
    <row r="13" spans="1:11" ht="12" customHeight="1">
      <c r="A13" s="6">
        <v>23051</v>
      </c>
      <c r="B13" s="6" t="s">
        <v>428</v>
      </c>
      <c r="C13" s="6" t="s">
        <v>430</v>
      </c>
      <c r="D13" s="6" t="s">
        <v>316</v>
      </c>
      <c r="E13" s="6" t="s">
        <v>229</v>
      </c>
      <c r="F13" s="6">
        <v>1</v>
      </c>
      <c r="G13" s="6">
        <v>1992</v>
      </c>
      <c r="H13" s="6">
        <v>650</v>
      </c>
      <c r="I13" s="6">
        <v>0</v>
      </c>
      <c r="J13" s="6">
        <v>0</v>
      </c>
      <c r="K13" s="6">
        <v>0</v>
      </c>
    </row>
    <row r="14" spans="1:11" ht="12" customHeight="1">
      <c r="A14" s="6">
        <v>96210</v>
      </c>
      <c r="B14" s="6" t="s">
        <v>428</v>
      </c>
      <c r="C14" s="6" t="s">
        <v>431</v>
      </c>
      <c r="D14" s="6" t="s">
        <v>316</v>
      </c>
      <c r="E14" s="6" t="s">
        <v>229</v>
      </c>
      <c r="F14" s="6">
        <v>1</v>
      </c>
      <c r="G14" s="6">
        <v>1962</v>
      </c>
      <c r="H14" s="6">
        <v>651</v>
      </c>
      <c r="I14" s="6">
        <v>0</v>
      </c>
      <c r="J14" s="6">
        <v>0</v>
      </c>
      <c r="K14" s="6">
        <v>0</v>
      </c>
    </row>
    <row r="15" spans="1:11" ht="12" customHeight="1">
      <c r="A15" s="6">
        <v>22160</v>
      </c>
      <c r="B15" s="6" t="s">
        <v>432</v>
      </c>
      <c r="C15" s="6" t="s">
        <v>433</v>
      </c>
      <c r="D15" s="6" t="s">
        <v>434</v>
      </c>
      <c r="E15" s="6" t="s">
        <v>435</v>
      </c>
      <c r="F15" s="6">
        <v>93</v>
      </c>
      <c r="G15" s="6">
        <v>2006</v>
      </c>
      <c r="H15" s="6">
        <v>437</v>
      </c>
      <c r="I15" s="6">
        <v>2.5169999999999999</v>
      </c>
      <c r="J15" s="6">
        <v>202.04599999999999</v>
      </c>
      <c r="K15" s="6">
        <v>86</v>
      </c>
    </row>
    <row r="16" spans="1:11" ht="12" customHeight="1">
      <c r="A16" s="6">
        <v>13079</v>
      </c>
      <c r="B16" s="6" t="s">
        <v>436</v>
      </c>
      <c r="C16" s="6" t="s">
        <v>437</v>
      </c>
      <c r="E16" s="6" t="s">
        <v>438</v>
      </c>
      <c r="F16" s="6">
        <v>51</v>
      </c>
      <c r="G16" s="6">
        <v>1956</v>
      </c>
      <c r="H16" s="6">
        <v>101</v>
      </c>
      <c r="I16" s="6">
        <v>20.844000000000001</v>
      </c>
      <c r="J16" s="6">
        <v>1805.97</v>
      </c>
      <c r="K16" s="6">
        <v>803</v>
      </c>
    </row>
    <row r="17" spans="1:11" ht="12" customHeight="1">
      <c r="A17" s="6">
        <v>99527</v>
      </c>
      <c r="B17" s="6" t="s">
        <v>436</v>
      </c>
      <c r="C17" s="6" t="s">
        <v>437</v>
      </c>
      <c r="E17" s="6" t="s">
        <v>439</v>
      </c>
      <c r="F17" s="6">
        <v>29</v>
      </c>
      <c r="G17" s="6">
        <v>1961</v>
      </c>
      <c r="H17" s="6">
        <v>443</v>
      </c>
      <c r="I17" s="6">
        <v>3.4380000000000002</v>
      </c>
      <c r="J17" s="6">
        <v>197.86099999999999</v>
      </c>
      <c r="K17" s="6">
        <v>81</v>
      </c>
    </row>
    <row r="18" spans="1:11" ht="12" customHeight="1">
      <c r="A18" s="6">
        <v>99528</v>
      </c>
      <c r="B18" s="6" t="s">
        <v>436</v>
      </c>
      <c r="C18" s="6" t="s">
        <v>440</v>
      </c>
      <c r="E18" s="6" t="s">
        <v>439</v>
      </c>
      <c r="F18" s="6">
        <v>29</v>
      </c>
      <c r="G18" s="6">
        <v>1967</v>
      </c>
      <c r="H18" s="6">
        <v>259</v>
      </c>
      <c r="I18" s="6">
        <v>14.125999999999999</v>
      </c>
      <c r="J18" s="6">
        <v>675.21100000000001</v>
      </c>
      <c r="K18" s="6">
        <v>177</v>
      </c>
    </row>
    <row r="19" spans="1:11" ht="12" customHeight="1">
      <c r="A19" s="6">
        <v>21808</v>
      </c>
      <c r="B19" s="6" t="s">
        <v>436</v>
      </c>
      <c r="C19" s="6" t="s">
        <v>441</v>
      </c>
      <c r="E19" s="6" t="s">
        <v>439</v>
      </c>
      <c r="F19" s="6">
        <v>29</v>
      </c>
      <c r="G19" s="6">
        <v>1989</v>
      </c>
      <c r="H19" s="6">
        <v>652</v>
      </c>
      <c r="I19" s="6">
        <v>0</v>
      </c>
      <c r="J19" s="6">
        <v>0</v>
      </c>
      <c r="K19" s="6">
        <v>0</v>
      </c>
    </row>
    <row r="20" spans="1:11" ht="12" customHeight="1">
      <c r="A20" s="6">
        <v>15042</v>
      </c>
      <c r="B20" s="6" t="s">
        <v>442</v>
      </c>
      <c r="C20" s="6" t="s">
        <v>443</v>
      </c>
      <c r="D20" s="6" t="s">
        <v>316</v>
      </c>
      <c r="E20" s="6" t="s">
        <v>438</v>
      </c>
      <c r="F20" s="6">
        <v>51</v>
      </c>
      <c r="G20" s="6">
        <v>1955</v>
      </c>
      <c r="H20" s="6">
        <v>63</v>
      </c>
      <c r="I20" s="6">
        <v>22.282</v>
      </c>
      <c r="J20" s="6">
        <v>2239.8609999999999</v>
      </c>
      <c r="K20" s="6">
        <v>1185</v>
      </c>
    </row>
    <row r="21" spans="1:11" ht="12" customHeight="1">
      <c r="A21" s="6">
        <v>23216</v>
      </c>
      <c r="B21" s="6" t="s">
        <v>444</v>
      </c>
      <c r="C21" s="6" t="s">
        <v>445</v>
      </c>
      <c r="E21" s="6" t="s">
        <v>446</v>
      </c>
      <c r="F21" s="6">
        <v>81</v>
      </c>
      <c r="G21" s="6">
        <v>1984</v>
      </c>
      <c r="H21" s="6">
        <v>653</v>
      </c>
      <c r="I21" s="6">
        <v>0</v>
      </c>
      <c r="J21" s="6">
        <v>0</v>
      </c>
      <c r="K21" s="6">
        <v>0</v>
      </c>
    </row>
    <row r="22" spans="1:11" ht="12" customHeight="1">
      <c r="A22" s="6">
        <v>14008</v>
      </c>
      <c r="B22" s="6" t="s">
        <v>447</v>
      </c>
      <c r="C22" s="6" t="s">
        <v>448</v>
      </c>
      <c r="E22" s="6" t="s">
        <v>163</v>
      </c>
      <c r="F22" s="6">
        <v>30</v>
      </c>
      <c r="G22" s="6">
        <v>1978</v>
      </c>
      <c r="H22" s="6">
        <v>38</v>
      </c>
      <c r="I22" s="6">
        <v>45</v>
      </c>
      <c r="J22" s="6">
        <v>2712.5149999999999</v>
      </c>
      <c r="K22" s="6">
        <v>1080</v>
      </c>
    </row>
    <row r="23" spans="1:11" ht="12" customHeight="1">
      <c r="A23" s="6">
        <v>23233</v>
      </c>
      <c r="B23" s="6" t="s">
        <v>449</v>
      </c>
      <c r="C23" s="6" t="s">
        <v>450</v>
      </c>
      <c r="D23" s="6" t="s">
        <v>451</v>
      </c>
      <c r="E23" s="6" t="s">
        <v>452</v>
      </c>
      <c r="F23" s="6">
        <v>74</v>
      </c>
      <c r="G23" s="6">
        <v>2012</v>
      </c>
      <c r="H23" s="6">
        <v>655</v>
      </c>
      <c r="I23" s="6">
        <v>0</v>
      </c>
      <c r="J23" s="6">
        <v>0</v>
      </c>
      <c r="K23" s="6">
        <v>0</v>
      </c>
    </row>
    <row r="24" spans="1:11" ht="12" customHeight="1">
      <c r="A24" s="6">
        <v>23232</v>
      </c>
      <c r="B24" s="6" t="s">
        <v>449</v>
      </c>
      <c r="C24" s="6" t="s">
        <v>453</v>
      </c>
      <c r="D24" s="6" t="s">
        <v>451</v>
      </c>
      <c r="E24" s="6" t="s">
        <v>452</v>
      </c>
      <c r="F24" s="6">
        <v>74</v>
      </c>
      <c r="G24" s="6">
        <v>2009</v>
      </c>
      <c r="H24" s="6">
        <v>654</v>
      </c>
      <c r="I24" s="6">
        <v>0</v>
      </c>
      <c r="J24" s="6">
        <v>0</v>
      </c>
      <c r="K24" s="6">
        <v>0</v>
      </c>
    </row>
    <row r="25" spans="1:11" ht="12" customHeight="1">
      <c r="A25" s="6">
        <v>19022</v>
      </c>
      <c r="B25" s="6" t="s">
        <v>454</v>
      </c>
      <c r="C25" s="6" t="s">
        <v>455</v>
      </c>
      <c r="D25" s="6" t="s">
        <v>316</v>
      </c>
      <c r="E25" s="6" t="s">
        <v>456</v>
      </c>
      <c r="F25" s="6">
        <v>70</v>
      </c>
      <c r="G25" s="6">
        <v>1942</v>
      </c>
      <c r="H25" s="6">
        <v>562</v>
      </c>
      <c r="I25" s="6">
        <v>0.96899999999999997</v>
      </c>
      <c r="J25" s="6">
        <v>78.944000000000003</v>
      </c>
      <c r="K25" s="6">
        <v>30</v>
      </c>
    </row>
    <row r="26" spans="1:11" ht="12" customHeight="1">
      <c r="A26" s="6">
        <v>17060</v>
      </c>
      <c r="B26" s="6" t="s">
        <v>457</v>
      </c>
      <c r="C26" s="6" t="s">
        <v>422</v>
      </c>
      <c r="E26" s="6" t="s">
        <v>341</v>
      </c>
      <c r="F26" s="6">
        <v>22</v>
      </c>
      <c r="G26" s="6">
        <v>2004</v>
      </c>
      <c r="H26" s="6">
        <v>102</v>
      </c>
      <c r="I26" s="6">
        <v>21.204000000000001</v>
      </c>
      <c r="J26" s="6">
        <v>1804.925</v>
      </c>
      <c r="K26" s="6">
        <v>848</v>
      </c>
    </row>
    <row r="27" spans="1:11" ht="12" customHeight="1">
      <c r="A27" s="6">
        <v>22130</v>
      </c>
      <c r="B27" s="6" t="s">
        <v>458</v>
      </c>
      <c r="C27" s="6" t="s">
        <v>459</v>
      </c>
      <c r="D27" s="6" t="s">
        <v>451</v>
      </c>
      <c r="E27" s="6" t="s">
        <v>460</v>
      </c>
      <c r="F27" s="6">
        <v>95</v>
      </c>
      <c r="G27" s="6">
        <v>2009</v>
      </c>
      <c r="H27" s="6">
        <v>656</v>
      </c>
      <c r="I27" s="6">
        <v>0</v>
      </c>
      <c r="J27" s="6">
        <v>0</v>
      </c>
      <c r="K27" s="6">
        <v>0</v>
      </c>
    </row>
    <row r="28" spans="1:11" ht="12" customHeight="1">
      <c r="A28" s="6">
        <v>10100</v>
      </c>
      <c r="B28" s="6" t="s">
        <v>461</v>
      </c>
      <c r="C28" s="6" t="s">
        <v>440</v>
      </c>
      <c r="E28" s="6" t="s">
        <v>456</v>
      </c>
      <c r="F28" s="6">
        <v>70</v>
      </c>
      <c r="G28" s="6">
        <v>1940</v>
      </c>
      <c r="H28" s="6">
        <v>657</v>
      </c>
      <c r="I28" s="6">
        <v>0</v>
      </c>
      <c r="J28" s="6">
        <v>0</v>
      </c>
      <c r="K28" s="6">
        <v>0</v>
      </c>
    </row>
    <row r="29" spans="1:11" ht="12" customHeight="1">
      <c r="A29" s="6">
        <v>10101</v>
      </c>
      <c r="B29" s="6" t="s">
        <v>462</v>
      </c>
      <c r="C29" s="6" t="s">
        <v>463</v>
      </c>
      <c r="D29" s="6" t="s">
        <v>316</v>
      </c>
      <c r="E29" s="6" t="s">
        <v>456</v>
      </c>
      <c r="F29" s="6">
        <v>70</v>
      </c>
      <c r="G29" s="6">
        <v>1938</v>
      </c>
      <c r="H29" s="6">
        <v>658</v>
      </c>
      <c r="I29" s="6">
        <v>0</v>
      </c>
      <c r="J29" s="6">
        <v>0</v>
      </c>
      <c r="K29" s="6">
        <v>0</v>
      </c>
    </row>
    <row r="30" spans="1:11" ht="12" customHeight="1">
      <c r="A30" s="6">
        <v>18033</v>
      </c>
      <c r="B30" s="6" t="s">
        <v>464</v>
      </c>
      <c r="C30" s="6" t="s">
        <v>427</v>
      </c>
      <c r="E30" s="6" t="s">
        <v>446</v>
      </c>
      <c r="F30" s="6">
        <v>81</v>
      </c>
      <c r="G30" s="6">
        <v>1999</v>
      </c>
      <c r="H30" s="6">
        <v>246</v>
      </c>
      <c r="I30" s="6">
        <v>7.5629999999999997</v>
      </c>
      <c r="J30" s="6">
        <v>729.41800000000001</v>
      </c>
      <c r="K30" s="6">
        <v>394</v>
      </c>
    </row>
    <row r="31" spans="1:11" ht="12" customHeight="1">
      <c r="A31" s="6">
        <v>16049</v>
      </c>
      <c r="B31" s="6" t="s">
        <v>465</v>
      </c>
      <c r="C31" s="6" t="s">
        <v>427</v>
      </c>
      <c r="E31" s="6" t="s">
        <v>446</v>
      </c>
      <c r="F31" s="6">
        <v>81</v>
      </c>
      <c r="G31" s="6">
        <v>1973</v>
      </c>
      <c r="H31" s="6">
        <v>245</v>
      </c>
      <c r="I31" s="6">
        <v>10.782999999999999</v>
      </c>
      <c r="J31" s="6">
        <v>732.149</v>
      </c>
      <c r="K31" s="6">
        <v>318</v>
      </c>
    </row>
    <row r="32" spans="1:11" ht="12" customHeight="1">
      <c r="A32" s="6">
        <v>13025</v>
      </c>
      <c r="B32" s="6" t="s">
        <v>466</v>
      </c>
      <c r="C32" s="6" t="s">
        <v>467</v>
      </c>
      <c r="E32" s="6" t="s">
        <v>468</v>
      </c>
      <c r="F32" s="6">
        <v>76</v>
      </c>
      <c r="G32" s="6">
        <v>1979</v>
      </c>
      <c r="H32" s="6">
        <v>659</v>
      </c>
      <c r="I32" s="6">
        <v>0</v>
      </c>
      <c r="J32" s="6">
        <v>0</v>
      </c>
      <c r="K32" s="6">
        <v>0</v>
      </c>
    </row>
    <row r="33" spans="1:11" ht="12" customHeight="1">
      <c r="A33" s="6">
        <v>21012</v>
      </c>
      <c r="B33" s="6" t="s">
        <v>469</v>
      </c>
      <c r="C33" s="6" t="s">
        <v>470</v>
      </c>
      <c r="E33" s="6" t="s">
        <v>446</v>
      </c>
      <c r="F33" s="6">
        <v>81</v>
      </c>
      <c r="G33" s="6">
        <v>1973</v>
      </c>
      <c r="H33" s="6">
        <v>253</v>
      </c>
      <c r="I33" s="6">
        <v>10.805999999999999</v>
      </c>
      <c r="J33" s="6">
        <v>720.14400000000001</v>
      </c>
      <c r="K33" s="6">
        <v>286</v>
      </c>
    </row>
    <row r="34" spans="1:11" ht="12" customHeight="1">
      <c r="A34" s="6">
        <v>13050</v>
      </c>
      <c r="B34" s="6" t="s">
        <v>471</v>
      </c>
      <c r="C34" s="6" t="s">
        <v>472</v>
      </c>
      <c r="D34" s="6" t="s">
        <v>316</v>
      </c>
      <c r="E34" s="6" t="s">
        <v>456</v>
      </c>
      <c r="F34" s="6">
        <v>70</v>
      </c>
      <c r="G34" s="6">
        <v>1935</v>
      </c>
      <c r="H34" s="6">
        <v>660</v>
      </c>
      <c r="I34" s="6">
        <v>0</v>
      </c>
      <c r="J34" s="6">
        <v>0</v>
      </c>
      <c r="K34" s="6">
        <v>0</v>
      </c>
    </row>
    <row r="35" spans="1:11" ht="12" customHeight="1">
      <c r="A35" s="6">
        <v>23217</v>
      </c>
      <c r="B35" s="6" t="s">
        <v>473</v>
      </c>
      <c r="C35" s="6" t="s">
        <v>433</v>
      </c>
      <c r="E35" s="6" t="s">
        <v>474</v>
      </c>
      <c r="F35" s="6">
        <v>96</v>
      </c>
      <c r="G35" s="6">
        <v>1959</v>
      </c>
      <c r="H35" s="6">
        <v>519</v>
      </c>
      <c r="I35" s="6">
        <v>2.4700000000000002</v>
      </c>
      <c r="J35" s="6">
        <v>113.70699999999999</v>
      </c>
      <c r="K35" s="6">
        <v>0</v>
      </c>
    </row>
    <row r="36" spans="1:11" ht="12" customHeight="1">
      <c r="A36" s="6">
        <v>28005</v>
      </c>
      <c r="B36" s="6" t="s">
        <v>475</v>
      </c>
      <c r="C36" s="6" t="s">
        <v>422</v>
      </c>
      <c r="E36" s="6" t="s">
        <v>476</v>
      </c>
      <c r="F36" s="6">
        <v>2</v>
      </c>
      <c r="G36" s="6">
        <v>1953</v>
      </c>
      <c r="H36" s="6">
        <v>161</v>
      </c>
      <c r="I36" s="6">
        <v>19.846</v>
      </c>
      <c r="J36" s="6">
        <v>1318.588</v>
      </c>
      <c r="K36" s="6">
        <v>519</v>
      </c>
    </row>
    <row r="37" spans="1:11" ht="12" customHeight="1">
      <c r="A37" s="6">
        <v>28056</v>
      </c>
      <c r="B37" s="6" t="s">
        <v>477</v>
      </c>
      <c r="C37" s="6" t="s">
        <v>478</v>
      </c>
      <c r="D37" s="6" t="s">
        <v>316</v>
      </c>
      <c r="E37" s="6" t="s">
        <v>476</v>
      </c>
      <c r="F37" s="6">
        <v>2</v>
      </c>
      <c r="G37" s="6">
        <v>1952</v>
      </c>
      <c r="H37" s="6">
        <v>201</v>
      </c>
      <c r="I37" s="6">
        <v>14.875999999999999</v>
      </c>
      <c r="J37" s="6">
        <v>1024.701</v>
      </c>
      <c r="K37" s="6">
        <v>434</v>
      </c>
    </row>
    <row r="38" spans="1:11" ht="12" customHeight="1">
      <c r="A38" s="6">
        <v>19061</v>
      </c>
      <c r="B38" s="6" t="s">
        <v>479</v>
      </c>
      <c r="C38" s="6" t="s">
        <v>480</v>
      </c>
      <c r="D38" s="6" t="s">
        <v>316</v>
      </c>
      <c r="E38" s="6" t="s">
        <v>229</v>
      </c>
      <c r="F38" s="6">
        <v>1</v>
      </c>
      <c r="G38" s="6">
        <v>1945</v>
      </c>
      <c r="H38" s="6">
        <v>579</v>
      </c>
      <c r="I38" s="6">
        <v>1.625</v>
      </c>
      <c r="J38" s="6">
        <v>64.054000000000002</v>
      </c>
      <c r="K38" s="6">
        <v>0</v>
      </c>
    </row>
    <row r="39" spans="1:11" ht="12" customHeight="1">
      <c r="A39" s="6">
        <v>21064</v>
      </c>
      <c r="B39" s="6" t="s">
        <v>481</v>
      </c>
      <c r="C39" s="6" t="s">
        <v>482</v>
      </c>
      <c r="E39" s="6" t="s">
        <v>468</v>
      </c>
      <c r="F39" s="6">
        <v>76</v>
      </c>
      <c r="G39" s="6">
        <v>1978</v>
      </c>
      <c r="H39" s="6">
        <v>408</v>
      </c>
      <c r="I39" s="6">
        <v>5.8760000000000003</v>
      </c>
      <c r="J39" s="6">
        <v>261.291</v>
      </c>
      <c r="K39" s="6">
        <v>0</v>
      </c>
    </row>
    <row r="40" spans="1:11" ht="12" customHeight="1">
      <c r="A40" s="6">
        <v>21009</v>
      </c>
      <c r="B40" s="6" t="s">
        <v>481</v>
      </c>
      <c r="C40" s="6" t="s">
        <v>483</v>
      </c>
      <c r="E40" s="6" t="s">
        <v>468</v>
      </c>
      <c r="F40" s="6">
        <v>76</v>
      </c>
      <c r="G40" s="6">
        <v>1992</v>
      </c>
      <c r="H40" s="6">
        <v>433</v>
      </c>
      <c r="I40" s="6">
        <v>4.3129999999999997</v>
      </c>
      <c r="J40" s="6">
        <v>207.577</v>
      </c>
      <c r="K40" s="6">
        <v>0</v>
      </c>
    </row>
    <row r="41" spans="1:11" ht="12" customHeight="1">
      <c r="A41" s="6">
        <v>19023</v>
      </c>
      <c r="B41" s="6" t="s">
        <v>484</v>
      </c>
      <c r="C41" s="6" t="s">
        <v>485</v>
      </c>
      <c r="D41" s="6" t="s">
        <v>316</v>
      </c>
      <c r="E41" s="6" t="s">
        <v>438</v>
      </c>
      <c r="F41" s="6">
        <v>51</v>
      </c>
      <c r="G41" s="6">
        <v>1956</v>
      </c>
      <c r="H41" s="6">
        <v>132</v>
      </c>
      <c r="I41" s="6">
        <v>24.126000000000001</v>
      </c>
      <c r="J41" s="6">
        <v>1533.9079999999999</v>
      </c>
      <c r="K41" s="6">
        <v>521</v>
      </c>
    </row>
    <row r="42" spans="1:11" ht="12" customHeight="1">
      <c r="A42" s="6">
        <v>12030</v>
      </c>
      <c r="B42" s="6" t="s">
        <v>486</v>
      </c>
      <c r="C42" s="6" t="s">
        <v>487</v>
      </c>
      <c r="D42" s="6" t="s">
        <v>316</v>
      </c>
      <c r="E42" s="6" t="s">
        <v>488</v>
      </c>
      <c r="F42" s="6">
        <v>73</v>
      </c>
      <c r="G42" s="6">
        <v>1948</v>
      </c>
      <c r="H42" s="6">
        <v>269</v>
      </c>
      <c r="I42" s="6">
        <v>7.8449999999999998</v>
      </c>
      <c r="J42" s="6">
        <v>635.10199999999998</v>
      </c>
      <c r="K42" s="6">
        <v>258</v>
      </c>
    </row>
    <row r="43" spans="1:11" ht="12" customHeight="1">
      <c r="A43" s="6">
        <v>22161</v>
      </c>
      <c r="B43" s="6" t="s">
        <v>489</v>
      </c>
      <c r="C43" s="6" t="s">
        <v>490</v>
      </c>
      <c r="D43" s="6" t="s">
        <v>434</v>
      </c>
      <c r="E43" s="6" t="s">
        <v>435</v>
      </c>
      <c r="F43" s="6">
        <v>93</v>
      </c>
      <c r="G43" s="6">
        <v>2006</v>
      </c>
      <c r="H43" s="6">
        <v>334</v>
      </c>
      <c r="I43" s="6">
        <v>8.6110000000000007</v>
      </c>
      <c r="J43" s="6">
        <v>417.53800000000001</v>
      </c>
      <c r="K43" s="6">
        <v>86</v>
      </c>
    </row>
    <row r="44" spans="1:11" ht="12" customHeight="1">
      <c r="A44" s="6">
        <v>17061</v>
      </c>
      <c r="B44" s="6" t="s">
        <v>491</v>
      </c>
      <c r="C44" s="6" t="s">
        <v>492</v>
      </c>
      <c r="E44" s="6" t="s">
        <v>493</v>
      </c>
      <c r="F44" s="6">
        <v>16</v>
      </c>
      <c r="G44" s="6">
        <v>2003</v>
      </c>
      <c r="H44" s="6">
        <v>475</v>
      </c>
      <c r="I44" s="6">
        <v>3.3919999999999999</v>
      </c>
      <c r="J44" s="6">
        <v>166.72300000000001</v>
      </c>
      <c r="K44" s="6">
        <v>51</v>
      </c>
    </row>
    <row r="45" spans="1:11" ht="12" customHeight="1">
      <c r="A45" s="6">
        <v>14081</v>
      </c>
      <c r="B45" s="6" t="s">
        <v>494</v>
      </c>
      <c r="C45" s="6" t="s">
        <v>495</v>
      </c>
      <c r="D45" s="6" t="s">
        <v>316</v>
      </c>
      <c r="E45" s="6" t="s">
        <v>425</v>
      </c>
      <c r="F45" s="6">
        <v>79</v>
      </c>
      <c r="G45" s="6">
        <v>1982</v>
      </c>
      <c r="H45" s="6">
        <v>287</v>
      </c>
      <c r="I45" s="6">
        <v>10.327999999999999</v>
      </c>
      <c r="J45" s="6">
        <v>551.80100000000004</v>
      </c>
      <c r="K45" s="6">
        <v>106</v>
      </c>
    </row>
    <row r="46" spans="1:11" ht="12" customHeight="1">
      <c r="A46" s="6">
        <v>12055</v>
      </c>
      <c r="B46" s="6" t="s">
        <v>496</v>
      </c>
      <c r="C46" s="6" t="s">
        <v>497</v>
      </c>
      <c r="D46" s="6" t="s">
        <v>316</v>
      </c>
      <c r="E46" s="6" t="s">
        <v>151</v>
      </c>
      <c r="F46" s="6">
        <v>21</v>
      </c>
      <c r="G46" s="6">
        <v>1946</v>
      </c>
      <c r="H46" s="6">
        <v>661</v>
      </c>
      <c r="I46" s="6">
        <v>0</v>
      </c>
      <c r="J46" s="6">
        <v>0</v>
      </c>
      <c r="K46" s="6">
        <v>0</v>
      </c>
    </row>
    <row r="47" spans="1:11" ht="12" customHeight="1">
      <c r="A47" s="6">
        <v>10076</v>
      </c>
      <c r="B47" s="6" t="s">
        <v>498</v>
      </c>
      <c r="C47" s="6" t="s">
        <v>499</v>
      </c>
      <c r="E47" s="6" t="s">
        <v>169</v>
      </c>
      <c r="F47" s="6">
        <v>69</v>
      </c>
      <c r="G47" s="6">
        <v>1947</v>
      </c>
      <c r="H47" s="6">
        <v>515</v>
      </c>
      <c r="I47" s="6">
        <v>2.6880000000000002</v>
      </c>
      <c r="J47" s="6">
        <v>118.607</v>
      </c>
      <c r="K47" s="6">
        <v>28</v>
      </c>
    </row>
    <row r="48" spans="1:11" ht="12" customHeight="1">
      <c r="A48" s="6">
        <v>23230</v>
      </c>
      <c r="B48" s="6" t="s">
        <v>500</v>
      </c>
      <c r="C48" s="6" t="s">
        <v>499</v>
      </c>
      <c r="E48" s="6" t="s">
        <v>134</v>
      </c>
      <c r="F48" s="6">
        <v>64</v>
      </c>
      <c r="G48" s="6">
        <v>1952</v>
      </c>
      <c r="H48" s="6">
        <v>662</v>
      </c>
      <c r="I48" s="6">
        <v>0</v>
      </c>
      <c r="J48" s="6">
        <v>0</v>
      </c>
      <c r="K48" s="6">
        <v>0</v>
      </c>
    </row>
    <row r="49" spans="1:11" ht="12" customHeight="1">
      <c r="A49" s="6">
        <v>16002</v>
      </c>
      <c r="B49" s="6" t="s">
        <v>501</v>
      </c>
      <c r="C49" s="6" t="s">
        <v>482</v>
      </c>
      <c r="E49" s="6" t="s">
        <v>180</v>
      </c>
      <c r="F49" s="6">
        <v>62</v>
      </c>
      <c r="G49" s="6">
        <v>1978</v>
      </c>
      <c r="H49" s="6">
        <v>637</v>
      </c>
      <c r="I49" s="6">
        <v>0.75</v>
      </c>
      <c r="J49" s="6">
        <v>21.012</v>
      </c>
      <c r="K49" s="6">
        <v>0</v>
      </c>
    </row>
    <row r="50" spans="1:11" ht="12" customHeight="1">
      <c r="A50" s="6">
        <v>25092</v>
      </c>
      <c r="B50" s="6" t="s">
        <v>501</v>
      </c>
      <c r="C50" s="6" t="s">
        <v>422</v>
      </c>
      <c r="E50" s="6" t="s">
        <v>502</v>
      </c>
      <c r="F50" s="6">
        <v>24</v>
      </c>
      <c r="G50" s="6">
        <v>1969</v>
      </c>
      <c r="H50" s="6">
        <v>663</v>
      </c>
      <c r="I50" s="6">
        <v>0</v>
      </c>
      <c r="J50" s="6">
        <v>0</v>
      </c>
      <c r="K50" s="6">
        <v>0</v>
      </c>
    </row>
    <row r="51" spans="1:11" ht="12" customHeight="1">
      <c r="A51" s="6">
        <v>22183</v>
      </c>
      <c r="B51" s="6" t="s">
        <v>503</v>
      </c>
      <c r="C51" s="6" t="s">
        <v>504</v>
      </c>
      <c r="D51" s="6" t="s">
        <v>434</v>
      </c>
      <c r="E51" s="6" t="s">
        <v>505</v>
      </c>
      <c r="F51" s="6">
        <v>100</v>
      </c>
      <c r="G51" s="6">
        <v>2012</v>
      </c>
      <c r="H51" s="6">
        <v>257</v>
      </c>
      <c r="I51" s="6">
        <v>15.032999999999999</v>
      </c>
      <c r="J51" s="6">
        <v>682.58799999999997</v>
      </c>
      <c r="K51" s="6">
        <v>23</v>
      </c>
    </row>
    <row r="52" spans="1:11" ht="12" customHeight="1">
      <c r="A52" s="6">
        <v>22181</v>
      </c>
      <c r="B52" s="6" t="s">
        <v>503</v>
      </c>
      <c r="C52" s="6" t="s">
        <v>506</v>
      </c>
      <c r="E52" s="6" t="s">
        <v>505</v>
      </c>
      <c r="F52" s="6">
        <v>100</v>
      </c>
      <c r="G52" s="6">
        <v>1964</v>
      </c>
      <c r="H52" s="6">
        <v>278</v>
      </c>
      <c r="I52" s="6">
        <v>12.846</v>
      </c>
      <c r="J52" s="6">
        <v>584.28</v>
      </c>
      <c r="K52" s="6">
        <v>23</v>
      </c>
    </row>
    <row r="53" spans="1:11" ht="12" customHeight="1">
      <c r="A53" s="6">
        <v>16050</v>
      </c>
      <c r="B53" s="6" t="s">
        <v>507</v>
      </c>
      <c r="C53" s="6" t="s">
        <v>445</v>
      </c>
      <c r="E53" s="6" t="s">
        <v>446</v>
      </c>
      <c r="F53" s="6">
        <v>81</v>
      </c>
      <c r="G53" s="6">
        <v>1958</v>
      </c>
      <c r="H53" s="6">
        <v>385</v>
      </c>
      <c r="I53" s="6">
        <v>7.4390000000000001</v>
      </c>
      <c r="J53" s="6">
        <v>308.363</v>
      </c>
      <c r="K53" s="6">
        <v>73</v>
      </c>
    </row>
    <row r="54" spans="1:11" ht="12" customHeight="1">
      <c r="A54" s="6">
        <v>16028</v>
      </c>
      <c r="B54" s="6" t="s">
        <v>508</v>
      </c>
      <c r="C54" s="6" t="s">
        <v>509</v>
      </c>
      <c r="D54" s="6" t="s">
        <v>316</v>
      </c>
      <c r="E54" s="6" t="s">
        <v>439</v>
      </c>
      <c r="F54" s="6">
        <v>29</v>
      </c>
      <c r="G54" s="6">
        <v>1968</v>
      </c>
      <c r="H54" s="6">
        <v>664</v>
      </c>
      <c r="I54" s="6">
        <v>0</v>
      </c>
      <c r="J54" s="6">
        <v>0</v>
      </c>
      <c r="K54" s="6">
        <v>0</v>
      </c>
    </row>
    <row r="55" spans="1:11" ht="12" customHeight="1">
      <c r="A55" s="6">
        <v>13055</v>
      </c>
      <c r="B55" s="6" t="s">
        <v>510</v>
      </c>
      <c r="C55" s="6" t="s">
        <v>441</v>
      </c>
      <c r="E55" s="6" t="s">
        <v>163</v>
      </c>
      <c r="F55" s="6">
        <v>30</v>
      </c>
      <c r="G55" s="6">
        <v>1971</v>
      </c>
      <c r="H55" s="6">
        <v>469</v>
      </c>
      <c r="I55" s="6">
        <v>6.0010000000000003</v>
      </c>
      <c r="J55" s="6">
        <v>170.059</v>
      </c>
      <c r="K55" s="6">
        <v>0</v>
      </c>
    </row>
    <row r="56" spans="1:11" ht="12" customHeight="1">
      <c r="A56" s="6">
        <v>14078</v>
      </c>
      <c r="B56" s="6" t="s">
        <v>511</v>
      </c>
      <c r="C56" s="6" t="s">
        <v>441</v>
      </c>
      <c r="E56" s="6" t="s">
        <v>425</v>
      </c>
      <c r="F56" s="6">
        <v>79</v>
      </c>
      <c r="G56" s="6">
        <v>1985</v>
      </c>
      <c r="H56" s="6">
        <v>665</v>
      </c>
      <c r="I56" s="6">
        <v>0</v>
      </c>
      <c r="J56" s="6">
        <v>0</v>
      </c>
      <c r="K56" s="6">
        <v>0</v>
      </c>
    </row>
    <row r="57" spans="1:11" ht="12" customHeight="1">
      <c r="A57" s="6">
        <v>23205</v>
      </c>
      <c r="B57" s="6" t="s">
        <v>512</v>
      </c>
      <c r="C57" s="6" t="s">
        <v>513</v>
      </c>
      <c r="D57" s="6" t="s">
        <v>434</v>
      </c>
      <c r="E57" s="6" t="s">
        <v>435</v>
      </c>
      <c r="F57" s="6">
        <v>93</v>
      </c>
      <c r="G57" s="6">
        <v>2007</v>
      </c>
      <c r="H57" s="6">
        <v>666</v>
      </c>
      <c r="I57" s="6">
        <v>0</v>
      </c>
      <c r="J57" s="6">
        <v>0</v>
      </c>
      <c r="K57" s="6">
        <v>0</v>
      </c>
    </row>
    <row r="58" spans="1:11" ht="12" customHeight="1">
      <c r="A58" s="6">
        <v>96225</v>
      </c>
      <c r="B58" s="6" t="s">
        <v>512</v>
      </c>
      <c r="C58" s="6" t="s">
        <v>514</v>
      </c>
      <c r="E58" s="6" t="s">
        <v>515</v>
      </c>
      <c r="F58" s="6">
        <v>28</v>
      </c>
      <c r="G58" s="6">
        <v>1950</v>
      </c>
      <c r="H58" s="6">
        <v>564</v>
      </c>
      <c r="I58" s="6">
        <v>2.25</v>
      </c>
      <c r="J58" s="6">
        <v>78.450999999999993</v>
      </c>
      <c r="K58" s="6">
        <v>0</v>
      </c>
    </row>
    <row r="59" spans="1:11" ht="12" customHeight="1">
      <c r="A59" s="6">
        <v>23049</v>
      </c>
      <c r="B59" s="6" t="s">
        <v>516</v>
      </c>
      <c r="C59" s="6" t="s">
        <v>517</v>
      </c>
      <c r="E59" s="6" t="s">
        <v>518</v>
      </c>
      <c r="F59" s="6">
        <v>44</v>
      </c>
      <c r="G59" s="6">
        <v>1985</v>
      </c>
      <c r="H59" s="6">
        <v>667</v>
      </c>
      <c r="I59" s="6">
        <v>0</v>
      </c>
      <c r="J59" s="6">
        <v>0</v>
      </c>
      <c r="K59" s="6">
        <v>0</v>
      </c>
    </row>
    <row r="60" spans="1:11" ht="12" customHeight="1">
      <c r="A60" s="6">
        <v>20510</v>
      </c>
      <c r="B60" s="6" t="s">
        <v>519</v>
      </c>
      <c r="C60" s="6" t="s">
        <v>482</v>
      </c>
      <c r="E60" s="6" t="s">
        <v>520</v>
      </c>
      <c r="F60" s="6">
        <v>55</v>
      </c>
      <c r="G60" s="6">
        <v>1980</v>
      </c>
      <c r="H60" s="6">
        <v>668</v>
      </c>
      <c r="I60" s="6">
        <v>0</v>
      </c>
      <c r="J60" s="6">
        <v>0</v>
      </c>
      <c r="K60" s="6">
        <v>0</v>
      </c>
    </row>
    <row r="61" spans="1:11" ht="12" customHeight="1">
      <c r="A61" s="6">
        <v>26011</v>
      </c>
      <c r="B61" s="6" t="s">
        <v>521</v>
      </c>
      <c r="C61" s="6" t="s">
        <v>445</v>
      </c>
      <c r="E61" s="6" t="s">
        <v>229</v>
      </c>
      <c r="F61" s="6">
        <v>1</v>
      </c>
      <c r="G61" s="6">
        <v>1987</v>
      </c>
      <c r="H61" s="6">
        <v>25</v>
      </c>
      <c r="I61" s="6">
        <v>43.25</v>
      </c>
      <c r="J61" s="6">
        <v>2971.3850000000002</v>
      </c>
      <c r="K61" s="6">
        <v>1105</v>
      </c>
    </row>
    <row r="62" spans="1:11" ht="12" customHeight="1">
      <c r="A62" s="6">
        <v>19060</v>
      </c>
      <c r="B62" s="6" t="s">
        <v>522</v>
      </c>
      <c r="C62" s="6" t="s">
        <v>445</v>
      </c>
      <c r="E62" s="6" t="s">
        <v>229</v>
      </c>
      <c r="F62" s="6">
        <v>1</v>
      </c>
      <c r="G62" s="6">
        <v>1954</v>
      </c>
      <c r="H62" s="6">
        <v>669</v>
      </c>
      <c r="I62" s="6">
        <v>0</v>
      </c>
      <c r="J62" s="6">
        <v>0</v>
      </c>
      <c r="K62" s="6">
        <v>0</v>
      </c>
    </row>
    <row r="63" spans="1:11" ht="12" customHeight="1">
      <c r="A63" s="6">
        <v>16143</v>
      </c>
      <c r="B63" s="6" t="s">
        <v>523</v>
      </c>
      <c r="C63" s="6" t="s">
        <v>524</v>
      </c>
      <c r="D63" s="6" t="s">
        <v>316</v>
      </c>
      <c r="E63" s="6" t="s">
        <v>253</v>
      </c>
      <c r="F63" s="6">
        <v>86</v>
      </c>
      <c r="G63" s="6">
        <v>1967</v>
      </c>
      <c r="H63" s="6">
        <v>670</v>
      </c>
      <c r="I63" s="6">
        <v>0</v>
      </c>
      <c r="J63" s="6">
        <v>0</v>
      </c>
      <c r="K63" s="6">
        <v>0</v>
      </c>
    </row>
    <row r="64" spans="1:11" ht="12" customHeight="1">
      <c r="A64" s="6">
        <v>11049</v>
      </c>
      <c r="B64" s="6" t="s">
        <v>525</v>
      </c>
      <c r="C64" s="6" t="s">
        <v>526</v>
      </c>
      <c r="E64" s="6" t="s">
        <v>229</v>
      </c>
      <c r="F64" s="6">
        <v>1</v>
      </c>
      <c r="G64" s="6">
        <v>1953</v>
      </c>
      <c r="H64" s="6">
        <v>221</v>
      </c>
      <c r="I64" s="6">
        <v>16.952999999999999</v>
      </c>
      <c r="J64" s="6">
        <v>890.62699999999995</v>
      </c>
      <c r="K64" s="6">
        <v>262</v>
      </c>
    </row>
    <row r="65" spans="1:11" ht="12" customHeight="1">
      <c r="A65" s="6">
        <v>16033</v>
      </c>
      <c r="B65" s="6" t="s">
        <v>527</v>
      </c>
      <c r="C65" s="6" t="s">
        <v>492</v>
      </c>
      <c r="E65" s="6" t="s">
        <v>341</v>
      </c>
      <c r="F65" s="6">
        <v>22</v>
      </c>
      <c r="G65" s="6">
        <v>1977</v>
      </c>
      <c r="H65" s="6">
        <v>671</v>
      </c>
      <c r="I65" s="6">
        <v>0</v>
      </c>
      <c r="J65" s="6">
        <v>0</v>
      </c>
      <c r="K65" s="6">
        <v>0</v>
      </c>
    </row>
    <row r="66" spans="1:11" ht="12" customHeight="1">
      <c r="A66" s="6">
        <v>20516</v>
      </c>
      <c r="B66" s="6" t="s">
        <v>528</v>
      </c>
      <c r="C66" s="6" t="s">
        <v>529</v>
      </c>
      <c r="D66" s="6" t="s">
        <v>316</v>
      </c>
      <c r="E66" s="6" t="s">
        <v>456</v>
      </c>
      <c r="F66" s="6">
        <v>70</v>
      </c>
      <c r="G66" s="6">
        <v>1953</v>
      </c>
      <c r="H66" s="6">
        <v>377</v>
      </c>
      <c r="I66" s="6">
        <v>3.8450000000000002</v>
      </c>
      <c r="J66" s="6">
        <v>314.09300000000002</v>
      </c>
      <c r="K66" s="6">
        <v>130</v>
      </c>
    </row>
    <row r="67" spans="1:11" ht="12" customHeight="1">
      <c r="A67" s="6">
        <v>96005</v>
      </c>
      <c r="B67" s="6" t="s">
        <v>530</v>
      </c>
      <c r="C67" s="6" t="s">
        <v>492</v>
      </c>
      <c r="E67" s="6" t="s">
        <v>144</v>
      </c>
      <c r="F67" s="6">
        <v>63</v>
      </c>
      <c r="G67" s="6">
        <v>1946</v>
      </c>
      <c r="H67" s="6">
        <v>209</v>
      </c>
      <c r="I67" s="6">
        <v>17.859000000000002</v>
      </c>
      <c r="J67" s="6">
        <v>995.8</v>
      </c>
      <c r="K67" s="6">
        <v>327</v>
      </c>
    </row>
    <row r="68" spans="1:11" ht="12" customHeight="1">
      <c r="A68" s="6">
        <v>13006</v>
      </c>
      <c r="B68" s="6" t="s">
        <v>531</v>
      </c>
      <c r="C68" s="6" t="s">
        <v>532</v>
      </c>
      <c r="E68" s="6" t="s">
        <v>533</v>
      </c>
      <c r="F68" s="6">
        <v>75</v>
      </c>
      <c r="G68" s="6">
        <v>1987</v>
      </c>
      <c r="H68" s="6">
        <v>406</v>
      </c>
      <c r="I68" s="6">
        <v>2</v>
      </c>
      <c r="J68" s="6">
        <v>263</v>
      </c>
      <c r="K68" s="6">
        <v>153</v>
      </c>
    </row>
    <row r="69" spans="1:11" ht="12" customHeight="1">
      <c r="A69" s="6">
        <v>13005</v>
      </c>
      <c r="B69" s="6" t="s">
        <v>534</v>
      </c>
      <c r="C69" s="6" t="s">
        <v>532</v>
      </c>
      <c r="E69" s="6" t="s">
        <v>533</v>
      </c>
      <c r="F69" s="6">
        <v>75</v>
      </c>
      <c r="G69" s="6">
        <v>1963</v>
      </c>
      <c r="H69" s="6">
        <v>118</v>
      </c>
      <c r="I69" s="6">
        <v>25.001000000000001</v>
      </c>
      <c r="J69" s="6">
        <v>1672.258</v>
      </c>
      <c r="K69" s="6">
        <v>669</v>
      </c>
    </row>
    <row r="70" spans="1:11" ht="12" customHeight="1">
      <c r="A70" s="6">
        <v>20523</v>
      </c>
      <c r="B70" s="6" t="s">
        <v>535</v>
      </c>
      <c r="C70" s="6" t="s">
        <v>536</v>
      </c>
      <c r="D70" s="6" t="s">
        <v>316</v>
      </c>
      <c r="E70" s="6" t="s">
        <v>425</v>
      </c>
      <c r="F70" s="6">
        <v>79</v>
      </c>
      <c r="G70" s="6">
        <v>1988</v>
      </c>
      <c r="H70" s="6">
        <v>672</v>
      </c>
      <c r="I70" s="6">
        <v>0</v>
      </c>
      <c r="J70" s="6">
        <v>0</v>
      </c>
      <c r="K70" s="6">
        <v>0</v>
      </c>
    </row>
    <row r="71" spans="1:11" ht="12" customHeight="1">
      <c r="A71" s="6">
        <v>13007</v>
      </c>
      <c r="B71" s="6" t="s">
        <v>535</v>
      </c>
      <c r="C71" s="6" t="s">
        <v>537</v>
      </c>
      <c r="D71" s="6" t="s">
        <v>316</v>
      </c>
      <c r="E71" s="6" t="s">
        <v>533</v>
      </c>
      <c r="F71" s="6">
        <v>75</v>
      </c>
      <c r="G71" s="6">
        <v>1966</v>
      </c>
      <c r="H71" s="6">
        <v>139</v>
      </c>
      <c r="I71" s="6">
        <v>23.751000000000001</v>
      </c>
      <c r="J71" s="6">
        <v>1479.4079999999999</v>
      </c>
      <c r="K71" s="6">
        <v>556</v>
      </c>
    </row>
    <row r="72" spans="1:11" ht="12" customHeight="1">
      <c r="A72" s="6">
        <v>23228</v>
      </c>
      <c r="B72" s="6" t="s">
        <v>538</v>
      </c>
      <c r="C72" s="6" t="s">
        <v>539</v>
      </c>
      <c r="E72" s="6" t="s">
        <v>163</v>
      </c>
      <c r="F72" s="6">
        <v>30</v>
      </c>
      <c r="G72" s="6">
        <v>1996</v>
      </c>
      <c r="H72" s="6">
        <v>673</v>
      </c>
      <c r="I72" s="6">
        <v>0</v>
      </c>
      <c r="J72" s="6">
        <v>0</v>
      </c>
      <c r="K72" s="6">
        <v>0</v>
      </c>
    </row>
    <row r="73" spans="1:11" ht="12" customHeight="1">
      <c r="A73" s="6">
        <v>20563</v>
      </c>
      <c r="B73" s="6" t="s">
        <v>540</v>
      </c>
      <c r="C73" s="6" t="s">
        <v>427</v>
      </c>
      <c r="E73" s="6" t="s">
        <v>541</v>
      </c>
      <c r="F73" s="6">
        <v>92</v>
      </c>
      <c r="G73" s="6">
        <v>1960</v>
      </c>
      <c r="H73" s="6">
        <v>434</v>
      </c>
      <c r="I73" s="6">
        <v>3.532</v>
      </c>
      <c r="J73" s="6">
        <v>207.34800000000001</v>
      </c>
      <c r="K73" s="6">
        <v>83</v>
      </c>
    </row>
    <row r="74" spans="1:11" ht="12" customHeight="1">
      <c r="A74" s="6">
        <v>20504</v>
      </c>
      <c r="B74" s="6" t="s">
        <v>542</v>
      </c>
      <c r="C74" s="6" t="s">
        <v>543</v>
      </c>
      <c r="E74" s="6" t="s">
        <v>221</v>
      </c>
      <c r="F74" s="6">
        <v>17</v>
      </c>
      <c r="G74" s="6">
        <v>1967</v>
      </c>
      <c r="H74" s="6">
        <v>320</v>
      </c>
      <c r="I74" s="6">
        <v>9.75</v>
      </c>
      <c r="J74" s="6">
        <v>457.35</v>
      </c>
      <c r="K74" s="6">
        <v>0</v>
      </c>
    </row>
    <row r="75" spans="1:11" ht="12" customHeight="1">
      <c r="A75" s="6">
        <v>20700</v>
      </c>
      <c r="B75" s="6" t="s">
        <v>544</v>
      </c>
      <c r="C75" s="6" t="s">
        <v>545</v>
      </c>
      <c r="D75" s="6" t="s">
        <v>316</v>
      </c>
      <c r="E75" s="6" t="s">
        <v>221</v>
      </c>
      <c r="F75" s="6">
        <v>17</v>
      </c>
      <c r="G75" s="6">
        <v>1970</v>
      </c>
      <c r="H75" s="6">
        <v>674</v>
      </c>
      <c r="I75" s="6">
        <v>0</v>
      </c>
      <c r="J75" s="6">
        <v>0</v>
      </c>
      <c r="K75" s="6">
        <v>0</v>
      </c>
    </row>
    <row r="76" spans="1:11" ht="12" customHeight="1">
      <c r="A76" s="6">
        <v>96034</v>
      </c>
      <c r="B76" s="6" t="s">
        <v>546</v>
      </c>
      <c r="C76" s="6" t="s">
        <v>467</v>
      </c>
      <c r="E76" s="6" t="s">
        <v>229</v>
      </c>
      <c r="F76" s="6">
        <v>1</v>
      </c>
      <c r="G76" s="6">
        <v>1966</v>
      </c>
      <c r="H76" s="6">
        <v>74</v>
      </c>
      <c r="I76" s="6">
        <v>33.500999999999998</v>
      </c>
      <c r="J76" s="6">
        <v>2117.576</v>
      </c>
      <c r="K76" s="6">
        <v>579</v>
      </c>
    </row>
    <row r="77" spans="1:11" ht="12" customHeight="1">
      <c r="A77" s="6">
        <v>98425</v>
      </c>
      <c r="B77" s="6" t="s">
        <v>546</v>
      </c>
      <c r="C77" s="6" t="s">
        <v>547</v>
      </c>
      <c r="E77" s="6" t="s">
        <v>299</v>
      </c>
      <c r="F77" s="6">
        <v>42</v>
      </c>
      <c r="G77" s="6">
        <v>1946</v>
      </c>
      <c r="H77" s="6">
        <v>356</v>
      </c>
      <c r="I77" s="6">
        <v>6.5640000000000001</v>
      </c>
      <c r="J77" s="6">
        <v>362.07600000000002</v>
      </c>
      <c r="K77" s="6">
        <v>90</v>
      </c>
    </row>
    <row r="78" spans="1:11" ht="12" customHeight="1">
      <c r="A78" s="6">
        <v>13040</v>
      </c>
      <c r="B78" s="6" t="s">
        <v>546</v>
      </c>
      <c r="C78" s="6" t="s">
        <v>548</v>
      </c>
      <c r="E78" s="6" t="s">
        <v>229</v>
      </c>
      <c r="F78" s="6">
        <v>1</v>
      </c>
      <c r="G78" s="6">
        <v>2003</v>
      </c>
      <c r="H78" s="6">
        <v>17</v>
      </c>
      <c r="I78" s="6">
        <v>42.75</v>
      </c>
      <c r="J78" s="6">
        <v>3301.3629999999998</v>
      </c>
      <c r="K78" s="6">
        <v>1550</v>
      </c>
    </row>
    <row r="79" spans="1:11" ht="12" customHeight="1">
      <c r="A79" s="6">
        <v>96043</v>
      </c>
      <c r="B79" s="6" t="s">
        <v>549</v>
      </c>
      <c r="C79" s="6" t="s">
        <v>550</v>
      </c>
      <c r="D79" s="6" t="s">
        <v>316</v>
      </c>
      <c r="E79" s="6" t="s">
        <v>229</v>
      </c>
      <c r="F79" s="6">
        <v>1</v>
      </c>
      <c r="G79" s="6">
        <v>1973</v>
      </c>
      <c r="H79" s="6">
        <v>181</v>
      </c>
      <c r="I79" s="6">
        <v>18.312999999999999</v>
      </c>
      <c r="J79" s="6">
        <v>1147.355</v>
      </c>
      <c r="K79" s="6">
        <v>300</v>
      </c>
    </row>
    <row r="80" spans="1:11" ht="12" customHeight="1">
      <c r="A80" s="6">
        <v>26009</v>
      </c>
      <c r="B80" s="6" t="s">
        <v>551</v>
      </c>
      <c r="C80" s="6" t="s">
        <v>552</v>
      </c>
      <c r="E80" s="6" t="s">
        <v>229</v>
      </c>
      <c r="F80" s="6">
        <v>1</v>
      </c>
      <c r="G80" s="6">
        <v>1956</v>
      </c>
      <c r="H80" s="6">
        <v>467</v>
      </c>
      <c r="I80" s="6">
        <v>2.5</v>
      </c>
      <c r="J80" s="6">
        <v>170.077</v>
      </c>
      <c r="K80" s="6">
        <v>67</v>
      </c>
    </row>
    <row r="81" spans="1:11" ht="12" customHeight="1">
      <c r="A81" s="6">
        <v>28008</v>
      </c>
      <c r="B81" s="6" t="s">
        <v>553</v>
      </c>
      <c r="C81" s="6" t="s">
        <v>485</v>
      </c>
      <c r="D81" s="6" t="s">
        <v>316</v>
      </c>
      <c r="E81" s="6" t="s">
        <v>229</v>
      </c>
      <c r="F81" s="6">
        <v>1</v>
      </c>
      <c r="G81" s="6">
        <v>1956</v>
      </c>
      <c r="H81" s="6">
        <v>468</v>
      </c>
      <c r="I81" s="6">
        <v>2.5</v>
      </c>
      <c r="J81" s="6">
        <v>170.077</v>
      </c>
      <c r="K81" s="6">
        <v>67</v>
      </c>
    </row>
    <row r="82" spans="1:11" ht="12" customHeight="1">
      <c r="A82" s="6">
        <v>96141</v>
      </c>
      <c r="B82" s="6" t="s">
        <v>554</v>
      </c>
      <c r="C82" s="6" t="s">
        <v>482</v>
      </c>
      <c r="E82" s="6" t="s">
        <v>141</v>
      </c>
      <c r="F82" s="6">
        <v>15</v>
      </c>
      <c r="G82" s="6">
        <v>1958</v>
      </c>
      <c r="H82" s="6">
        <v>675</v>
      </c>
      <c r="I82" s="6">
        <v>0</v>
      </c>
      <c r="J82" s="6">
        <v>0</v>
      </c>
      <c r="K82" s="6">
        <v>0</v>
      </c>
    </row>
    <row r="83" spans="1:11" ht="12" customHeight="1">
      <c r="A83" s="6">
        <v>96181</v>
      </c>
      <c r="B83" s="6" t="s">
        <v>555</v>
      </c>
      <c r="C83" s="6" t="s">
        <v>509</v>
      </c>
      <c r="D83" s="6" t="s">
        <v>316</v>
      </c>
      <c r="E83" s="6" t="s">
        <v>556</v>
      </c>
      <c r="F83" s="6">
        <v>13</v>
      </c>
      <c r="G83" s="6">
        <v>1961</v>
      </c>
      <c r="H83" s="6">
        <v>676</v>
      </c>
      <c r="I83" s="6">
        <v>0</v>
      </c>
      <c r="J83" s="6">
        <v>0</v>
      </c>
      <c r="K83" s="6">
        <v>0</v>
      </c>
    </row>
    <row r="84" spans="1:11" ht="12" customHeight="1">
      <c r="A84" s="6">
        <v>20610</v>
      </c>
      <c r="B84" s="6" t="s">
        <v>557</v>
      </c>
      <c r="C84" s="6" t="s">
        <v>548</v>
      </c>
      <c r="E84" s="6" t="s">
        <v>460</v>
      </c>
      <c r="F84" s="6">
        <v>95</v>
      </c>
      <c r="G84" s="6">
        <v>1988</v>
      </c>
      <c r="H84" s="6">
        <v>648</v>
      </c>
      <c r="I84" s="6">
        <v>6.3E-2</v>
      </c>
      <c r="J84" s="6">
        <v>2.9990000000000001</v>
      </c>
      <c r="K84" s="6">
        <v>0</v>
      </c>
    </row>
    <row r="85" spans="1:11" ht="12" customHeight="1">
      <c r="A85" s="6">
        <v>13045</v>
      </c>
      <c r="B85" s="6" t="s">
        <v>558</v>
      </c>
      <c r="C85" s="6" t="s">
        <v>440</v>
      </c>
      <c r="E85" s="6" t="s">
        <v>138</v>
      </c>
      <c r="F85" s="6">
        <v>20</v>
      </c>
      <c r="G85" s="6">
        <v>1950</v>
      </c>
      <c r="H85" s="6">
        <v>622</v>
      </c>
      <c r="I85" s="6">
        <v>0.75</v>
      </c>
      <c r="J85" s="6">
        <v>35.530999999999999</v>
      </c>
      <c r="K85" s="6">
        <v>0</v>
      </c>
    </row>
    <row r="86" spans="1:11" ht="12" customHeight="1">
      <c r="A86" s="6">
        <v>99505</v>
      </c>
      <c r="B86" s="6" t="s">
        <v>559</v>
      </c>
      <c r="C86" s="6" t="s">
        <v>482</v>
      </c>
      <c r="E86" s="6" t="s">
        <v>138</v>
      </c>
      <c r="F86" s="6">
        <v>20</v>
      </c>
      <c r="G86" s="6">
        <v>1966</v>
      </c>
      <c r="H86" s="6">
        <v>309</v>
      </c>
      <c r="I86" s="6">
        <v>12.407</v>
      </c>
      <c r="J86" s="6">
        <v>493.82799999999997</v>
      </c>
      <c r="K86" s="6">
        <v>0</v>
      </c>
    </row>
    <row r="87" spans="1:11" ht="12" customHeight="1">
      <c r="A87" s="6">
        <v>10051</v>
      </c>
      <c r="B87" s="6" t="s">
        <v>560</v>
      </c>
      <c r="C87" s="6" t="s">
        <v>492</v>
      </c>
      <c r="E87" s="6" t="s">
        <v>493</v>
      </c>
      <c r="F87" s="6">
        <v>16</v>
      </c>
      <c r="G87" s="6">
        <v>1998</v>
      </c>
      <c r="H87" s="6">
        <v>677</v>
      </c>
      <c r="I87" s="6">
        <v>0</v>
      </c>
      <c r="J87" s="6">
        <v>0</v>
      </c>
      <c r="K87" s="6">
        <v>0</v>
      </c>
    </row>
    <row r="88" spans="1:11" ht="12" customHeight="1">
      <c r="A88" s="6">
        <v>12002</v>
      </c>
      <c r="B88" s="6" t="s">
        <v>560</v>
      </c>
      <c r="C88" s="6" t="s">
        <v>482</v>
      </c>
      <c r="E88" s="6" t="s">
        <v>239</v>
      </c>
      <c r="F88" s="6">
        <v>14</v>
      </c>
      <c r="G88" s="6">
        <v>1994</v>
      </c>
      <c r="H88" s="6">
        <v>678</v>
      </c>
      <c r="I88" s="6">
        <v>0</v>
      </c>
      <c r="J88" s="6">
        <v>0</v>
      </c>
      <c r="K88" s="6">
        <v>0</v>
      </c>
    </row>
    <row r="89" spans="1:11" ht="12" customHeight="1">
      <c r="A89" s="6">
        <v>20714</v>
      </c>
      <c r="B89" s="6" t="s">
        <v>561</v>
      </c>
      <c r="C89" s="6" t="s">
        <v>480</v>
      </c>
      <c r="D89" s="6" t="s">
        <v>316</v>
      </c>
      <c r="E89" s="6" t="s">
        <v>138</v>
      </c>
      <c r="F89" s="6">
        <v>20</v>
      </c>
      <c r="G89" s="6">
        <v>1950</v>
      </c>
      <c r="H89" s="6">
        <v>576</v>
      </c>
      <c r="I89" s="6">
        <v>1.375</v>
      </c>
      <c r="J89" s="6">
        <v>65.614000000000004</v>
      </c>
      <c r="K89" s="6">
        <v>0</v>
      </c>
    </row>
    <row r="90" spans="1:11" ht="12" customHeight="1">
      <c r="A90" s="6">
        <v>15011</v>
      </c>
      <c r="B90" s="6" t="s">
        <v>562</v>
      </c>
      <c r="C90" s="6" t="s">
        <v>563</v>
      </c>
      <c r="E90" s="6" t="s">
        <v>488</v>
      </c>
      <c r="F90" s="6">
        <v>73</v>
      </c>
      <c r="G90" s="6">
        <v>1965</v>
      </c>
      <c r="H90" s="6">
        <v>68</v>
      </c>
      <c r="I90" s="6">
        <v>32.875</v>
      </c>
      <c r="J90" s="6">
        <v>2132.1419999999998</v>
      </c>
      <c r="K90" s="6">
        <v>1002</v>
      </c>
    </row>
    <row r="91" spans="1:11" ht="12" customHeight="1">
      <c r="A91" s="6">
        <v>15010</v>
      </c>
      <c r="B91" s="6" t="s">
        <v>564</v>
      </c>
      <c r="C91" s="6" t="s">
        <v>565</v>
      </c>
      <c r="D91" s="6" t="s">
        <v>316</v>
      </c>
      <c r="E91" s="6" t="s">
        <v>488</v>
      </c>
      <c r="F91" s="6">
        <v>73</v>
      </c>
      <c r="G91" s="6">
        <v>1952</v>
      </c>
      <c r="H91" s="6">
        <v>69</v>
      </c>
      <c r="I91" s="6">
        <v>31.125</v>
      </c>
      <c r="J91" s="6">
        <v>2131.7260000000001</v>
      </c>
      <c r="K91" s="6">
        <v>1002</v>
      </c>
    </row>
    <row r="92" spans="1:11" ht="12" customHeight="1">
      <c r="A92" s="6">
        <v>16047</v>
      </c>
      <c r="B92" s="6" t="s">
        <v>566</v>
      </c>
      <c r="C92" s="6" t="s">
        <v>416</v>
      </c>
      <c r="E92" s="6" t="s">
        <v>446</v>
      </c>
      <c r="F92" s="6">
        <v>81</v>
      </c>
      <c r="G92" s="6">
        <v>1967</v>
      </c>
      <c r="H92" s="6">
        <v>354</v>
      </c>
      <c r="I92" s="6">
        <v>6.6180000000000003</v>
      </c>
      <c r="J92" s="6">
        <v>365.03800000000001</v>
      </c>
      <c r="K92" s="6">
        <v>130</v>
      </c>
    </row>
    <row r="93" spans="1:11" ht="12" customHeight="1">
      <c r="A93" s="6">
        <v>16048</v>
      </c>
      <c r="B93" s="6" t="s">
        <v>566</v>
      </c>
      <c r="C93" s="6" t="s">
        <v>433</v>
      </c>
      <c r="E93" s="6" t="s">
        <v>446</v>
      </c>
      <c r="F93" s="6">
        <v>81</v>
      </c>
      <c r="G93" s="6">
        <v>1991</v>
      </c>
      <c r="H93" s="6">
        <v>679</v>
      </c>
      <c r="I93" s="6">
        <v>0</v>
      </c>
      <c r="J93" s="6">
        <v>0</v>
      </c>
      <c r="K93" s="6">
        <v>0</v>
      </c>
    </row>
    <row r="94" spans="1:11" ht="12" customHeight="1">
      <c r="A94" s="6">
        <v>19021</v>
      </c>
      <c r="B94" s="6" t="s">
        <v>567</v>
      </c>
      <c r="C94" s="6" t="s">
        <v>568</v>
      </c>
      <c r="E94" s="6" t="s">
        <v>239</v>
      </c>
      <c r="F94" s="6">
        <v>14</v>
      </c>
      <c r="G94" s="6">
        <v>1966</v>
      </c>
      <c r="H94" s="6">
        <v>485</v>
      </c>
      <c r="I94" s="6">
        <v>3.8439999999999999</v>
      </c>
      <c r="J94" s="6">
        <v>155.58099999999999</v>
      </c>
      <c r="K94" s="6">
        <v>0</v>
      </c>
    </row>
    <row r="95" spans="1:11" ht="12" customHeight="1">
      <c r="A95" s="6">
        <v>24207</v>
      </c>
      <c r="B95" s="6" t="s">
        <v>569</v>
      </c>
      <c r="C95" s="6" t="s">
        <v>532</v>
      </c>
      <c r="E95" s="6" t="s">
        <v>493</v>
      </c>
      <c r="F95" s="6">
        <v>16</v>
      </c>
      <c r="G95" s="6">
        <v>1994</v>
      </c>
      <c r="H95" s="6">
        <v>680</v>
      </c>
      <c r="I95" s="6">
        <v>0</v>
      </c>
      <c r="J95" s="6">
        <v>0</v>
      </c>
      <c r="K95" s="6">
        <v>0</v>
      </c>
    </row>
    <row r="96" spans="1:11" ht="12" customHeight="1">
      <c r="A96" s="6">
        <v>18012</v>
      </c>
      <c r="B96" s="6" t="s">
        <v>570</v>
      </c>
      <c r="C96" s="6" t="s">
        <v>571</v>
      </c>
      <c r="E96" s="6" t="s">
        <v>572</v>
      </c>
      <c r="F96" s="6">
        <v>87</v>
      </c>
      <c r="G96" s="6">
        <v>1952</v>
      </c>
      <c r="H96" s="6">
        <v>317</v>
      </c>
      <c r="I96" s="6">
        <v>8.516</v>
      </c>
      <c r="J96" s="6">
        <v>464.61399999999998</v>
      </c>
      <c r="K96" s="6">
        <v>77</v>
      </c>
    </row>
    <row r="97" spans="1:11" ht="12" customHeight="1">
      <c r="A97" s="6">
        <v>18013</v>
      </c>
      <c r="B97" s="6" t="s">
        <v>573</v>
      </c>
      <c r="C97" s="6" t="s">
        <v>574</v>
      </c>
      <c r="D97" s="6" t="s">
        <v>316</v>
      </c>
      <c r="E97" s="6" t="s">
        <v>572</v>
      </c>
      <c r="F97" s="6">
        <v>87</v>
      </c>
      <c r="G97" s="6">
        <v>1953</v>
      </c>
      <c r="H97" s="6">
        <v>296</v>
      </c>
      <c r="I97" s="6">
        <v>9.516</v>
      </c>
      <c r="J97" s="6">
        <v>514.46199999999999</v>
      </c>
      <c r="K97" s="6">
        <v>77</v>
      </c>
    </row>
    <row r="98" spans="1:11" ht="12" customHeight="1">
      <c r="A98" s="6">
        <v>23214</v>
      </c>
      <c r="B98" s="6" t="s">
        <v>575</v>
      </c>
      <c r="C98" s="6" t="s">
        <v>576</v>
      </c>
      <c r="E98" s="6" t="s">
        <v>460</v>
      </c>
      <c r="F98" s="6">
        <v>95</v>
      </c>
      <c r="G98" s="6">
        <v>1987</v>
      </c>
      <c r="H98" s="6">
        <v>681</v>
      </c>
      <c r="I98" s="6">
        <v>0</v>
      </c>
      <c r="J98" s="6">
        <v>0</v>
      </c>
      <c r="K98" s="6">
        <v>0</v>
      </c>
    </row>
    <row r="99" spans="1:11" ht="12" customHeight="1">
      <c r="A99" s="6">
        <v>10022</v>
      </c>
      <c r="B99" s="6" t="s">
        <v>577</v>
      </c>
      <c r="C99" s="6" t="s">
        <v>482</v>
      </c>
      <c r="E99" s="6" t="s">
        <v>242</v>
      </c>
      <c r="F99" s="6">
        <v>67</v>
      </c>
      <c r="G99" s="6">
        <v>1961</v>
      </c>
      <c r="H99" s="6">
        <v>471</v>
      </c>
      <c r="I99" s="6">
        <v>1.8129999999999999</v>
      </c>
      <c r="J99" s="6">
        <v>169.696</v>
      </c>
      <c r="K99" s="6">
        <v>89</v>
      </c>
    </row>
    <row r="100" spans="1:11" ht="12" customHeight="1">
      <c r="A100" s="6">
        <v>14088</v>
      </c>
      <c r="B100" s="6" t="s">
        <v>578</v>
      </c>
      <c r="C100" s="6" t="s">
        <v>431</v>
      </c>
      <c r="D100" s="6" t="s">
        <v>316</v>
      </c>
      <c r="E100" s="6" t="s">
        <v>425</v>
      </c>
      <c r="F100" s="6">
        <v>79</v>
      </c>
      <c r="G100" s="6">
        <v>1984</v>
      </c>
      <c r="H100" s="6">
        <v>682</v>
      </c>
      <c r="I100" s="6">
        <v>0</v>
      </c>
      <c r="J100" s="6">
        <v>0</v>
      </c>
      <c r="K100" s="6">
        <v>0</v>
      </c>
    </row>
    <row r="101" spans="1:11" ht="12" customHeight="1">
      <c r="A101" s="6">
        <v>22123</v>
      </c>
      <c r="B101" s="6" t="s">
        <v>579</v>
      </c>
      <c r="C101" s="6" t="s">
        <v>576</v>
      </c>
      <c r="E101" s="6" t="s">
        <v>435</v>
      </c>
      <c r="F101" s="6">
        <v>93</v>
      </c>
      <c r="G101" s="6">
        <v>1995</v>
      </c>
      <c r="H101" s="6">
        <v>445</v>
      </c>
      <c r="I101" s="6">
        <v>3.391</v>
      </c>
      <c r="J101" s="6">
        <v>197.79300000000001</v>
      </c>
      <c r="K101" s="6">
        <v>55</v>
      </c>
    </row>
    <row r="102" spans="1:11" ht="12" customHeight="1">
      <c r="A102" s="6">
        <v>21041</v>
      </c>
      <c r="B102" s="6" t="s">
        <v>579</v>
      </c>
      <c r="C102" s="6" t="s">
        <v>580</v>
      </c>
      <c r="E102" s="6" t="s">
        <v>435</v>
      </c>
      <c r="F102" s="6">
        <v>93</v>
      </c>
      <c r="G102" s="6">
        <v>1962</v>
      </c>
      <c r="H102" s="6">
        <v>394</v>
      </c>
      <c r="I102" s="6">
        <v>5.673</v>
      </c>
      <c r="J102" s="6">
        <v>285.01100000000002</v>
      </c>
      <c r="K102" s="6">
        <v>72</v>
      </c>
    </row>
    <row r="103" spans="1:11" ht="12" customHeight="1">
      <c r="A103" s="6">
        <v>21042</v>
      </c>
      <c r="B103" s="6" t="s">
        <v>581</v>
      </c>
      <c r="C103" s="6" t="s">
        <v>443</v>
      </c>
      <c r="D103" s="6" t="s">
        <v>316</v>
      </c>
      <c r="E103" s="6" t="s">
        <v>435</v>
      </c>
      <c r="F103" s="6">
        <v>93</v>
      </c>
      <c r="G103" s="6">
        <v>1967</v>
      </c>
      <c r="H103" s="6">
        <v>357</v>
      </c>
      <c r="I103" s="6">
        <v>6.1580000000000004</v>
      </c>
      <c r="J103" s="6">
        <v>361.95800000000003</v>
      </c>
      <c r="K103" s="6">
        <v>111</v>
      </c>
    </row>
    <row r="104" spans="1:11" ht="12" customHeight="1">
      <c r="A104" s="6">
        <v>19066</v>
      </c>
      <c r="B104" s="6" t="s">
        <v>582</v>
      </c>
      <c r="C104" s="6" t="s">
        <v>583</v>
      </c>
      <c r="E104" s="6" t="s">
        <v>375</v>
      </c>
      <c r="F104" s="6">
        <v>43</v>
      </c>
      <c r="G104" s="6">
        <v>1977</v>
      </c>
      <c r="H104" s="6">
        <v>441</v>
      </c>
      <c r="I104" s="6">
        <v>4.6559999999999997</v>
      </c>
      <c r="J104" s="6">
        <v>200.98500000000001</v>
      </c>
      <c r="K104" s="6">
        <v>0</v>
      </c>
    </row>
    <row r="105" spans="1:11" ht="12" customHeight="1">
      <c r="A105" s="6">
        <v>16018</v>
      </c>
      <c r="B105" s="6" t="s">
        <v>584</v>
      </c>
      <c r="C105" s="6" t="s">
        <v>492</v>
      </c>
      <c r="E105" s="6" t="s">
        <v>515</v>
      </c>
      <c r="F105" s="6">
        <v>28</v>
      </c>
      <c r="G105" s="6">
        <v>1966</v>
      </c>
      <c r="H105" s="6">
        <v>310</v>
      </c>
      <c r="I105" s="6">
        <v>15.282999999999999</v>
      </c>
      <c r="J105" s="6">
        <v>493.23099999999999</v>
      </c>
      <c r="K105" s="6">
        <v>0</v>
      </c>
    </row>
    <row r="106" spans="1:11" ht="12" customHeight="1">
      <c r="A106" s="6">
        <v>22106</v>
      </c>
      <c r="B106" s="6" t="s">
        <v>585</v>
      </c>
      <c r="C106" s="6" t="s">
        <v>586</v>
      </c>
      <c r="E106" s="6" t="s">
        <v>235</v>
      </c>
      <c r="F106" s="6">
        <v>27</v>
      </c>
      <c r="G106" s="6">
        <v>2003</v>
      </c>
      <c r="H106" s="6">
        <v>265</v>
      </c>
      <c r="I106" s="6">
        <v>17.376000000000001</v>
      </c>
      <c r="J106" s="6">
        <v>643.66899999999998</v>
      </c>
      <c r="K106" s="6">
        <v>44</v>
      </c>
    </row>
    <row r="107" spans="1:11" ht="12" customHeight="1">
      <c r="A107" s="6">
        <v>16035</v>
      </c>
      <c r="B107" s="6" t="s">
        <v>587</v>
      </c>
      <c r="C107" s="6" t="s">
        <v>588</v>
      </c>
      <c r="E107" s="6" t="s">
        <v>341</v>
      </c>
      <c r="F107" s="6">
        <v>22</v>
      </c>
      <c r="G107" s="6">
        <v>1970</v>
      </c>
      <c r="H107" s="6">
        <v>683</v>
      </c>
      <c r="I107" s="6">
        <v>0</v>
      </c>
      <c r="J107" s="6">
        <v>0</v>
      </c>
      <c r="K107" s="6">
        <v>0</v>
      </c>
    </row>
    <row r="108" spans="1:11" ht="12" customHeight="1">
      <c r="A108" s="6">
        <v>23238</v>
      </c>
      <c r="B108" s="6" t="s">
        <v>589</v>
      </c>
      <c r="C108" s="6" t="s">
        <v>532</v>
      </c>
      <c r="E108" s="6" t="s">
        <v>446</v>
      </c>
      <c r="F108" s="6">
        <v>81</v>
      </c>
      <c r="G108" s="6">
        <v>1985</v>
      </c>
      <c r="H108" s="6">
        <v>589</v>
      </c>
      <c r="I108" s="6">
        <v>1.1559999999999999</v>
      </c>
      <c r="J108" s="6">
        <v>53.715000000000003</v>
      </c>
      <c r="K108" s="6">
        <v>0</v>
      </c>
    </row>
    <row r="109" spans="1:11" ht="12" customHeight="1">
      <c r="A109" s="6">
        <v>99510</v>
      </c>
      <c r="B109" s="6" t="s">
        <v>590</v>
      </c>
      <c r="C109" s="6" t="s">
        <v>437</v>
      </c>
      <c r="E109" s="6" t="s">
        <v>120</v>
      </c>
      <c r="F109" s="6">
        <v>54</v>
      </c>
      <c r="G109" s="6">
        <v>1951</v>
      </c>
      <c r="H109" s="6">
        <v>48</v>
      </c>
      <c r="I109" s="6">
        <v>30.812999999999999</v>
      </c>
      <c r="J109" s="6">
        <v>2499.203</v>
      </c>
      <c r="K109" s="6">
        <v>1111</v>
      </c>
    </row>
    <row r="110" spans="1:11" ht="12" customHeight="1">
      <c r="A110" s="6">
        <v>99574</v>
      </c>
      <c r="B110" s="6" t="s">
        <v>591</v>
      </c>
      <c r="C110" s="6" t="s">
        <v>592</v>
      </c>
      <c r="D110" s="6" t="s">
        <v>316</v>
      </c>
      <c r="E110" s="6" t="s">
        <v>120</v>
      </c>
      <c r="F110" s="6">
        <v>54</v>
      </c>
      <c r="G110" s="6">
        <v>1949</v>
      </c>
      <c r="H110" s="6">
        <v>32</v>
      </c>
      <c r="I110" s="6">
        <v>36.875</v>
      </c>
      <c r="J110" s="6">
        <v>2898.692</v>
      </c>
      <c r="K110" s="6">
        <v>1450</v>
      </c>
    </row>
    <row r="111" spans="1:11" ht="12" customHeight="1">
      <c r="A111" s="6">
        <v>13027</v>
      </c>
      <c r="B111" s="6" t="s">
        <v>593</v>
      </c>
      <c r="C111" s="6" t="s">
        <v>509</v>
      </c>
      <c r="D111" s="6" t="s">
        <v>316</v>
      </c>
      <c r="E111" s="6" t="s">
        <v>134</v>
      </c>
      <c r="F111" s="6">
        <v>64</v>
      </c>
      <c r="G111" s="6">
        <v>1977</v>
      </c>
      <c r="H111" s="6">
        <v>82</v>
      </c>
      <c r="I111" s="6">
        <v>30</v>
      </c>
      <c r="J111" s="6">
        <v>2037.413</v>
      </c>
      <c r="K111" s="6">
        <v>790</v>
      </c>
    </row>
    <row r="112" spans="1:11" ht="12" customHeight="1">
      <c r="A112" s="6">
        <v>96100</v>
      </c>
      <c r="B112" s="6" t="s">
        <v>594</v>
      </c>
      <c r="C112" s="6" t="s">
        <v>514</v>
      </c>
      <c r="E112" s="6" t="s">
        <v>502</v>
      </c>
      <c r="F112" s="6">
        <v>24</v>
      </c>
      <c r="G112" s="6">
        <v>1968</v>
      </c>
      <c r="H112" s="6">
        <v>684</v>
      </c>
      <c r="I112" s="6">
        <v>0</v>
      </c>
      <c r="J112" s="6">
        <v>0</v>
      </c>
      <c r="K112" s="6">
        <v>0</v>
      </c>
    </row>
    <row r="113" spans="1:11" ht="12" customHeight="1">
      <c r="A113" s="6">
        <v>18004</v>
      </c>
      <c r="B113" s="6" t="s">
        <v>595</v>
      </c>
      <c r="C113" s="6" t="s">
        <v>422</v>
      </c>
      <c r="E113" s="6" t="s">
        <v>193</v>
      </c>
      <c r="F113" s="6">
        <v>89</v>
      </c>
      <c r="G113" s="6">
        <v>1980</v>
      </c>
      <c r="H113" s="6">
        <v>685</v>
      </c>
      <c r="I113" s="6">
        <v>0</v>
      </c>
      <c r="J113" s="6">
        <v>0</v>
      </c>
      <c r="K113" s="6">
        <v>0</v>
      </c>
    </row>
    <row r="114" spans="1:11" ht="12" customHeight="1">
      <c r="A114" s="6">
        <v>27082</v>
      </c>
      <c r="B114" s="6" t="s">
        <v>596</v>
      </c>
      <c r="C114" s="6" t="s">
        <v>597</v>
      </c>
      <c r="E114" s="6" t="s">
        <v>476</v>
      </c>
      <c r="F114" s="6">
        <v>2</v>
      </c>
      <c r="G114" s="6">
        <v>1951</v>
      </c>
      <c r="H114" s="6">
        <v>686</v>
      </c>
      <c r="I114" s="6">
        <v>0</v>
      </c>
      <c r="J114" s="6">
        <v>0</v>
      </c>
      <c r="K114" s="6">
        <v>0</v>
      </c>
    </row>
    <row r="115" spans="1:11" ht="12" customHeight="1">
      <c r="A115" s="6">
        <v>18055</v>
      </c>
      <c r="B115" s="6" t="s">
        <v>596</v>
      </c>
      <c r="C115" s="6" t="s">
        <v>532</v>
      </c>
      <c r="E115" s="6" t="s">
        <v>425</v>
      </c>
      <c r="F115" s="6">
        <v>79</v>
      </c>
      <c r="G115" s="6">
        <v>1975</v>
      </c>
      <c r="H115" s="6">
        <v>92</v>
      </c>
      <c r="I115" s="6">
        <v>25.562999999999999</v>
      </c>
      <c r="J115" s="6">
        <v>1925.634</v>
      </c>
      <c r="K115" s="6">
        <v>743</v>
      </c>
    </row>
    <row r="116" spans="1:11" ht="12" customHeight="1">
      <c r="A116" s="6">
        <v>15087</v>
      </c>
      <c r="B116" s="6" t="s">
        <v>598</v>
      </c>
      <c r="C116" s="6" t="s">
        <v>599</v>
      </c>
      <c r="E116" s="6" t="s">
        <v>299</v>
      </c>
      <c r="F116" s="6">
        <v>42</v>
      </c>
      <c r="G116" s="6">
        <v>1942</v>
      </c>
      <c r="H116" s="6">
        <v>560</v>
      </c>
      <c r="I116" s="6">
        <v>2.5</v>
      </c>
      <c r="J116" s="6">
        <v>79.575000000000003</v>
      </c>
      <c r="K116" s="6">
        <v>0</v>
      </c>
    </row>
    <row r="117" spans="1:11" ht="12" customHeight="1">
      <c r="A117" s="6">
        <v>16037</v>
      </c>
      <c r="B117" s="6" t="s">
        <v>600</v>
      </c>
      <c r="C117" s="6" t="s">
        <v>601</v>
      </c>
      <c r="D117" s="6" t="s">
        <v>316</v>
      </c>
      <c r="E117" s="6" t="s">
        <v>456</v>
      </c>
      <c r="F117" s="6">
        <v>70</v>
      </c>
      <c r="G117" s="6">
        <v>1936</v>
      </c>
      <c r="H117" s="6">
        <v>687</v>
      </c>
      <c r="I117" s="6">
        <v>0</v>
      </c>
      <c r="J117" s="6">
        <v>0</v>
      </c>
      <c r="K117" s="6">
        <v>0</v>
      </c>
    </row>
    <row r="118" spans="1:11" ht="12" customHeight="1">
      <c r="A118" s="6">
        <v>28032</v>
      </c>
      <c r="B118" s="6" t="s">
        <v>602</v>
      </c>
      <c r="C118" s="6" t="s">
        <v>424</v>
      </c>
      <c r="E118" s="6" t="s">
        <v>180</v>
      </c>
      <c r="F118" s="6">
        <v>62</v>
      </c>
      <c r="G118" s="6">
        <v>1967</v>
      </c>
      <c r="H118" s="6">
        <v>509</v>
      </c>
      <c r="I118" s="6">
        <v>3.25</v>
      </c>
      <c r="J118" s="6">
        <v>124.792</v>
      </c>
      <c r="K118" s="6">
        <v>0</v>
      </c>
    </row>
    <row r="119" spans="1:11" ht="12" customHeight="1">
      <c r="A119" s="6">
        <v>28031</v>
      </c>
      <c r="B119" s="6" t="s">
        <v>603</v>
      </c>
      <c r="C119" s="6" t="s">
        <v>524</v>
      </c>
      <c r="D119" s="6" t="s">
        <v>316</v>
      </c>
      <c r="E119" s="6" t="s">
        <v>180</v>
      </c>
      <c r="F119" s="6">
        <v>62</v>
      </c>
      <c r="G119" s="6">
        <v>1970</v>
      </c>
      <c r="H119" s="6">
        <v>638</v>
      </c>
      <c r="I119" s="6">
        <v>0.75</v>
      </c>
      <c r="J119" s="6">
        <v>21.012</v>
      </c>
      <c r="K119" s="6">
        <v>0</v>
      </c>
    </row>
    <row r="120" spans="1:11" ht="12" customHeight="1">
      <c r="A120" s="6">
        <v>19070</v>
      </c>
      <c r="B120" s="6" t="s">
        <v>604</v>
      </c>
      <c r="C120" s="6" t="s">
        <v>605</v>
      </c>
      <c r="D120" s="6" t="s">
        <v>451</v>
      </c>
      <c r="E120" s="6" t="s">
        <v>193</v>
      </c>
      <c r="F120" s="6">
        <v>89</v>
      </c>
      <c r="G120" s="6">
        <v>2013</v>
      </c>
      <c r="H120" s="6">
        <v>482</v>
      </c>
      <c r="I120" s="6">
        <v>4.4219999999999997</v>
      </c>
      <c r="J120" s="6">
        <v>158.38</v>
      </c>
      <c r="K120" s="6">
        <v>24</v>
      </c>
    </row>
    <row r="121" spans="1:11" ht="12" customHeight="1">
      <c r="A121" s="6">
        <v>19071</v>
      </c>
      <c r="B121" s="6" t="s">
        <v>606</v>
      </c>
      <c r="C121" s="6" t="s">
        <v>607</v>
      </c>
      <c r="D121" s="6" t="s">
        <v>434</v>
      </c>
      <c r="E121" s="6" t="s">
        <v>193</v>
      </c>
      <c r="F121" s="6">
        <v>89</v>
      </c>
      <c r="G121" s="6">
        <v>2014</v>
      </c>
      <c r="H121" s="6">
        <v>507</v>
      </c>
      <c r="I121" s="6">
        <v>3.4849999999999999</v>
      </c>
      <c r="J121" s="6">
        <v>127.932</v>
      </c>
      <c r="K121" s="6">
        <v>24</v>
      </c>
    </row>
    <row r="122" spans="1:11" ht="12" customHeight="1">
      <c r="A122" s="6">
        <v>22953</v>
      </c>
      <c r="B122" s="6" t="s">
        <v>608</v>
      </c>
      <c r="C122" s="6" t="s">
        <v>448</v>
      </c>
      <c r="E122" s="6" t="s">
        <v>239</v>
      </c>
      <c r="F122" s="6">
        <v>14</v>
      </c>
      <c r="G122" s="6">
        <v>1979</v>
      </c>
      <c r="H122" s="6">
        <v>538</v>
      </c>
      <c r="I122" s="6">
        <v>3.625</v>
      </c>
      <c r="J122" s="6">
        <v>101.9</v>
      </c>
      <c r="K122" s="6">
        <v>0</v>
      </c>
    </row>
    <row r="123" spans="1:11" ht="12" customHeight="1">
      <c r="A123" s="6">
        <v>99496</v>
      </c>
      <c r="B123" s="6" t="s">
        <v>608</v>
      </c>
      <c r="C123" s="6" t="s">
        <v>609</v>
      </c>
      <c r="E123" s="6" t="s">
        <v>239</v>
      </c>
      <c r="F123" s="6">
        <v>14</v>
      </c>
      <c r="G123" s="6">
        <v>1975</v>
      </c>
      <c r="H123" s="6">
        <v>277</v>
      </c>
      <c r="I123" s="6">
        <v>7.484</v>
      </c>
      <c r="J123" s="6">
        <v>587.44299999999998</v>
      </c>
      <c r="K123" s="6">
        <v>251</v>
      </c>
    </row>
    <row r="124" spans="1:11" ht="12" customHeight="1">
      <c r="A124" s="6">
        <v>24272</v>
      </c>
      <c r="B124" s="6" t="s">
        <v>608</v>
      </c>
      <c r="C124" s="6" t="s">
        <v>440</v>
      </c>
      <c r="E124" s="6" t="s">
        <v>239</v>
      </c>
      <c r="F124" s="6">
        <v>14</v>
      </c>
      <c r="G124" s="6">
        <v>1953</v>
      </c>
      <c r="H124" s="6">
        <v>236</v>
      </c>
      <c r="I124" s="6">
        <v>22.812999999999999</v>
      </c>
      <c r="J124" s="6">
        <v>788.51300000000003</v>
      </c>
      <c r="K124" s="6">
        <v>81</v>
      </c>
    </row>
    <row r="125" spans="1:11" ht="12" customHeight="1">
      <c r="A125" s="6">
        <v>22163</v>
      </c>
      <c r="B125" s="6" t="s">
        <v>610</v>
      </c>
      <c r="C125" s="6" t="s">
        <v>611</v>
      </c>
      <c r="D125" s="6" t="s">
        <v>316</v>
      </c>
      <c r="E125" s="6" t="s">
        <v>239</v>
      </c>
      <c r="F125" s="6">
        <v>14</v>
      </c>
      <c r="G125" s="6">
        <v>1979</v>
      </c>
      <c r="H125" s="6">
        <v>688</v>
      </c>
      <c r="I125" s="6">
        <v>0</v>
      </c>
      <c r="J125" s="6">
        <v>0</v>
      </c>
      <c r="K125" s="6">
        <v>0</v>
      </c>
    </row>
    <row r="126" spans="1:11" ht="12" customHeight="1">
      <c r="A126" s="6">
        <v>17039</v>
      </c>
      <c r="B126" s="6" t="s">
        <v>610</v>
      </c>
      <c r="C126" s="6" t="s">
        <v>612</v>
      </c>
      <c r="D126" s="6" t="s">
        <v>316</v>
      </c>
      <c r="E126" s="6" t="s">
        <v>239</v>
      </c>
      <c r="F126" s="6">
        <v>14</v>
      </c>
      <c r="G126" s="6">
        <v>1976</v>
      </c>
      <c r="H126" s="6">
        <v>427</v>
      </c>
      <c r="I126" s="6">
        <v>3.75</v>
      </c>
      <c r="J126" s="6">
        <v>215.99100000000001</v>
      </c>
      <c r="K126" s="6">
        <v>62</v>
      </c>
    </row>
    <row r="127" spans="1:11" ht="12" customHeight="1">
      <c r="A127" s="6">
        <v>22107</v>
      </c>
      <c r="B127" s="6" t="s">
        <v>613</v>
      </c>
      <c r="C127" s="6" t="s">
        <v>499</v>
      </c>
      <c r="E127" s="6" t="s">
        <v>156</v>
      </c>
      <c r="F127" s="6">
        <v>33</v>
      </c>
      <c r="G127" s="6">
        <v>1962</v>
      </c>
      <c r="H127" s="6">
        <v>449</v>
      </c>
      <c r="I127" s="6">
        <v>6.157</v>
      </c>
      <c r="J127" s="6">
        <v>196.22300000000001</v>
      </c>
      <c r="K127" s="6">
        <v>0</v>
      </c>
    </row>
    <row r="128" spans="1:11" ht="12" customHeight="1">
      <c r="A128" s="6">
        <v>17067</v>
      </c>
      <c r="B128" s="6" t="s">
        <v>614</v>
      </c>
      <c r="C128" s="6" t="s">
        <v>615</v>
      </c>
      <c r="D128" s="6" t="s">
        <v>451</v>
      </c>
      <c r="E128" s="6" t="s">
        <v>221</v>
      </c>
      <c r="F128" s="6">
        <v>17</v>
      </c>
      <c r="G128" s="6">
        <v>2006</v>
      </c>
      <c r="H128" s="6">
        <v>159</v>
      </c>
      <c r="I128" s="6">
        <v>19.001000000000001</v>
      </c>
      <c r="J128" s="6">
        <v>1330.6869999999999</v>
      </c>
      <c r="K128" s="6">
        <v>580</v>
      </c>
    </row>
    <row r="129" spans="1:11" ht="12" customHeight="1">
      <c r="A129" s="6">
        <v>20519</v>
      </c>
      <c r="B129" s="6" t="s">
        <v>616</v>
      </c>
      <c r="C129" s="6" t="s">
        <v>427</v>
      </c>
      <c r="E129" s="6" t="s">
        <v>488</v>
      </c>
      <c r="F129" s="6">
        <v>73</v>
      </c>
      <c r="G129" s="6">
        <v>1945</v>
      </c>
      <c r="H129" s="6">
        <v>600</v>
      </c>
      <c r="I129" s="6">
        <v>1.2190000000000001</v>
      </c>
      <c r="J129" s="6">
        <v>47.573999999999998</v>
      </c>
      <c r="K129" s="6">
        <v>0</v>
      </c>
    </row>
    <row r="130" spans="1:11" ht="12" customHeight="1">
      <c r="A130" s="6">
        <v>20528</v>
      </c>
      <c r="B130" s="6" t="s">
        <v>617</v>
      </c>
      <c r="C130" s="6" t="s">
        <v>618</v>
      </c>
      <c r="D130" s="6" t="s">
        <v>434</v>
      </c>
      <c r="E130" s="6" t="s">
        <v>253</v>
      </c>
      <c r="F130" s="6">
        <v>86</v>
      </c>
      <c r="G130" s="6">
        <v>2005</v>
      </c>
      <c r="H130" s="6">
        <v>290</v>
      </c>
      <c r="I130" s="6">
        <v>10.093999999999999</v>
      </c>
      <c r="J130" s="6">
        <v>538.86</v>
      </c>
      <c r="K130" s="6">
        <v>70</v>
      </c>
    </row>
    <row r="131" spans="1:11" ht="12" customHeight="1">
      <c r="A131" s="6">
        <v>18125</v>
      </c>
      <c r="B131" s="6" t="s">
        <v>619</v>
      </c>
      <c r="C131" s="6" t="s">
        <v>620</v>
      </c>
      <c r="D131" s="6" t="s">
        <v>316</v>
      </c>
      <c r="E131" s="6" t="s">
        <v>253</v>
      </c>
      <c r="F131" s="6">
        <v>86</v>
      </c>
      <c r="G131" s="6">
        <v>1995</v>
      </c>
      <c r="H131" s="6">
        <v>689</v>
      </c>
      <c r="I131" s="6">
        <v>0</v>
      </c>
      <c r="J131" s="6">
        <v>0</v>
      </c>
      <c r="K131" s="6">
        <v>0</v>
      </c>
    </row>
    <row r="132" spans="1:11" ht="12" customHeight="1">
      <c r="A132" s="6">
        <v>21061</v>
      </c>
      <c r="B132" s="6" t="s">
        <v>621</v>
      </c>
      <c r="C132" s="6" t="s">
        <v>622</v>
      </c>
      <c r="D132" s="6" t="s">
        <v>451</v>
      </c>
      <c r="E132" s="6" t="s">
        <v>493</v>
      </c>
      <c r="F132" s="6">
        <v>16</v>
      </c>
      <c r="G132" s="6">
        <v>2009</v>
      </c>
      <c r="H132" s="6">
        <v>390</v>
      </c>
      <c r="I132" s="6">
        <v>6.3609999999999998</v>
      </c>
      <c r="J132" s="6">
        <v>291.78500000000003</v>
      </c>
      <c r="K132" s="6">
        <v>51</v>
      </c>
    </row>
    <row r="133" spans="1:11" ht="12" customHeight="1">
      <c r="A133" s="6">
        <v>25042</v>
      </c>
      <c r="B133" s="6" t="s">
        <v>623</v>
      </c>
      <c r="C133" s="6" t="s">
        <v>499</v>
      </c>
      <c r="E133" s="6" t="s">
        <v>556</v>
      </c>
      <c r="F133" s="6">
        <v>13</v>
      </c>
      <c r="G133" s="6">
        <v>1983</v>
      </c>
      <c r="H133" s="6">
        <v>558</v>
      </c>
      <c r="I133" s="6">
        <v>3.5</v>
      </c>
      <c r="J133" s="6">
        <v>82.403999999999996</v>
      </c>
      <c r="K133" s="6">
        <v>0</v>
      </c>
    </row>
    <row r="134" spans="1:11" ht="12" customHeight="1">
      <c r="A134" s="6">
        <v>20571</v>
      </c>
      <c r="B134" s="6" t="s">
        <v>623</v>
      </c>
      <c r="C134" s="6" t="s">
        <v>624</v>
      </c>
      <c r="E134" s="6" t="s">
        <v>625</v>
      </c>
      <c r="F134" s="6">
        <v>66</v>
      </c>
      <c r="G134" s="6">
        <v>1944</v>
      </c>
      <c r="H134" s="6">
        <v>279</v>
      </c>
      <c r="I134" s="6">
        <v>11.97</v>
      </c>
      <c r="J134" s="6">
        <v>580.26499999999999</v>
      </c>
      <c r="K134" s="6">
        <v>100</v>
      </c>
    </row>
    <row r="135" spans="1:11" ht="12" customHeight="1">
      <c r="A135" s="6">
        <v>21760</v>
      </c>
      <c r="B135" s="6" t="s">
        <v>626</v>
      </c>
      <c r="C135" s="6" t="s">
        <v>627</v>
      </c>
      <c r="D135" s="6" t="s">
        <v>316</v>
      </c>
      <c r="E135" s="6" t="s">
        <v>439</v>
      </c>
      <c r="F135" s="6">
        <v>29</v>
      </c>
      <c r="G135" s="6">
        <v>1967</v>
      </c>
      <c r="H135" s="6">
        <v>293</v>
      </c>
      <c r="I135" s="6">
        <v>12.625999999999999</v>
      </c>
      <c r="J135" s="6">
        <v>522.48800000000006</v>
      </c>
      <c r="K135" s="6">
        <v>96</v>
      </c>
    </row>
    <row r="136" spans="1:11" ht="12" customHeight="1">
      <c r="A136" s="6">
        <v>28037</v>
      </c>
      <c r="B136" s="6" t="s">
        <v>626</v>
      </c>
      <c r="C136" s="6" t="s">
        <v>628</v>
      </c>
      <c r="D136" s="6" t="s">
        <v>316</v>
      </c>
      <c r="E136" s="6" t="s">
        <v>318</v>
      </c>
      <c r="F136" s="6">
        <v>6</v>
      </c>
      <c r="G136" s="6">
        <v>1953</v>
      </c>
      <c r="H136" s="6">
        <v>402</v>
      </c>
      <c r="I136" s="6">
        <v>4.4690000000000003</v>
      </c>
      <c r="J136" s="6">
        <v>275.83300000000003</v>
      </c>
      <c r="K136" s="6">
        <v>105</v>
      </c>
    </row>
    <row r="137" spans="1:11" ht="12" customHeight="1">
      <c r="A137" s="6">
        <v>21043</v>
      </c>
      <c r="B137" s="6" t="s">
        <v>629</v>
      </c>
      <c r="C137" s="6" t="s">
        <v>424</v>
      </c>
      <c r="E137" s="6" t="s">
        <v>460</v>
      </c>
      <c r="F137" s="6">
        <v>95</v>
      </c>
      <c r="G137" s="6">
        <v>1986</v>
      </c>
      <c r="H137" s="6">
        <v>533</v>
      </c>
      <c r="I137" s="6">
        <v>2</v>
      </c>
      <c r="J137" s="6">
        <v>106.10299999999999</v>
      </c>
      <c r="K137" s="6">
        <v>18</v>
      </c>
    </row>
    <row r="138" spans="1:11" ht="12" customHeight="1">
      <c r="A138" s="6">
        <v>22127</v>
      </c>
      <c r="B138" s="6" t="s">
        <v>630</v>
      </c>
      <c r="C138" s="6" t="s">
        <v>631</v>
      </c>
      <c r="E138" s="6" t="s">
        <v>460</v>
      </c>
      <c r="F138" s="6">
        <v>95</v>
      </c>
      <c r="G138" s="6">
        <v>1963</v>
      </c>
      <c r="H138" s="6">
        <v>459</v>
      </c>
      <c r="I138" s="6">
        <v>3.8759999999999999</v>
      </c>
      <c r="J138" s="6">
        <v>177.89400000000001</v>
      </c>
      <c r="K138" s="6">
        <v>27</v>
      </c>
    </row>
    <row r="139" spans="1:11" ht="12" customHeight="1">
      <c r="A139" s="6">
        <v>20600</v>
      </c>
      <c r="B139" s="6" t="s">
        <v>630</v>
      </c>
      <c r="C139" s="6" t="s">
        <v>467</v>
      </c>
      <c r="E139" s="6" t="s">
        <v>460</v>
      </c>
      <c r="F139" s="6">
        <v>95</v>
      </c>
      <c r="G139" s="6">
        <v>1973</v>
      </c>
      <c r="H139" s="6">
        <v>450</v>
      </c>
      <c r="I139" s="6">
        <v>4.2510000000000003</v>
      </c>
      <c r="J139" s="6">
        <v>195.89</v>
      </c>
      <c r="K139" s="6">
        <v>27</v>
      </c>
    </row>
    <row r="140" spans="1:11" ht="12" customHeight="1">
      <c r="A140" s="6">
        <v>17091</v>
      </c>
      <c r="B140" s="6" t="s">
        <v>632</v>
      </c>
      <c r="C140" s="6" t="s">
        <v>633</v>
      </c>
      <c r="D140" s="6" t="s">
        <v>316</v>
      </c>
      <c r="E140" s="6" t="s">
        <v>144</v>
      </c>
      <c r="F140" s="6">
        <v>63</v>
      </c>
      <c r="G140" s="6">
        <v>2000</v>
      </c>
      <c r="H140" s="6">
        <v>383</v>
      </c>
      <c r="I140" s="6">
        <v>7.0629999999999997</v>
      </c>
      <c r="J140" s="6">
        <v>310.58300000000003</v>
      </c>
      <c r="K140" s="6">
        <v>63</v>
      </c>
    </row>
    <row r="141" spans="1:11" ht="12" customHeight="1">
      <c r="A141" s="6">
        <v>17096</v>
      </c>
      <c r="B141" s="6" t="s">
        <v>634</v>
      </c>
      <c r="C141" s="6" t="s">
        <v>440</v>
      </c>
      <c r="E141" s="6" t="s">
        <v>144</v>
      </c>
      <c r="F141" s="6">
        <v>63</v>
      </c>
      <c r="G141" s="6">
        <v>1967</v>
      </c>
      <c r="H141" s="6">
        <v>275</v>
      </c>
      <c r="I141" s="6">
        <v>17.251999999999999</v>
      </c>
      <c r="J141" s="6">
        <v>609.33699999999999</v>
      </c>
      <c r="K141" s="6">
        <v>49</v>
      </c>
    </row>
    <row r="142" spans="1:11" ht="12" customHeight="1">
      <c r="A142" s="6">
        <v>27085</v>
      </c>
      <c r="B142" s="6" t="s">
        <v>635</v>
      </c>
      <c r="C142" s="6" t="s">
        <v>424</v>
      </c>
      <c r="E142" s="6" t="s">
        <v>502</v>
      </c>
      <c r="F142" s="6">
        <v>24</v>
      </c>
      <c r="G142" s="6">
        <v>1985</v>
      </c>
      <c r="H142" s="6">
        <v>273</v>
      </c>
      <c r="I142" s="6">
        <v>10.218999999999999</v>
      </c>
      <c r="J142" s="6">
        <v>611.68399999999997</v>
      </c>
      <c r="K142" s="6">
        <v>185</v>
      </c>
    </row>
    <row r="143" spans="1:11" ht="12" customHeight="1">
      <c r="A143" s="6">
        <v>15083</v>
      </c>
      <c r="B143" s="6" t="s">
        <v>636</v>
      </c>
      <c r="C143" s="6" t="s">
        <v>437</v>
      </c>
      <c r="E143" s="6" t="s">
        <v>476</v>
      </c>
      <c r="F143" s="6">
        <v>2</v>
      </c>
      <c r="G143" s="6">
        <v>1993</v>
      </c>
      <c r="H143" s="6">
        <v>364</v>
      </c>
      <c r="I143" s="6">
        <v>8.1880000000000006</v>
      </c>
      <c r="J143" s="6">
        <v>341.94900000000001</v>
      </c>
      <c r="K143" s="6">
        <v>81</v>
      </c>
    </row>
    <row r="144" spans="1:11" ht="12" customHeight="1">
      <c r="A144" s="6">
        <v>21016</v>
      </c>
      <c r="B144" s="6" t="s">
        <v>637</v>
      </c>
      <c r="C144" s="6" t="s">
        <v>638</v>
      </c>
      <c r="D144" s="6" t="s">
        <v>434</v>
      </c>
      <c r="E144" s="6" t="s">
        <v>169</v>
      </c>
      <c r="F144" s="6">
        <v>69</v>
      </c>
      <c r="G144" s="6">
        <v>2007</v>
      </c>
      <c r="H144" s="6">
        <v>554</v>
      </c>
      <c r="I144" s="6">
        <v>0.96899999999999997</v>
      </c>
      <c r="J144" s="6">
        <v>85.131</v>
      </c>
      <c r="K144" s="6">
        <v>42</v>
      </c>
    </row>
    <row r="145" spans="1:11" ht="12" customHeight="1">
      <c r="A145" s="6">
        <v>96196</v>
      </c>
      <c r="B145" s="6" t="s">
        <v>639</v>
      </c>
      <c r="C145" s="6" t="s">
        <v>640</v>
      </c>
      <c r="E145" s="6" t="s">
        <v>556</v>
      </c>
      <c r="F145" s="6">
        <v>13</v>
      </c>
      <c r="G145" s="6">
        <v>1962</v>
      </c>
      <c r="H145" s="6">
        <v>544</v>
      </c>
      <c r="I145" s="6">
        <v>4</v>
      </c>
      <c r="J145" s="6">
        <v>94.176000000000002</v>
      </c>
      <c r="K145" s="6">
        <v>0</v>
      </c>
    </row>
    <row r="146" spans="1:11" ht="12" customHeight="1">
      <c r="A146" s="6">
        <v>21746</v>
      </c>
      <c r="B146" s="6" t="s">
        <v>641</v>
      </c>
      <c r="C146" s="6" t="s">
        <v>642</v>
      </c>
      <c r="D146" s="6" t="s">
        <v>316</v>
      </c>
      <c r="E146" s="6" t="s">
        <v>556</v>
      </c>
      <c r="F146" s="6">
        <v>13</v>
      </c>
      <c r="G146" s="6">
        <v>1990</v>
      </c>
      <c r="H146" s="6">
        <v>690</v>
      </c>
      <c r="I146" s="6">
        <v>0</v>
      </c>
      <c r="J146" s="6">
        <v>0</v>
      </c>
      <c r="K146" s="6">
        <v>0</v>
      </c>
    </row>
    <row r="147" spans="1:11" ht="12" customHeight="1">
      <c r="A147" s="6">
        <v>96190</v>
      </c>
      <c r="B147" s="6" t="s">
        <v>641</v>
      </c>
      <c r="C147" s="6" t="s">
        <v>643</v>
      </c>
      <c r="D147" s="6" t="s">
        <v>316</v>
      </c>
      <c r="E147" s="6" t="s">
        <v>556</v>
      </c>
      <c r="F147" s="6">
        <v>13</v>
      </c>
      <c r="G147" s="6">
        <v>1965</v>
      </c>
      <c r="H147" s="6">
        <v>691</v>
      </c>
      <c r="I147" s="6">
        <v>0</v>
      </c>
      <c r="J147" s="6">
        <v>0</v>
      </c>
      <c r="K147" s="6">
        <v>0</v>
      </c>
    </row>
    <row r="148" spans="1:11" ht="12" customHeight="1">
      <c r="A148" s="6">
        <v>23201</v>
      </c>
      <c r="B148" s="6" t="s">
        <v>644</v>
      </c>
      <c r="C148" s="6" t="s">
        <v>441</v>
      </c>
      <c r="D148" s="6" t="s">
        <v>434</v>
      </c>
      <c r="E148" s="6" t="s">
        <v>435</v>
      </c>
      <c r="F148" s="6">
        <v>93</v>
      </c>
      <c r="G148" s="6">
        <v>2007</v>
      </c>
      <c r="H148" s="6">
        <v>692</v>
      </c>
      <c r="I148" s="6">
        <v>0</v>
      </c>
      <c r="J148" s="6">
        <v>0</v>
      </c>
      <c r="K148" s="6">
        <v>0</v>
      </c>
    </row>
    <row r="149" spans="1:11" ht="12" customHeight="1">
      <c r="A149" s="6">
        <v>12020</v>
      </c>
      <c r="B149" s="6" t="s">
        <v>645</v>
      </c>
      <c r="C149" s="6" t="s">
        <v>422</v>
      </c>
      <c r="E149" s="6" t="s">
        <v>138</v>
      </c>
      <c r="F149" s="6">
        <v>20</v>
      </c>
      <c r="G149" s="6">
        <v>1962</v>
      </c>
      <c r="H149" s="6">
        <v>6</v>
      </c>
      <c r="I149" s="6">
        <v>53.5</v>
      </c>
      <c r="J149" s="6">
        <v>3805.8270000000002</v>
      </c>
      <c r="K149" s="6">
        <v>1483</v>
      </c>
    </row>
    <row r="150" spans="1:11" ht="12" customHeight="1">
      <c r="A150" s="6">
        <v>13044</v>
      </c>
      <c r="B150" s="6" t="s">
        <v>646</v>
      </c>
      <c r="C150" s="6" t="s">
        <v>537</v>
      </c>
      <c r="D150" s="6" t="s">
        <v>316</v>
      </c>
      <c r="E150" s="6" t="s">
        <v>138</v>
      </c>
      <c r="F150" s="6">
        <v>20</v>
      </c>
      <c r="G150" s="6">
        <v>1962</v>
      </c>
      <c r="H150" s="6">
        <v>57</v>
      </c>
      <c r="I150" s="6">
        <v>24.969000000000001</v>
      </c>
      <c r="J150" s="6">
        <v>2348.433</v>
      </c>
      <c r="K150" s="6">
        <v>1182</v>
      </c>
    </row>
    <row r="151" spans="1:11" ht="12" customHeight="1">
      <c r="A151" s="6">
        <v>16142</v>
      </c>
      <c r="B151" s="6" t="s">
        <v>647</v>
      </c>
      <c r="C151" s="6" t="s">
        <v>648</v>
      </c>
      <c r="E151" s="6" t="s">
        <v>144</v>
      </c>
      <c r="F151" s="6">
        <v>63</v>
      </c>
      <c r="G151" s="6">
        <v>1975</v>
      </c>
      <c r="H151" s="6">
        <v>405</v>
      </c>
      <c r="I151" s="6">
        <v>8.5630000000000006</v>
      </c>
      <c r="J151" s="6">
        <v>265.62299999999999</v>
      </c>
      <c r="K151" s="6">
        <v>0</v>
      </c>
    </row>
    <row r="152" spans="1:11" ht="12" customHeight="1">
      <c r="A152" s="6">
        <v>21014</v>
      </c>
      <c r="B152" s="6" t="s">
        <v>647</v>
      </c>
      <c r="C152" s="6" t="s">
        <v>649</v>
      </c>
      <c r="D152" s="6" t="s">
        <v>434</v>
      </c>
      <c r="E152" s="6" t="s">
        <v>144</v>
      </c>
      <c r="F152" s="6">
        <v>63</v>
      </c>
      <c r="G152" s="6">
        <v>2012</v>
      </c>
      <c r="H152" s="6">
        <v>555</v>
      </c>
      <c r="I152" s="6">
        <v>2.6259999999999999</v>
      </c>
      <c r="J152" s="6">
        <v>84.504000000000005</v>
      </c>
      <c r="K152" s="6">
        <v>0</v>
      </c>
    </row>
    <row r="153" spans="1:11" ht="12" customHeight="1">
      <c r="A153" s="6">
        <v>22169</v>
      </c>
      <c r="B153" s="6" t="s">
        <v>650</v>
      </c>
      <c r="C153" s="6" t="s">
        <v>536</v>
      </c>
      <c r="D153" s="6" t="s">
        <v>451</v>
      </c>
      <c r="E153" s="6" t="s">
        <v>144</v>
      </c>
      <c r="F153" s="6">
        <v>63</v>
      </c>
      <c r="G153" s="6">
        <v>2014</v>
      </c>
      <c r="H153" s="6">
        <v>627</v>
      </c>
      <c r="I153" s="6">
        <v>0.93799999999999994</v>
      </c>
      <c r="J153" s="6">
        <v>31.998999999999999</v>
      </c>
      <c r="K153" s="6">
        <v>0</v>
      </c>
    </row>
    <row r="154" spans="1:11" ht="12" customHeight="1">
      <c r="A154" s="6">
        <v>11046</v>
      </c>
      <c r="B154" s="6" t="s">
        <v>651</v>
      </c>
      <c r="C154" s="6" t="s">
        <v>448</v>
      </c>
      <c r="E154" s="6" t="s">
        <v>239</v>
      </c>
      <c r="F154" s="6">
        <v>14</v>
      </c>
      <c r="G154" s="6">
        <v>1985</v>
      </c>
      <c r="H154" s="6">
        <v>19</v>
      </c>
      <c r="I154" s="6">
        <v>48.75</v>
      </c>
      <c r="J154" s="6">
        <v>3162.38</v>
      </c>
      <c r="K154" s="6">
        <v>1294</v>
      </c>
    </row>
    <row r="155" spans="1:11" ht="12" customHeight="1">
      <c r="A155" s="6">
        <v>13062</v>
      </c>
      <c r="B155" s="6" t="s">
        <v>652</v>
      </c>
      <c r="C155" s="6" t="s">
        <v>599</v>
      </c>
      <c r="E155" s="6" t="s">
        <v>653</v>
      </c>
      <c r="F155" s="6">
        <v>77</v>
      </c>
      <c r="G155" s="6">
        <v>1951</v>
      </c>
      <c r="H155" s="6">
        <v>174</v>
      </c>
      <c r="I155" s="6">
        <v>14.656000000000001</v>
      </c>
      <c r="J155" s="6">
        <v>1196.57</v>
      </c>
      <c r="K155" s="6">
        <v>496</v>
      </c>
    </row>
    <row r="156" spans="1:11" ht="12" customHeight="1">
      <c r="A156" s="6">
        <v>12068</v>
      </c>
      <c r="B156" s="6" t="s">
        <v>652</v>
      </c>
      <c r="C156" s="6" t="s">
        <v>422</v>
      </c>
      <c r="E156" s="6" t="s">
        <v>653</v>
      </c>
      <c r="F156" s="6">
        <v>77</v>
      </c>
      <c r="G156" s="6">
        <v>1974</v>
      </c>
      <c r="H156" s="6">
        <v>143</v>
      </c>
      <c r="I156" s="6">
        <v>19.530999999999999</v>
      </c>
      <c r="J156" s="6">
        <v>1423.2180000000001</v>
      </c>
      <c r="K156" s="6">
        <v>496</v>
      </c>
    </row>
    <row r="157" spans="1:11" ht="12" customHeight="1">
      <c r="A157" s="6">
        <v>16034</v>
      </c>
      <c r="B157" s="6" t="s">
        <v>654</v>
      </c>
      <c r="C157" s="6" t="s">
        <v>422</v>
      </c>
      <c r="E157" s="6" t="s">
        <v>341</v>
      </c>
      <c r="F157" s="6">
        <v>22</v>
      </c>
      <c r="G157" s="6">
        <v>1970</v>
      </c>
      <c r="H157" s="6">
        <v>693</v>
      </c>
      <c r="I157" s="6">
        <v>0</v>
      </c>
      <c r="J157" s="6">
        <v>0</v>
      </c>
      <c r="K157" s="6">
        <v>0</v>
      </c>
    </row>
    <row r="158" spans="1:11" ht="12" customHeight="1">
      <c r="A158" s="6">
        <v>20512</v>
      </c>
      <c r="B158" s="6" t="s">
        <v>655</v>
      </c>
      <c r="C158" s="6" t="s">
        <v>492</v>
      </c>
      <c r="E158" s="6" t="s">
        <v>625</v>
      </c>
      <c r="F158" s="6">
        <v>66</v>
      </c>
      <c r="G158" s="6">
        <v>1991</v>
      </c>
      <c r="H158" s="6">
        <v>389</v>
      </c>
      <c r="I158" s="6">
        <v>6.157</v>
      </c>
      <c r="J158" s="6">
        <v>292.83600000000001</v>
      </c>
      <c r="K158" s="6">
        <v>45</v>
      </c>
    </row>
    <row r="159" spans="1:11" ht="12" customHeight="1">
      <c r="A159" s="6">
        <v>23131</v>
      </c>
      <c r="B159" s="6" t="s">
        <v>656</v>
      </c>
      <c r="C159" s="6" t="s">
        <v>499</v>
      </c>
      <c r="E159" s="6" t="s">
        <v>375</v>
      </c>
      <c r="F159" s="6">
        <v>43</v>
      </c>
      <c r="G159" s="6">
        <v>1954</v>
      </c>
      <c r="H159" s="6">
        <v>98</v>
      </c>
      <c r="I159" s="6">
        <v>26.405999999999999</v>
      </c>
      <c r="J159" s="6">
        <v>1865.5619999999999</v>
      </c>
      <c r="K159" s="6">
        <v>671</v>
      </c>
    </row>
    <row r="160" spans="1:11" ht="12" customHeight="1">
      <c r="A160" s="6">
        <v>11010</v>
      </c>
      <c r="B160" s="6" t="s">
        <v>657</v>
      </c>
      <c r="C160" s="6" t="s">
        <v>482</v>
      </c>
      <c r="E160" s="6" t="s">
        <v>518</v>
      </c>
      <c r="F160" s="6">
        <v>44</v>
      </c>
      <c r="G160" s="6">
        <v>1992</v>
      </c>
      <c r="H160" s="6">
        <v>694</v>
      </c>
      <c r="I160" s="6">
        <v>0</v>
      </c>
      <c r="J160" s="6">
        <v>0</v>
      </c>
      <c r="K160" s="6">
        <v>0</v>
      </c>
    </row>
    <row r="161" spans="1:11" ht="12" customHeight="1">
      <c r="A161" s="6">
        <v>11009</v>
      </c>
      <c r="B161" s="6" t="s">
        <v>657</v>
      </c>
      <c r="C161" s="6" t="s">
        <v>532</v>
      </c>
      <c r="E161" s="6" t="s">
        <v>518</v>
      </c>
      <c r="F161" s="6">
        <v>44</v>
      </c>
      <c r="G161" s="6">
        <v>1959</v>
      </c>
      <c r="H161" s="6">
        <v>78</v>
      </c>
      <c r="I161" s="6">
        <v>24.844000000000001</v>
      </c>
      <c r="J161" s="6">
        <v>2075.9989999999998</v>
      </c>
      <c r="K161" s="6">
        <v>1029</v>
      </c>
    </row>
    <row r="162" spans="1:11" ht="12" customHeight="1">
      <c r="A162" s="6">
        <v>22017</v>
      </c>
      <c r="B162" s="6" t="s">
        <v>658</v>
      </c>
      <c r="C162" s="6" t="s">
        <v>659</v>
      </c>
      <c r="E162" s="6" t="s">
        <v>221</v>
      </c>
      <c r="F162" s="6">
        <v>17</v>
      </c>
      <c r="G162" s="6">
        <v>1970</v>
      </c>
      <c r="H162" s="6">
        <v>149</v>
      </c>
      <c r="I162" s="6">
        <v>20.329000000000001</v>
      </c>
      <c r="J162" s="6">
        <v>1376.883</v>
      </c>
      <c r="K162" s="6">
        <v>452</v>
      </c>
    </row>
    <row r="163" spans="1:11" ht="12" customHeight="1">
      <c r="A163" s="6">
        <v>12001</v>
      </c>
      <c r="B163" s="6" t="s">
        <v>658</v>
      </c>
      <c r="C163" s="6" t="s">
        <v>660</v>
      </c>
      <c r="E163" s="6" t="s">
        <v>221</v>
      </c>
      <c r="F163" s="6">
        <v>17</v>
      </c>
      <c r="G163" s="6">
        <v>2003</v>
      </c>
      <c r="H163" s="6">
        <v>591</v>
      </c>
      <c r="I163" s="6">
        <v>1.125</v>
      </c>
      <c r="J163" s="6">
        <v>53.683999999999997</v>
      </c>
      <c r="K163" s="6">
        <v>0</v>
      </c>
    </row>
    <row r="164" spans="1:11" ht="12" customHeight="1">
      <c r="A164" s="6">
        <v>23202</v>
      </c>
      <c r="B164" s="6" t="s">
        <v>661</v>
      </c>
      <c r="C164" s="6" t="s">
        <v>662</v>
      </c>
      <c r="D164" s="6" t="s">
        <v>451</v>
      </c>
      <c r="E164" s="6" t="s">
        <v>435</v>
      </c>
      <c r="F164" s="6">
        <v>93</v>
      </c>
      <c r="G164" s="6">
        <v>2007</v>
      </c>
      <c r="H164" s="6">
        <v>695</v>
      </c>
      <c r="I164" s="6">
        <v>0</v>
      </c>
      <c r="J164" s="6">
        <v>0</v>
      </c>
      <c r="K164" s="6">
        <v>0</v>
      </c>
    </row>
    <row r="165" spans="1:11" ht="12" customHeight="1">
      <c r="A165" s="6">
        <v>18084</v>
      </c>
      <c r="B165" s="6" t="s">
        <v>663</v>
      </c>
      <c r="C165" s="6" t="s">
        <v>532</v>
      </c>
      <c r="E165" s="6" t="s">
        <v>193</v>
      </c>
      <c r="F165" s="6">
        <v>89</v>
      </c>
      <c r="G165" s="6">
        <v>1964</v>
      </c>
      <c r="H165" s="6">
        <v>526</v>
      </c>
      <c r="I165" s="6">
        <v>4.375</v>
      </c>
      <c r="J165" s="6">
        <v>111.67</v>
      </c>
      <c r="K165" s="6">
        <v>0</v>
      </c>
    </row>
    <row r="166" spans="1:11" ht="12" customHeight="1">
      <c r="A166" s="6">
        <v>18046</v>
      </c>
      <c r="B166" s="6" t="s">
        <v>664</v>
      </c>
      <c r="C166" s="6" t="s">
        <v>665</v>
      </c>
      <c r="E166" s="6" t="s">
        <v>169</v>
      </c>
      <c r="F166" s="6">
        <v>69</v>
      </c>
      <c r="G166" s="6">
        <v>1974</v>
      </c>
      <c r="H166" s="6">
        <v>374</v>
      </c>
      <c r="I166" s="6">
        <v>6.9690000000000003</v>
      </c>
      <c r="J166" s="6">
        <v>325.27999999999997</v>
      </c>
      <c r="K166" s="6">
        <v>110</v>
      </c>
    </row>
    <row r="167" spans="1:11" ht="12" customHeight="1">
      <c r="A167" s="6">
        <v>20583</v>
      </c>
      <c r="B167" s="6" t="s">
        <v>666</v>
      </c>
      <c r="C167" s="6" t="s">
        <v>422</v>
      </c>
      <c r="E167" s="6" t="s">
        <v>460</v>
      </c>
      <c r="F167" s="6">
        <v>95</v>
      </c>
      <c r="G167" s="6">
        <v>1971</v>
      </c>
      <c r="H167" s="6">
        <v>566</v>
      </c>
      <c r="I167" s="6">
        <v>2.0009999999999999</v>
      </c>
      <c r="J167" s="6">
        <v>77.849999999999994</v>
      </c>
      <c r="K167" s="6">
        <v>0</v>
      </c>
    </row>
    <row r="168" spans="1:11" ht="12" customHeight="1">
      <c r="A168" s="6">
        <v>20602</v>
      </c>
      <c r="B168" s="6" t="s">
        <v>666</v>
      </c>
      <c r="C168" s="6" t="s">
        <v>667</v>
      </c>
      <c r="E168" s="6" t="s">
        <v>460</v>
      </c>
      <c r="F168" s="6">
        <v>95</v>
      </c>
      <c r="G168" s="6">
        <v>1970</v>
      </c>
      <c r="H168" s="6">
        <v>479</v>
      </c>
      <c r="I168" s="6">
        <v>3.6269999999999998</v>
      </c>
      <c r="J168" s="6">
        <v>162.75700000000001</v>
      </c>
      <c r="K168" s="6">
        <v>27</v>
      </c>
    </row>
    <row r="169" spans="1:11" ht="12" customHeight="1">
      <c r="A169" s="6">
        <v>21073</v>
      </c>
      <c r="B169" s="6" t="s">
        <v>668</v>
      </c>
      <c r="C169" s="6" t="s">
        <v>669</v>
      </c>
      <c r="D169" s="6" t="s">
        <v>316</v>
      </c>
      <c r="E169" s="6" t="s">
        <v>375</v>
      </c>
      <c r="F169" s="6">
        <v>43</v>
      </c>
      <c r="G169" s="6">
        <v>1990</v>
      </c>
      <c r="H169" s="6">
        <v>568</v>
      </c>
      <c r="I169" s="6">
        <v>1.625</v>
      </c>
      <c r="J169" s="6">
        <v>75.81</v>
      </c>
      <c r="K169" s="6">
        <v>0</v>
      </c>
    </row>
    <row r="170" spans="1:11" ht="12" customHeight="1">
      <c r="A170" s="6">
        <v>16120</v>
      </c>
      <c r="B170" s="6" t="s">
        <v>670</v>
      </c>
      <c r="C170" s="6" t="s">
        <v>482</v>
      </c>
      <c r="D170" s="6" t="s">
        <v>434</v>
      </c>
      <c r="E170" s="6" t="s">
        <v>425</v>
      </c>
      <c r="F170" s="6">
        <v>79</v>
      </c>
      <c r="G170" s="6">
        <v>2009</v>
      </c>
      <c r="H170" s="6">
        <v>177</v>
      </c>
      <c r="I170" s="6">
        <v>21.407</v>
      </c>
      <c r="J170" s="6">
        <v>1167.683</v>
      </c>
      <c r="K170" s="6">
        <v>214</v>
      </c>
    </row>
    <row r="171" spans="1:11" ht="12" customHeight="1">
      <c r="A171" s="6">
        <v>12086</v>
      </c>
      <c r="B171" s="6" t="s">
        <v>671</v>
      </c>
      <c r="C171" s="6" t="s">
        <v>482</v>
      </c>
      <c r="E171" s="6" t="s">
        <v>134</v>
      </c>
      <c r="F171" s="6">
        <v>64</v>
      </c>
      <c r="G171" s="6">
        <v>1976</v>
      </c>
      <c r="H171" s="6">
        <v>116</v>
      </c>
      <c r="I171" s="6">
        <v>34.155999999999999</v>
      </c>
      <c r="J171" s="6">
        <v>1675.7619999999999</v>
      </c>
      <c r="K171" s="6">
        <v>166</v>
      </c>
    </row>
    <row r="172" spans="1:11" ht="12" customHeight="1">
      <c r="A172" s="6">
        <v>14074</v>
      </c>
      <c r="B172" s="6" t="s">
        <v>672</v>
      </c>
      <c r="C172" s="6" t="s">
        <v>550</v>
      </c>
      <c r="D172" s="6" t="s">
        <v>316</v>
      </c>
      <c r="E172" s="6" t="s">
        <v>138</v>
      </c>
      <c r="F172" s="6">
        <v>20</v>
      </c>
      <c r="G172" s="6">
        <v>1974</v>
      </c>
      <c r="H172" s="6">
        <v>31</v>
      </c>
      <c r="I172" s="6">
        <v>42.5</v>
      </c>
      <c r="J172" s="6">
        <v>2901.6030000000001</v>
      </c>
      <c r="K172" s="6">
        <v>1054</v>
      </c>
    </row>
    <row r="173" spans="1:11" ht="12" customHeight="1">
      <c r="A173" s="6">
        <v>14075</v>
      </c>
      <c r="B173" s="6" t="s">
        <v>672</v>
      </c>
      <c r="C173" s="6" t="s">
        <v>673</v>
      </c>
      <c r="D173" s="6" t="s">
        <v>316</v>
      </c>
      <c r="E173" s="6" t="s">
        <v>138</v>
      </c>
      <c r="F173" s="6">
        <v>20</v>
      </c>
      <c r="G173" s="6">
        <v>1999</v>
      </c>
      <c r="H173" s="6">
        <v>9</v>
      </c>
      <c r="I173" s="6">
        <v>55.5</v>
      </c>
      <c r="J173" s="6">
        <v>3722.2710000000002</v>
      </c>
      <c r="K173" s="6">
        <v>1376</v>
      </c>
    </row>
    <row r="174" spans="1:11" ht="12" customHeight="1">
      <c r="A174" s="6">
        <v>16013</v>
      </c>
      <c r="B174" s="6" t="s">
        <v>674</v>
      </c>
      <c r="C174" s="6" t="s">
        <v>422</v>
      </c>
      <c r="E174" s="6" t="s">
        <v>425</v>
      </c>
      <c r="F174" s="6">
        <v>79</v>
      </c>
      <c r="G174" s="6">
        <v>1988</v>
      </c>
      <c r="H174" s="6">
        <v>696</v>
      </c>
      <c r="I174" s="6">
        <v>0</v>
      </c>
      <c r="J174" s="6">
        <v>0</v>
      </c>
      <c r="K174" s="6">
        <v>0</v>
      </c>
    </row>
    <row r="175" spans="1:11" ht="12" customHeight="1">
      <c r="A175" s="6">
        <v>10034</v>
      </c>
      <c r="B175" s="6" t="s">
        <v>675</v>
      </c>
      <c r="C175" s="6" t="s">
        <v>437</v>
      </c>
      <c r="E175" s="6" t="s">
        <v>676</v>
      </c>
      <c r="F175" s="6">
        <v>68</v>
      </c>
      <c r="G175" s="6">
        <v>1959</v>
      </c>
      <c r="H175" s="6">
        <v>155</v>
      </c>
      <c r="I175" s="6">
        <v>17.907</v>
      </c>
      <c r="J175" s="6">
        <v>1355.364</v>
      </c>
      <c r="K175" s="6">
        <v>485</v>
      </c>
    </row>
    <row r="176" spans="1:11" ht="12" customHeight="1">
      <c r="A176" s="6">
        <v>10035</v>
      </c>
      <c r="B176" s="6" t="s">
        <v>677</v>
      </c>
      <c r="C176" s="6" t="s">
        <v>678</v>
      </c>
      <c r="D176" s="6" t="s">
        <v>316</v>
      </c>
      <c r="E176" s="6" t="s">
        <v>676</v>
      </c>
      <c r="F176" s="6">
        <v>68</v>
      </c>
      <c r="G176" s="6">
        <v>1959</v>
      </c>
      <c r="H176" s="6">
        <v>697</v>
      </c>
      <c r="I176" s="6">
        <v>0</v>
      </c>
      <c r="J176" s="6">
        <v>0</v>
      </c>
      <c r="K176" s="6">
        <v>0</v>
      </c>
    </row>
    <row r="177" spans="1:11" ht="12" customHeight="1">
      <c r="A177" s="6">
        <v>24218</v>
      </c>
      <c r="B177" s="6" t="s">
        <v>679</v>
      </c>
      <c r="C177" s="6" t="s">
        <v>422</v>
      </c>
      <c r="E177" s="6" t="s">
        <v>438</v>
      </c>
      <c r="F177" s="6">
        <v>51</v>
      </c>
      <c r="G177" s="6">
        <v>1969</v>
      </c>
      <c r="H177" s="6">
        <v>60</v>
      </c>
      <c r="I177" s="6">
        <v>26.814</v>
      </c>
      <c r="J177" s="6">
        <v>2303.319</v>
      </c>
      <c r="K177" s="6">
        <v>1117</v>
      </c>
    </row>
    <row r="178" spans="1:11" ht="12" customHeight="1">
      <c r="A178" s="6">
        <v>15032</v>
      </c>
      <c r="B178" s="6" t="s">
        <v>680</v>
      </c>
      <c r="C178" s="6" t="s">
        <v>681</v>
      </c>
      <c r="E178" s="6" t="s">
        <v>488</v>
      </c>
      <c r="F178" s="6">
        <v>73</v>
      </c>
      <c r="G178" s="6">
        <v>1942</v>
      </c>
      <c r="H178" s="6">
        <v>698</v>
      </c>
      <c r="I178" s="6">
        <v>0</v>
      </c>
      <c r="J178" s="6">
        <v>0</v>
      </c>
      <c r="K178" s="6">
        <v>0</v>
      </c>
    </row>
    <row r="179" spans="1:11" ht="12" customHeight="1">
      <c r="A179" s="6">
        <v>15031</v>
      </c>
      <c r="B179" s="6" t="s">
        <v>682</v>
      </c>
      <c r="C179" s="6" t="s">
        <v>429</v>
      </c>
      <c r="D179" s="6" t="s">
        <v>316</v>
      </c>
      <c r="E179" s="6" t="s">
        <v>488</v>
      </c>
      <c r="F179" s="6">
        <v>73</v>
      </c>
      <c r="G179" s="6">
        <v>1947</v>
      </c>
      <c r="H179" s="6">
        <v>699</v>
      </c>
      <c r="I179" s="6">
        <v>0</v>
      </c>
      <c r="J179" s="6">
        <v>0</v>
      </c>
      <c r="K179" s="6">
        <v>0</v>
      </c>
    </row>
    <row r="180" spans="1:11" ht="12" customHeight="1">
      <c r="A180" s="6">
        <v>97290</v>
      </c>
      <c r="B180" s="6" t="s">
        <v>683</v>
      </c>
      <c r="C180" s="6" t="s">
        <v>482</v>
      </c>
      <c r="E180" s="6" t="s">
        <v>318</v>
      </c>
      <c r="F180" s="6">
        <v>6</v>
      </c>
      <c r="G180" s="6">
        <v>1970</v>
      </c>
      <c r="H180" s="6">
        <v>700</v>
      </c>
      <c r="I180" s="6">
        <v>0</v>
      </c>
      <c r="J180" s="6">
        <v>0</v>
      </c>
      <c r="K180" s="6">
        <v>0</v>
      </c>
    </row>
    <row r="181" spans="1:11" ht="12" customHeight="1">
      <c r="A181" s="6">
        <v>16056</v>
      </c>
      <c r="B181" s="6" t="s">
        <v>684</v>
      </c>
      <c r="C181" s="6" t="s">
        <v>517</v>
      </c>
      <c r="E181" s="6" t="s">
        <v>685</v>
      </c>
      <c r="F181" s="6">
        <v>82</v>
      </c>
      <c r="G181" s="6">
        <v>1966</v>
      </c>
      <c r="H181" s="6">
        <v>462</v>
      </c>
      <c r="I181" s="6">
        <v>4.0940000000000003</v>
      </c>
      <c r="J181" s="6">
        <v>172.94900000000001</v>
      </c>
      <c r="K181" s="6">
        <v>30</v>
      </c>
    </row>
    <row r="182" spans="1:11" ht="12" customHeight="1">
      <c r="A182" s="6">
        <v>10008</v>
      </c>
      <c r="B182" s="6" t="s">
        <v>686</v>
      </c>
      <c r="C182" s="6" t="s">
        <v>563</v>
      </c>
      <c r="E182" s="6" t="s">
        <v>625</v>
      </c>
      <c r="F182" s="6">
        <v>66</v>
      </c>
      <c r="G182" s="6">
        <v>1968</v>
      </c>
      <c r="H182" s="6">
        <v>281</v>
      </c>
      <c r="I182" s="6">
        <v>14.734</v>
      </c>
      <c r="J182" s="6">
        <v>579.26</v>
      </c>
      <c r="K182" s="6">
        <v>109</v>
      </c>
    </row>
    <row r="183" spans="1:11" ht="12" customHeight="1">
      <c r="A183" s="6">
        <v>23225</v>
      </c>
      <c r="B183" s="6" t="s">
        <v>687</v>
      </c>
      <c r="C183" s="6" t="s">
        <v>688</v>
      </c>
      <c r="D183" s="6" t="s">
        <v>316</v>
      </c>
      <c r="E183" s="6" t="s">
        <v>625</v>
      </c>
      <c r="F183" s="6">
        <v>66</v>
      </c>
      <c r="G183" s="6">
        <v>1993</v>
      </c>
      <c r="H183" s="6">
        <v>701</v>
      </c>
      <c r="I183" s="6">
        <v>0</v>
      </c>
      <c r="J183" s="6">
        <v>0</v>
      </c>
      <c r="K183" s="6">
        <v>0</v>
      </c>
    </row>
    <row r="184" spans="1:11" ht="12" customHeight="1">
      <c r="A184" s="6">
        <v>13048</v>
      </c>
      <c r="B184" s="6" t="s">
        <v>687</v>
      </c>
      <c r="C184" s="6" t="s">
        <v>678</v>
      </c>
      <c r="D184" s="6" t="s">
        <v>316</v>
      </c>
      <c r="E184" s="6" t="s">
        <v>625</v>
      </c>
      <c r="F184" s="6">
        <v>66</v>
      </c>
      <c r="G184" s="6">
        <v>1970</v>
      </c>
      <c r="H184" s="6">
        <v>532</v>
      </c>
      <c r="I184" s="6">
        <v>3.625</v>
      </c>
      <c r="J184" s="6">
        <v>106.461</v>
      </c>
      <c r="K184" s="6">
        <v>0</v>
      </c>
    </row>
    <row r="185" spans="1:11" ht="12" customHeight="1">
      <c r="A185" s="6">
        <v>16072</v>
      </c>
      <c r="B185" s="6" t="s">
        <v>689</v>
      </c>
      <c r="C185" s="6" t="s">
        <v>592</v>
      </c>
      <c r="D185" s="6" t="s">
        <v>316</v>
      </c>
      <c r="E185" s="6" t="s">
        <v>572</v>
      </c>
      <c r="F185" s="6">
        <v>87</v>
      </c>
      <c r="G185" s="6">
        <v>1947</v>
      </c>
      <c r="H185" s="6">
        <v>702</v>
      </c>
      <c r="I185" s="6">
        <v>0</v>
      </c>
      <c r="J185" s="6">
        <v>0</v>
      </c>
      <c r="K185" s="6">
        <v>0</v>
      </c>
    </row>
    <row r="186" spans="1:11" ht="12" customHeight="1">
      <c r="A186" s="6">
        <v>18106</v>
      </c>
      <c r="B186" s="6" t="s">
        <v>690</v>
      </c>
      <c r="C186" s="6" t="s">
        <v>691</v>
      </c>
      <c r="D186" s="6" t="s">
        <v>434</v>
      </c>
      <c r="E186" s="6" t="s">
        <v>151</v>
      </c>
      <c r="F186" s="6">
        <v>21</v>
      </c>
      <c r="G186" s="6">
        <v>2007</v>
      </c>
      <c r="H186" s="6">
        <v>29</v>
      </c>
      <c r="I186" s="6">
        <v>43.5</v>
      </c>
      <c r="J186" s="6">
        <v>2913.0509999999999</v>
      </c>
      <c r="K186" s="6">
        <v>1114</v>
      </c>
    </row>
    <row r="187" spans="1:11" ht="12" customHeight="1">
      <c r="A187" s="6">
        <v>22105</v>
      </c>
      <c r="B187" s="6" t="s">
        <v>692</v>
      </c>
      <c r="C187" s="6" t="s">
        <v>622</v>
      </c>
      <c r="D187" s="6" t="s">
        <v>451</v>
      </c>
      <c r="E187" s="6" t="s">
        <v>151</v>
      </c>
      <c r="F187" s="6">
        <v>21</v>
      </c>
      <c r="G187" s="6">
        <v>2005</v>
      </c>
      <c r="H187" s="6">
        <v>125</v>
      </c>
      <c r="I187" s="6">
        <v>25.22</v>
      </c>
      <c r="J187" s="6">
        <v>1612.2</v>
      </c>
      <c r="K187" s="6">
        <v>575</v>
      </c>
    </row>
    <row r="188" spans="1:11" ht="12" customHeight="1">
      <c r="A188" s="6">
        <v>21079</v>
      </c>
      <c r="B188" s="6" t="s">
        <v>693</v>
      </c>
      <c r="C188" s="6" t="s">
        <v>433</v>
      </c>
      <c r="E188" s="6" t="s">
        <v>130</v>
      </c>
      <c r="F188" s="6">
        <v>5</v>
      </c>
      <c r="G188" s="6">
        <v>1992</v>
      </c>
      <c r="H188" s="6">
        <v>703</v>
      </c>
      <c r="I188" s="6">
        <v>0</v>
      </c>
      <c r="J188" s="6">
        <v>0</v>
      </c>
      <c r="K188" s="6">
        <v>0</v>
      </c>
    </row>
    <row r="189" spans="1:11" ht="12" customHeight="1">
      <c r="A189" s="6">
        <v>96162</v>
      </c>
      <c r="B189" s="6" t="s">
        <v>693</v>
      </c>
      <c r="C189" s="6" t="s">
        <v>445</v>
      </c>
      <c r="E189" s="6" t="s">
        <v>130</v>
      </c>
      <c r="F189" s="6">
        <v>5</v>
      </c>
      <c r="G189" s="6">
        <v>1963</v>
      </c>
      <c r="H189" s="6">
        <v>213</v>
      </c>
      <c r="I189" s="6">
        <v>16.562999999999999</v>
      </c>
      <c r="J189" s="6">
        <v>966.42200000000003</v>
      </c>
      <c r="K189" s="6">
        <v>210</v>
      </c>
    </row>
    <row r="190" spans="1:11" ht="12" customHeight="1">
      <c r="A190" s="6">
        <v>96163</v>
      </c>
      <c r="B190" s="6" t="s">
        <v>694</v>
      </c>
      <c r="C190" s="6" t="s">
        <v>695</v>
      </c>
      <c r="D190" s="6" t="s">
        <v>316</v>
      </c>
      <c r="E190" s="6" t="s">
        <v>130</v>
      </c>
      <c r="F190" s="6">
        <v>5</v>
      </c>
      <c r="G190" s="6">
        <v>1963</v>
      </c>
      <c r="H190" s="6">
        <v>302</v>
      </c>
      <c r="I190" s="6">
        <v>6.5629999999999997</v>
      </c>
      <c r="J190" s="6">
        <v>510.75200000000001</v>
      </c>
      <c r="K190" s="6">
        <v>210</v>
      </c>
    </row>
    <row r="191" spans="1:11" ht="12" customHeight="1">
      <c r="A191" s="6">
        <v>20568</v>
      </c>
      <c r="B191" s="6" t="s">
        <v>696</v>
      </c>
      <c r="C191" s="6" t="s">
        <v>697</v>
      </c>
      <c r="D191" s="6" t="s">
        <v>316</v>
      </c>
      <c r="E191" s="6" t="s">
        <v>169</v>
      </c>
      <c r="F191" s="6">
        <v>69</v>
      </c>
      <c r="G191" s="6">
        <v>1951</v>
      </c>
      <c r="H191" s="6">
        <v>311</v>
      </c>
      <c r="I191" s="6">
        <v>6.3129999999999997</v>
      </c>
      <c r="J191" s="6">
        <v>492.31700000000001</v>
      </c>
      <c r="K191" s="6">
        <v>269</v>
      </c>
    </row>
    <row r="192" spans="1:11" ht="12" customHeight="1">
      <c r="A192" s="6">
        <v>96217</v>
      </c>
      <c r="B192" s="6" t="s">
        <v>698</v>
      </c>
      <c r="C192" s="6" t="s">
        <v>699</v>
      </c>
      <c r="E192" s="6" t="s">
        <v>229</v>
      </c>
      <c r="F192" s="6">
        <v>1</v>
      </c>
      <c r="G192" s="6">
        <v>1949</v>
      </c>
      <c r="H192" s="6">
        <v>112</v>
      </c>
      <c r="I192" s="6">
        <v>26.626000000000001</v>
      </c>
      <c r="J192" s="6">
        <v>1727.559</v>
      </c>
      <c r="K192" s="6">
        <v>668</v>
      </c>
    </row>
    <row r="193" spans="1:11" ht="12" customHeight="1">
      <c r="A193" s="6">
        <v>25054</v>
      </c>
      <c r="B193" s="6" t="s">
        <v>700</v>
      </c>
      <c r="C193" s="6" t="s">
        <v>482</v>
      </c>
      <c r="E193" s="6" t="s">
        <v>174</v>
      </c>
      <c r="F193" s="6">
        <v>56</v>
      </c>
      <c r="G193" s="6">
        <v>1953</v>
      </c>
      <c r="H193" s="6">
        <v>127</v>
      </c>
      <c r="I193" s="6">
        <v>27.36</v>
      </c>
      <c r="J193" s="6">
        <v>1591.6</v>
      </c>
      <c r="K193" s="6">
        <v>458</v>
      </c>
    </row>
    <row r="194" spans="1:11" ht="12" customHeight="1">
      <c r="A194" s="6">
        <v>26022</v>
      </c>
      <c r="B194" s="6" t="s">
        <v>700</v>
      </c>
      <c r="C194" s="6" t="s">
        <v>424</v>
      </c>
      <c r="E194" s="6" t="s">
        <v>174</v>
      </c>
      <c r="F194" s="6">
        <v>56</v>
      </c>
      <c r="G194" s="6">
        <v>1976</v>
      </c>
      <c r="H194" s="6">
        <v>415</v>
      </c>
      <c r="I194" s="6">
        <v>6.625</v>
      </c>
      <c r="J194" s="6">
        <v>250.054</v>
      </c>
      <c r="K194" s="6">
        <v>33</v>
      </c>
    </row>
    <row r="195" spans="1:11" ht="12" customHeight="1">
      <c r="A195" s="6">
        <v>28006</v>
      </c>
      <c r="B195" s="6" t="s">
        <v>701</v>
      </c>
      <c r="C195" s="6" t="s">
        <v>482</v>
      </c>
      <c r="E195" s="6" t="s">
        <v>221</v>
      </c>
      <c r="F195" s="6">
        <v>17</v>
      </c>
      <c r="G195" s="6">
        <v>1992</v>
      </c>
      <c r="H195" s="6">
        <v>21</v>
      </c>
      <c r="I195" s="6">
        <v>36.25</v>
      </c>
      <c r="J195" s="6">
        <v>3142.1480000000001</v>
      </c>
      <c r="K195" s="6">
        <v>1437</v>
      </c>
    </row>
    <row r="196" spans="1:11" ht="12" customHeight="1">
      <c r="A196" s="6">
        <v>14021</v>
      </c>
      <c r="B196" s="6" t="s">
        <v>701</v>
      </c>
      <c r="C196" s="6" t="s">
        <v>702</v>
      </c>
      <c r="E196" s="6" t="s">
        <v>199</v>
      </c>
      <c r="F196" s="6">
        <v>88</v>
      </c>
      <c r="G196" s="6">
        <v>1969</v>
      </c>
      <c r="H196" s="6">
        <v>239</v>
      </c>
      <c r="I196" s="6">
        <v>20.189</v>
      </c>
      <c r="J196" s="6">
        <v>773.05700000000002</v>
      </c>
      <c r="K196" s="6">
        <v>135</v>
      </c>
    </row>
    <row r="197" spans="1:11" ht="12" customHeight="1">
      <c r="A197" s="6">
        <v>11019</v>
      </c>
      <c r="B197" s="6" t="s">
        <v>703</v>
      </c>
      <c r="C197" s="6" t="s">
        <v>427</v>
      </c>
      <c r="E197" s="6" t="s">
        <v>704</v>
      </c>
      <c r="F197" s="6">
        <v>45</v>
      </c>
      <c r="G197" s="6">
        <v>1950</v>
      </c>
      <c r="H197" s="6">
        <v>649</v>
      </c>
      <c r="I197" s="6">
        <v>6.3E-2</v>
      </c>
      <c r="J197" s="6">
        <v>1.631</v>
      </c>
      <c r="K197" s="6">
        <v>0</v>
      </c>
    </row>
    <row r="198" spans="1:11" ht="12" customHeight="1">
      <c r="A198" s="6">
        <v>18010</v>
      </c>
      <c r="B198" s="6" t="s">
        <v>703</v>
      </c>
      <c r="C198" s="6" t="s">
        <v>422</v>
      </c>
      <c r="E198" s="6" t="s">
        <v>572</v>
      </c>
      <c r="F198" s="6">
        <v>87</v>
      </c>
      <c r="G198" s="6">
        <v>1948</v>
      </c>
      <c r="H198" s="6">
        <v>510</v>
      </c>
      <c r="I198" s="6">
        <v>2.875</v>
      </c>
      <c r="J198" s="6">
        <v>123.46</v>
      </c>
      <c r="K198" s="6">
        <v>0</v>
      </c>
    </row>
    <row r="199" spans="1:11" ht="12" customHeight="1">
      <c r="A199" s="6">
        <v>18011</v>
      </c>
      <c r="B199" s="6" t="s">
        <v>705</v>
      </c>
      <c r="C199" s="6" t="s">
        <v>592</v>
      </c>
      <c r="D199" s="6" t="s">
        <v>316</v>
      </c>
      <c r="E199" s="6" t="s">
        <v>572</v>
      </c>
      <c r="F199" s="6">
        <v>87</v>
      </c>
      <c r="G199" s="6">
        <v>1950</v>
      </c>
      <c r="H199" s="6">
        <v>511</v>
      </c>
      <c r="I199" s="6">
        <v>2.875</v>
      </c>
      <c r="J199" s="6">
        <v>123.46</v>
      </c>
      <c r="K199" s="6">
        <v>0</v>
      </c>
    </row>
    <row r="200" spans="1:11" ht="12" customHeight="1">
      <c r="A200" s="6">
        <v>18069</v>
      </c>
      <c r="B200" s="6" t="s">
        <v>706</v>
      </c>
      <c r="C200" s="6" t="s">
        <v>482</v>
      </c>
      <c r="E200" s="6" t="s">
        <v>199</v>
      </c>
      <c r="F200" s="6">
        <v>88</v>
      </c>
      <c r="G200" s="6">
        <v>1978</v>
      </c>
      <c r="H200" s="6">
        <v>601</v>
      </c>
      <c r="I200" s="6">
        <v>1.25</v>
      </c>
      <c r="J200" s="6">
        <v>47.338999999999999</v>
      </c>
      <c r="K200" s="6">
        <v>0</v>
      </c>
    </row>
    <row r="201" spans="1:11" ht="12" customHeight="1">
      <c r="A201" s="6">
        <v>18068</v>
      </c>
      <c r="B201" s="6" t="s">
        <v>707</v>
      </c>
      <c r="C201" s="6" t="s">
        <v>708</v>
      </c>
      <c r="D201" s="6" t="s">
        <v>316</v>
      </c>
      <c r="E201" s="6" t="s">
        <v>199</v>
      </c>
      <c r="F201" s="6">
        <v>88</v>
      </c>
      <c r="G201" s="6">
        <v>1982</v>
      </c>
      <c r="H201" s="6">
        <v>206</v>
      </c>
      <c r="I201" s="6">
        <v>14.909000000000001</v>
      </c>
      <c r="J201" s="6">
        <v>999.04200000000003</v>
      </c>
      <c r="K201" s="6">
        <v>379</v>
      </c>
    </row>
    <row r="202" spans="1:11" ht="12" customHeight="1">
      <c r="A202" s="6">
        <v>15059</v>
      </c>
      <c r="B202" s="6" t="s">
        <v>709</v>
      </c>
      <c r="C202" s="6" t="s">
        <v>526</v>
      </c>
      <c r="E202" s="6" t="s">
        <v>120</v>
      </c>
      <c r="F202" s="6">
        <v>54</v>
      </c>
      <c r="G202" s="6">
        <v>1959</v>
      </c>
      <c r="H202" s="6">
        <v>84</v>
      </c>
      <c r="I202" s="6">
        <v>24.157</v>
      </c>
      <c r="J202" s="6">
        <v>2004.415</v>
      </c>
      <c r="K202" s="6">
        <v>924</v>
      </c>
    </row>
    <row r="203" spans="1:11" ht="12" customHeight="1">
      <c r="A203" s="6">
        <v>99594</v>
      </c>
      <c r="B203" s="6" t="s">
        <v>710</v>
      </c>
      <c r="C203" s="6" t="s">
        <v>427</v>
      </c>
      <c r="E203" s="6" t="s">
        <v>232</v>
      </c>
      <c r="F203" s="6">
        <v>19</v>
      </c>
      <c r="G203" s="6">
        <v>1960</v>
      </c>
      <c r="H203" s="6">
        <v>401</v>
      </c>
      <c r="I203" s="6">
        <v>4.8129999999999997</v>
      </c>
      <c r="J203" s="6">
        <v>276.11399999999998</v>
      </c>
      <c r="K203" s="6">
        <v>94</v>
      </c>
    </row>
    <row r="204" spans="1:11" ht="12" customHeight="1">
      <c r="A204" s="6">
        <v>15024</v>
      </c>
      <c r="B204" s="6" t="s">
        <v>711</v>
      </c>
      <c r="C204" s="6" t="s">
        <v>712</v>
      </c>
      <c r="E204" s="6" t="s">
        <v>242</v>
      </c>
      <c r="F204" s="6">
        <v>67</v>
      </c>
      <c r="G204" s="6">
        <v>1959</v>
      </c>
      <c r="H204" s="6">
        <v>472</v>
      </c>
      <c r="I204" s="6">
        <v>1.8129999999999999</v>
      </c>
      <c r="J204" s="6">
        <v>169.696</v>
      </c>
      <c r="K204" s="6">
        <v>89</v>
      </c>
    </row>
    <row r="205" spans="1:11" ht="12" customHeight="1">
      <c r="A205" s="6">
        <v>24309</v>
      </c>
      <c r="B205" s="6" t="s">
        <v>713</v>
      </c>
      <c r="C205" s="6" t="s">
        <v>609</v>
      </c>
      <c r="E205" s="6" t="s">
        <v>714</v>
      </c>
      <c r="F205" s="6">
        <v>85</v>
      </c>
      <c r="G205" s="6">
        <v>1985</v>
      </c>
      <c r="H205" s="6">
        <v>64</v>
      </c>
      <c r="I205" s="6">
        <v>26.687999999999999</v>
      </c>
      <c r="J205" s="6">
        <v>2236.5610000000001</v>
      </c>
      <c r="K205" s="6">
        <v>980</v>
      </c>
    </row>
    <row r="206" spans="1:11" ht="12" customHeight="1">
      <c r="A206" s="6">
        <v>24311</v>
      </c>
      <c r="B206" s="6" t="s">
        <v>713</v>
      </c>
      <c r="C206" s="6" t="s">
        <v>422</v>
      </c>
      <c r="E206" s="6" t="s">
        <v>714</v>
      </c>
      <c r="F206" s="6">
        <v>85</v>
      </c>
      <c r="G206" s="6">
        <v>1989</v>
      </c>
      <c r="H206" s="6">
        <v>704</v>
      </c>
      <c r="I206" s="6">
        <v>0</v>
      </c>
      <c r="J206" s="6">
        <v>0</v>
      </c>
      <c r="K206" s="6">
        <v>0</v>
      </c>
    </row>
    <row r="207" spans="1:11" ht="12" customHeight="1">
      <c r="A207" s="6">
        <v>13075</v>
      </c>
      <c r="B207" s="6" t="s">
        <v>715</v>
      </c>
      <c r="C207" s="6" t="s">
        <v>716</v>
      </c>
      <c r="D207" s="6" t="s">
        <v>316</v>
      </c>
      <c r="E207" s="6" t="s">
        <v>714</v>
      </c>
      <c r="F207" s="6">
        <v>85</v>
      </c>
      <c r="G207" s="6">
        <v>1986</v>
      </c>
      <c r="H207" s="6">
        <v>705</v>
      </c>
      <c r="I207" s="6">
        <v>0</v>
      </c>
      <c r="J207" s="6">
        <v>0</v>
      </c>
      <c r="K207" s="6">
        <v>0</v>
      </c>
    </row>
    <row r="208" spans="1:11" ht="12" customHeight="1">
      <c r="A208" s="6">
        <v>22109</v>
      </c>
      <c r="B208" s="6" t="s">
        <v>717</v>
      </c>
      <c r="C208" s="6" t="s">
        <v>648</v>
      </c>
      <c r="E208" s="6" t="s">
        <v>299</v>
      </c>
      <c r="F208" s="6">
        <v>42</v>
      </c>
      <c r="G208" s="6">
        <v>1968</v>
      </c>
      <c r="H208" s="6">
        <v>503</v>
      </c>
      <c r="I208" s="6">
        <v>3.282</v>
      </c>
      <c r="J208" s="6">
        <v>129.69200000000001</v>
      </c>
      <c r="K208" s="6">
        <v>0</v>
      </c>
    </row>
    <row r="209" spans="1:11" ht="12" customHeight="1">
      <c r="A209" s="6">
        <v>20588</v>
      </c>
      <c r="B209" s="6" t="s">
        <v>718</v>
      </c>
      <c r="C209" s="6" t="s">
        <v>624</v>
      </c>
      <c r="D209" s="6" t="s">
        <v>434</v>
      </c>
      <c r="E209" s="6" t="s">
        <v>460</v>
      </c>
      <c r="F209" s="6">
        <v>95</v>
      </c>
      <c r="G209" s="6">
        <v>2010</v>
      </c>
      <c r="H209" s="6">
        <v>605</v>
      </c>
      <c r="I209" s="6">
        <v>1.1879999999999999</v>
      </c>
      <c r="J209" s="6">
        <v>46.244</v>
      </c>
      <c r="K209" s="6">
        <v>0</v>
      </c>
    </row>
    <row r="210" spans="1:11" ht="12" customHeight="1">
      <c r="A210" s="6">
        <v>16020</v>
      </c>
      <c r="B210" s="6" t="s">
        <v>719</v>
      </c>
      <c r="C210" s="6" t="s">
        <v>526</v>
      </c>
      <c r="E210" s="6" t="s">
        <v>704</v>
      </c>
      <c r="F210" s="6">
        <v>45</v>
      </c>
      <c r="G210" s="6">
        <v>1968</v>
      </c>
      <c r="H210" s="6">
        <v>225</v>
      </c>
      <c r="I210" s="6">
        <v>19.469000000000001</v>
      </c>
      <c r="J210" s="6">
        <v>848.64</v>
      </c>
      <c r="K210" s="6">
        <v>165</v>
      </c>
    </row>
    <row r="211" spans="1:11" ht="12" customHeight="1">
      <c r="A211" s="6">
        <v>18095</v>
      </c>
      <c r="B211" s="6" t="s">
        <v>720</v>
      </c>
      <c r="C211" s="6" t="s">
        <v>526</v>
      </c>
      <c r="E211" s="6" t="s">
        <v>721</v>
      </c>
      <c r="F211" s="6">
        <v>90</v>
      </c>
      <c r="G211" s="6">
        <v>1957</v>
      </c>
      <c r="H211" s="6">
        <v>153</v>
      </c>
      <c r="I211" s="6">
        <v>16.783000000000001</v>
      </c>
      <c r="J211" s="6">
        <v>1362.1089999999999</v>
      </c>
      <c r="K211" s="6">
        <v>623</v>
      </c>
    </row>
    <row r="212" spans="1:11" ht="12" customHeight="1">
      <c r="A212" s="6">
        <v>23226</v>
      </c>
      <c r="B212" s="6" t="s">
        <v>722</v>
      </c>
      <c r="C212" s="6" t="s">
        <v>550</v>
      </c>
      <c r="D212" s="6" t="s">
        <v>316</v>
      </c>
      <c r="E212" s="6" t="s">
        <v>721</v>
      </c>
      <c r="F212" s="6">
        <v>90</v>
      </c>
      <c r="G212" s="6">
        <v>1951</v>
      </c>
      <c r="H212" s="6">
        <v>706</v>
      </c>
      <c r="I212" s="6">
        <v>0</v>
      </c>
      <c r="J212" s="6">
        <v>0</v>
      </c>
      <c r="K212" s="6">
        <v>0</v>
      </c>
    </row>
    <row r="213" spans="1:11" ht="12" customHeight="1">
      <c r="A213" s="6">
        <v>10021</v>
      </c>
      <c r="B213" s="6" t="s">
        <v>723</v>
      </c>
      <c r="C213" s="6" t="s">
        <v>526</v>
      </c>
      <c r="E213" s="6" t="s">
        <v>242</v>
      </c>
      <c r="F213" s="6">
        <v>67</v>
      </c>
      <c r="G213" s="6">
        <v>1964</v>
      </c>
      <c r="H213" s="6">
        <v>492</v>
      </c>
      <c r="I213" s="6">
        <v>2.3130000000000002</v>
      </c>
      <c r="J213" s="6">
        <v>145.465</v>
      </c>
      <c r="K213" s="6">
        <v>66</v>
      </c>
    </row>
    <row r="214" spans="1:11" ht="12" customHeight="1">
      <c r="A214" s="6">
        <v>18136</v>
      </c>
      <c r="B214" s="6" t="s">
        <v>724</v>
      </c>
      <c r="C214" s="6" t="s">
        <v>532</v>
      </c>
      <c r="E214" s="6" t="s">
        <v>685</v>
      </c>
      <c r="F214" s="6">
        <v>82</v>
      </c>
      <c r="G214" s="6">
        <v>1970</v>
      </c>
      <c r="H214" s="6">
        <v>158</v>
      </c>
      <c r="I214" s="6">
        <v>28.751000000000001</v>
      </c>
      <c r="J214" s="6">
        <v>1336.7080000000001</v>
      </c>
      <c r="K214" s="6">
        <v>259</v>
      </c>
    </row>
    <row r="215" spans="1:11" ht="12" customHeight="1">
      <c r="A215" s="6">
        <v>96108</v>
      </c>
      <c r="B215" s="6" t="s">
        <v>725</v>
      </c>
      <c r="C215" s="6" t="s">
        <v>499</v>
      </c>
      <c r="E215" s="6" t="s">
        <v>229</v>
      </c>
      <c r="F215" s="6">
        <v>1</v>
      </c>
      <c r="G215" s="6">
        <v>1967</v>
      </c>
      <c r="H215" s="6">
        <v>707</v>
      </c>
      <c r="I215" s="6">
        <v>0</v>
      </c>
      <c r="J215" s="6">
        <v>0</v>
      </c>
      <c r="K215" s="6">
        <v>0</v>
      </c>
    </row>
    <row r="216" spans="1:11" ht="12" customHeight="1">
      <c r="A216" s="6">
        <v>96059</v>
      </c>
      <c r="B216" s="6" t="s">
        <v>726</v>
      </c>
      <c r="C216" s="6" t="s">
        <v>727</v>
      </c>
      <c r="D216" s="6" t="s">
        <v>316</v>
      </c>
      <c r="E216" s="6" t="s">
        <v>229</v>
      </c>
      <c r="F216" s="6">
        <v>1</v>
      </c>
      <c r="G216" s="6">
        <v>1970</v>
      </c>
      <c r="H216" s="6">
        <v>72</v>
      </c>
      <c r="I216" s="6">
        <v>24.97</v>
      </c>
      <c r="J216" s="6">
        <v>2128.1060000000002</v>
      </c>
      <c r="K216" s="6">
        <v>971</v>
      </c>
    </row>
    <row r="217" spans="1:11" ht="12" customHeight="1">
      <c r="A217" s="6">
        <v>22157</v>
      </c>
      <c r="B217" s="6" t="s">
        <v>726</v>
      </c>
      <c r="C217" s="6" t="s">
        <v>728</v>
      </c>
      <c r="D217" s="6" t="s">
        <v>451</v>
      </c>
      <c r="E217" s="6" t="s">
        <v>229</v>
      </c>
      <c r="F217" s="6">
        <v>1</v>
      </c>
      <c r="G217" s="6">
        <v>2009</v>
      </c>
      <c r="H217" s="6">
        <v>708</v>
      </c>
      <c r="I217" s="6">
        <v>0</v>
      </c>
      <c r="J217" s="6">
        <v>0</v>
      </c>
      <c r="K217" s="6">
        <v>0</v>
      </c>
    </row>
    <row r="218" spans="1:11" ht="12" customHeight="1">
      <c r="A218" s="6">
        <v>98419</v>
      </c>
      <c r="B218" s="6" t="s">
        <v>729</v>
      </c>
      <c r="C218" s="6" t="s">
        <v>648</v>
      </c>
      <c r="E218" s="6" t="s">
        <v>235</v>
      </c>
      <c r="F218" s="6">
        <v>27</v>
      </c>
      <c r="G218" s="6">
        <v>1952</v>
      </c>
      <c r="H218" s="6">
        <v>365</v>
      </c>
      <c r="I218" s="6">
        <v>4.875</v>
      </c>
      <c r="J218" s="6">
        <v>339.80500000000001</v>
      </c>
      <c r="K218" s="6">
        <v>125</v>
      </c>
    </row>
    <row r="219" spans="1:11" ht="12" customHeight="1">
      <c r="A219" s="6">
        <v>21065</v>
      </c>
      <c r="B219" s="6" t="s">
        <v>730</v>
      </c>
      <c r="C219" s="6" t="s">
        <v>499</v>
      </c>
      <c r="E219" s="6" t="s">
        <v>193</v>
      </c>
      <c r="F219" s="6">
        <v>89</v>
      </c>
      <c r="G219" s="6">
        <v>1949</v>
      </c>
      <c r="H219" s="6">
        <v>575</v>
      </c>
      <c r="I219" s="6">
        <v>1.8759999999999999</v>
      </c>
      <c r="J219" s="6">
        <v>65.706000000000003</v>
      </c>
      <c r="K219" s="6">
        <v>24</v>
      </c>
    </row>
    <row r="220" spans="1:11" ht="12" customHeight="1">
      <c r="A220" s="6">
        <v>14006</v>
      </c>
      <c r="B220" s="6" t="s">
        <v>731</v>
      </c>
      <c r="C220" s="6" t="s">
        <v>609</v>
      </c>
      <c r="E220" s="6" t="s">
        <v>229</v>
      </c>
      <c r="F220" s="6">
        <v>1</v>
      </c>
      <c r="G220" s="6">
        <v>1970</v>
      </c>
      <c r="H220" s="6">
        <v>96</v>
      </c>
      <c r="I220" s="6">
        <v>26.751000000000001</v>
      </c>
      <c r="J220" s="6">
        <v>1879.817</v>
      </c>
      <c r="K220" s="6">
        <v>715</v>
      </c>
    </row>
    <row r="221" spans="1:11" ht="12" customHeight="1">
      <c r="A221" s="6">
        <v>17032</v>
      </c>
      <c r="B221" s="6" t="s">
        <v>732</v>
      </c>
      <c r="C221" s="6" t="s">
        <v>733</v>
      </c>
      <c r="D221" s="6" t="s">
        <v>316</v>
      </c>
      <c r="E221" s="6" t="s">
        <v>229</v>
      </c>
      <c r="F221" s="6">
        <v>1</v>
      </c>
      <c r="G221" s="6">
        <v>2000</v>
      </c>
      <c r="H221" s="6">
        <v>709</v>
      </c>
      <c r="I221" s="6">
        <v>0</v>
      </c>
      <c r="J221" s="6">
        <v>0</v>
      </c>
      <c r="K221" s="6">
        <v>0</v>
      </c>
    </row>
    <row r="222" spans="1:11" ht="12" customHeight="1">
      <c r="A222" s="6">
        <v>18113</v>
      </c>
      <c r="B222" s="6" t="s">
        <v>734</v>
      </c>
      <c r="C222" s="6" t="s">
        <v>735</v>
      </c>
      <c r="E222" s="6" t="s">
        <v>253</v>
      </c>
      <c r="F222" s="6">
        <v>86</v>
      </c>
      <c r="G222" s="6">
        <v>1974</v>
      </c>
      <c r="H222" s="6">
        <v>534</v>
      </c>
      <c r="I222" s="6">
        <v>2.2509999999999999</v>
      </c>
      <c r="J222" s="6">
        <v>105.637</v>
      </c>
      <c r="K222" s="6">
        <v>0</v>
      </c>
    </row>
    <row r="223" spans="1:11" ht="12" customHeight="1">
      <c r="A223" s="6">
        <v>18114</v>
      </c>
      <c r="B223" s="6" t="s">
        <v>736</v>
      </c>
      <c r="C223" s="6" t="s">
        <v>737</v>
      </c>
      <c r="D223" s="6" t="s">
        <v>316</v>
      </c>
      <c r="E223" s="6" t="s">
        <v>253</v>
      </c>
      <c r="F223" s="6">
        <v>86</v>
      </c>
      <c r="G223" s="6">
        <v>1977</v>
      </c>
      <c r="H223" s="6">
        <v>710</v>
      </c>
      <c r="I223" s="6">
        <v>0</v>
      </c>
      <c r="J223" s="6">
        <v>0</v>
      </c>
      <c r="K223" s="6">
        <v>0</v>
      </c>
    </row>
    <row r="224" spans="1:11" ht="12" customHeight="1">
      <c r="A224" s="6">
        <v>98423</v>
      </c>
      <c r="B224" s="6" t="s">
        <v>738</v>
      </c>
      <c r="C224" s="6" t="s">
        <v>437</v>
      </c>
      <c r="E224" s="6" t="s">
        <v>235</v>
      </c>
      <c r="F224" s="6">
        <v>27</v>
      </c>
      <c r="G224" s="6">
        <v>1982</v>
      </c>
      <c r="H224" s="6">
        <v>336</v>
      </c>
      <c r="I224" s="6">
        <v>9.8439999999999994</v>
      </c>
      <c r="J224" s="6">
        <v>410.529</v>
      </c>
      <c r="K224" s="6">
        <v>84</v>
      </c>
    </row>
    <row r="225" spans="1:11" ht="12" customHeight="1">
      <c r="A225" s="6">
        <v>99500</v>
      </c>
      <c r="B225" s="6" t="s">
        <v>739</v>
      </c>
      <c r="C225" s="6" t="s">
        <v>740</v>
      </c>
      <c r="D225" s="6" t="s">
        <v>316</v>
      </c>
      <c r="E225" s="6" t="s">
        <v>235</v>
      </c>
      <c r="F225" s="6">
        <v>27</v>
      </c>
      <c r="G225" s="6">
        <v>1962</v>
      </c>
      <c r="H225" s="6">
        <v>520</v>
      </c>
      <c r="I225" s="6">
        <v>3</v>
      </c>
      <c r="J225" s="6">
        <v>113.514</v>
      </c>
      <c r="K225" s="6">
        <v>0</v>
      </c>
    </row>
    <row r="226" spans="1:11" ht="12" customHeight="1">
      <c r="A226" s="6">
        <v>98477</v>
      </c>
      <c r="B226" s="6" t="s">
        <v>741</v>
      </c>
      <c r="C226" s="6" t="s">
        <v>532</v>
      </c>
      <c r="E226" s="6" t="s">
        <v>493</v>
      </c>
      <c r="F226" s="6">
        <v>16</v>
      </c>
      <c r="G226" s="6">
        <v>1987</v>
      </c>
      <c r="H226" s="6">
        <v>348</v>
      </c>
      <c r="I226" s="6">
        <v>3.9689999999999999</v>
      </c>
      <c r="J226" s="6">
        <v>383.23700000000002</v>
      </c>
      <c r="K226" s="6">
        <v>189</v>
      </c>
    </row>
    <row r="227" spans="1:11" ht="12" customHeight="1">
      <c r="A227" s="6">
        <v>14079</v>
      </c>
      <c r="B227" s="6" t="s">
        <v>742</v>
      </c>
      <c r="C227" s="6" t="s">
        <v>492</v>
      </c>
      <c r="E227" s="6" t="s">
        <v>425</v>
      </c>
      <c r="F227" s="6">
        <v>79</v>
      </c>
      <c r="G227" s="6">
        <v>2002</v>
      </c>
      <c r="H227" s="6">
        <v>454</v>
      </c>
      <c r="I227" s="6">
        <v>4.2030000000000003</v>
      </c>
      <c r="J227" s="6">
        <v>183.73599999999999</v>
      </c>
      <c r="K227" s="6">
        <v>26</v>
      </c>
    </row>
    <row r="228" spans="1:11" ht="12" customHeight="1">
      <c r="A228" s="6">
        <v>11058</v>
      </c>
      <c r="B228" s="6" t="s">
        <v>743</v>
      </c>
      <c r="C228" s="6" t="s">
        <v>492</v>
      </c>
      <c r="E228" s="6" t="s">
        <v>151</v>
      </c>
      <c r="F228" s="6">
        <v>21</v>
      </c>
      <c r="G228" s="6">
        <v>1960</v>
      </c>
      <c r="H228" s="6">
        <v>339</v>
      </c>
      <c r="I228" s="6">
        <v>9.3680000000000003</v>
      </c>
      <c r="J228" s="6">
        <v>405.55700000000002</v>
      </c>
      <c r="K228" s="6">
        <v>98</v>
      </c>
    </row>
    <row r="229" spans="1:11" ht="12" customHeight="1">
      <c r="A229" s="6">
        <v>14028</v>
      </c>
      <c r="B229" s="6" t="s">
        <v>744</v>
      </c>
      <c r="C229" s="6" t="s">
        <v>745</v>
      </c>
      <c r="D229" s="6" t="s">
        <v>316</v>
      </c>
      <c r="E229" s="6" t="s">
        <v>653</v>
      </c>
      <c r="F229" s="6">
        <v>77</v>
      </c>
      <c r="G229" s="6">
        <v>1958</v>
      </c>
      <c r="H229" s="6">
        <v>414</v>
      </c>
      <c r="I229" s="6">
        <v>6.3760000000000003</v>
      </c>
      <c r="J229" s="6">
        <v>250.31899999999999</v>
      </c>
      <c r="K229" s="6">
        <v>0</v>
      </c>
    </row>
    <row r="230" spans="1:11" ht="12" customHeight="1">
      <c r="A230" s="6">
        <v>20515</v>
      </c>
      <c r="B230" s="6" t="s">
        <v>746</v>
      </c>
      <c r="C230" s="6" t="s">
        <v>747</v>
      </c>
      <c r="D230" s="6" t="s">
        <v>451</v>
      </c>
      <c r="E230" s="6" t="s">
        <v>169</v>
      </c>
      <c r="F230" s="6">
        <v>69</v>
      </c>
      <c r="G230" s="6">
        <v>2009</v>
      </c>
      <c r="H230" s="6">
        <v>712</v>
      </c>
      <c r="I230" s="6">
        <v>0</v>
      </c>
      <c r="J230" s="6">
        <v>0</v>
      </c>
      <c r="K230" s="6">
        <v>0</v>
      </c>
    </row>
    <row r="231" spans="1:11" ht="12" customHeight="1">
      <c r="A231" s="6">
        <v>20514</v>
      </c>
      <c r="B231" s="6" t="s">
        <v>746</v>
      </c>
      <c r="C231" s="6" t="s">
        <v>748</v>
      </c>
      <c r="E231" s="6" t="s">
        <v>169</v>
      </c>
      <c r="F231" s="6">
        <v>69</v>
      </c>
      <c r="G231" s="6">
        <v>1975</v>
      </c>
      <c r="H231" s="6">
        <v>711</v>
      </c>
      <c r="I231" s="6">
        <v>0</v>
      </c>
      <c r="J231" s="6">
        <v>0</v>
      </c>
      <c r="K231" s="6">
        <v>0</v>
      </c>
    </row>
    <row r="232" spans="1:11" ht="12" customHeight="1">
      <c r="A232" s="6">
        <v>13054</v>
      </c>
      <c r="B232" s="6" t="s">
        <v>749</v>
      </c>
      <c r="C232" s="6" t="s">
        <v>750</v>
      </c>
      <c r="E232" s="6" t="s">
        <v>141</v>
      </c>
      <c r="F232" s="6">
        <v>15</v>
      </c>
      <c r="G232" s="6">
        <v>1981</v>
      </c>
      <c r="H232" s="6">
        <v>604</v>
      </c>
      <c r="I232" s="6">
        <v>2</v>
      </c>
      <c r="J232" s="6">
        <v>46.881999999999998</v>
      </c>
      <c r="K232" s="6">
        <v>0</v>
      </c>
    </row>
    <row r="233" spans="1:11" ht="12" customHeight="1">
      <c r="A233" s="6">
        <v>20558</v>
      </c>
      <c r="B233" s="6" t="s">
        <v>751</v>
      </c>
      <c r="C233" s="6" t="s">
        <v>499</v>
      </c>
      <c r="E233" s="6" t="s">
        <v>425</v>
      </c>
      <c r="F233" s="6">
        <v>79</v>
      </c>
      <c r="G233" s="6">
        <v>1975</v>
      </c>
      <c r="H233" s="6">
        <v>368</v>
      </c>
      <c r="I233" s="6">
        <v>13.5</v>
      </c>
      <c r="J233" s="6">
        <v>334.58300000000003</v>
      </c>
      <c r="K233" s="6">
        <v>0</v>
      </c>
    </row>
    <row r="234" spans="1:11" ht="12" customHeight="1">
      <c r="A234" s="6">
        <v>16075</v>
      </c>
      <c r="B234" s="6" t="s">
        <v>752</v>
      </c>
      <c r="C234" s="6" t="s">
        <v>499</v>
      </c>
      <c r="E234" s="6" t="s">
        <v>572</v>
      </c>
      <c r="F234" s="6">
        <v>87</v>
      </c>
      <c r="G234" s="6">
        <v>1954</v>
      </c>
      <c r="H234" s="6">
        <v>124</v>
      </c>
      <c r="I234" s="6">
        <v>22.501999999999999</v>
      </c>
      <c r="J234" s="6">
        <v>1612.338</v>
      </c>
      <c r="K234" s="6">
        <v>757</v>
      </c>
    </row>
    <row r="235" spans="1:11" ht="12" customHeight="1">
      <c r="A235" s="6">
        <v>22141</v>
      </c>
      <c r="B235" s="6" t="s">
        <v>753</v>
      </c>
      <c r="C235" s="6" t="s">
        <v>424</v>
      </c>
      <c r="E235" s="6" t="s">
        <v>704</v>
      </c>
      <c r="F235" s="6">
        <v>45</v>
      </c>
      <c r="G235" s="6">
        <v>1969</v>
      </c>
      <c r="H235" s="6">
        <v>629</v>
      </c>
      <c r="I235" s="6">
        <v>1.282</v>
      </c>
      <c r="J235" s="6">
        <v>30.869</v>
      </c>
      <c r="K235" s="6">
        <v>0</v>
      </c>
    </row>
    <row r="236" spans="1:11" ht="12" customHeight="1">
      <c r="A236" s="6">
        <v>22174</v>
      </c>
      <c r="B236" s="6" t="s">
        <v>754</v>
      </c>
      <c r="C236" s="6" t="s">
        <v>755</v>
      </c>
      <c r="D236" s="6" t="s">
        <v>316</v>
      </c>
      <c r="E236" s="6" t="s">
        <v>502</v>
      </c>
      <c r="F236" s="6">
        <v>24</v>
      </c>
      <c r="G236" s="6">
        <v>1962</v>
      </c>
      <c r="H236" s="6">
        <v>713</v>
      </c>
      <c r="I236" s="6">
        <v>0</v>
      </c>
      <c r="J236" s="6">
        <v>0</v>
      </c>
      <c r="K236" s="6">
        <v>0</v>
      </c>
    </row>
    <row r="237" spans="1:11" ht="12" customHeight="1">
      <c r="A237" s="6">
        <v>22179</v>
      </c>
      <c r="B237" s="6" t="s">
        <v>756</v>
      </c>
      <c r="C237" s="6" t="s">
        <v>416</v>
      </c>
      <c r="E237" s="6" t="s">
        <v>253</v>
      </c>
      <c r="F237" s="6">
        <v>86</v>
      </c>
      <c r="G237" s="6">
        <v>1987</v>
      </c>
      <c r="H237" s="6">
        <v>232</v>
      </c>
      <c r="I237" s="6">
        <v>18.344999999999999</v>
      </c>
      <c r="J237" s="6">
        <v>809.59100000000001</v>
      </c>
      <c r="K237" s="6">
        <v>0</v>
      </c>
    </row>
    <row r="238" spans="1:11" ht="12" customHeight="1">
      <c r="A238" s="6">
        <v>96089</v>
      </c>
      <c r="B238" s="6" t="s">
        <v>757</v>
      </c>
      <c r="C238" s="6" t="s">
        <v>532</v>
      </c>
      <c r="E238" s="6" t="s">
        <v>493</v>
      </c>
      <c r="F238" s="6">
        <v>16</v>
      </c>
      <c r="G238" s="6">
        <v>1968</v>
      </c>
      <c r="H238" s="6">
        <v>315</v>
      </c>
      <c r="I238" s="6">
        <v>18.5</v>
      </c>
      <c r="J238" s="6">
        <v>473.14699999999999</v>
      </c>
      <c r="K238" s="6">
        <v>0</v>
      </c>
    </row>
    <row r="239" spans="1:11" ht="12" customHeight="1">
      <c r="A239" s="6">
        <v>20513</v>
      </c>
      <c r="B239" s="6" t="s">
        <v>758</v>
      </c>
      <c r="C239" s="6" t="s">
        <v>418</v>
      </c>
      <c r="E239" s="6" t="s">
        <v>625</v>
      </c>
      <c r="F239" s="6">
        <v>66</v>
      </c>
      <c r="G239" s="6">
        <v>1991</v>
      </c>
      <c r="H239" s="6">
        <v>342</v>
      </c>
      <c r="I239" s="6">
        <v>6.8609999999999998</v>
      </c>
      <c r="J239" s="6">
        <v>394.90899999999999</v>
      </c>
      <c r="K239" s="6">
        <v>114</v>
      </c>
    </row>
    <row r="240" spans="1:11" ht="12" customHeight="1">
      <c r="A240" s="6">
        <v>25002</v>
      </c>
      <c r="B240" s="6" t="s">
        <v>759</v>
      </c>
      <c r="C240" s="6" t="s">
        <v>673</v>
      </c>
      <c r="D240" s="6" t="s">
        <v>316</v>
      </c>
      <c r="E240" s="6" t="s">
        <v>120</v>
      </c>
      <c r="F240" s="6">
        <v>54</v>
      </c>
      <c r="G240" s="6">
        <v>1973</v>
      </c>
      <c r="H240" s="6">
        <v>266</v>
      </c>
      <c r="I240" s="6">
        <v>8.5939999999999994</v>
      </c>
      <c r="J240" s="6">
        <v>642.98299999999995</v>
      </c>
      <c r="K240" s="6">
        <v>250</v>
      </c>
    </row>
    <row r="241" spans="1:11" ht="12" customHeight="1">
      <c r="A241" s="6">
        <v>24240</v>
      </c>
      <c r="B241" s="6" t="s">
        <v>760</v>
      </c>
      <c r="C241" s="6" t="s">
        <v>532</v>
      </c>
      <c r="E241" s="6" t="s">
        <v>221</v>
      </c>
      <c r="F241" s="6">
        <v>17</v>
      </c>
      <c r="G241" s="6">
        <v>1976</v>
      </c>
      <c r="H241" s="6">
        <v>167</v>
      </c>
      <c r="I241" s="6">
        <v>18.125</v>
      </c>
      <c r="J241" s="6">
        <v>1258.347</v>
      </c>
      <c r="K241" s="6">
        <v>406</v>
      </c>
    </row>
    <row r="242" spans="1:11" ht="12" customHeight="1">
      <c r="A242" s="6">
        <v>98373</v>
      </c>
      <c r="B242" s="6" t="s">
        <v>761</v>
      </c>
      <c r="C242" s="6" t="s">
        <v>762</v>
      </c>
      <c r="D242" s="6" t="s">
        <v>316</v>
      </c>
      <c r="E242" s="6" t="s">
        <v>502</v>
      </c>
      <c r="F242" s="6">
        <v>24</v>
      </c>
      <c r="G242" s="6">
        <v>1985</v>
      </c>
      <c r="H242" s="6">
        <v>255</v>
      </c>
      <c r="I242" s="6">
        <v>11</v>
      </c>
      <c r="J242" s="6">
        <v>709.97799999999995</v>
      </c>
      <c r="K242" s="6">
        <v>187</v>
      </c>
    </row>
    <row r="243" spans="1:11" ht="12" customHeight="1">
      <c r="A243" s="6">
        <v>28038</v>
      </c>
      <c r="B243" s="6" t="s">
        <v>763</v>
      </c>
      <c r="C243" s="6" t="s">
        <v>480</v>
      </c>
      <c r="D243" s="6" t="s">
        <v>316</v>
      </c>
      <c r="E243" s="6" t="s">
        <v>232</v>
      </c>
      <c r="F243" s="6">
        <v>19</v>
      </c>
      <c r="G243" s="6">
        <v>1954</v>
      </c>
      <c r="H243" s="6">
        <v>328</v>
      </c>
      <c r="I243" s="6">
        <v>6.782</v>
      </c>
      <c r="J243" s="6">
        <v>436.779</v>
      </c>
      <c r="K243" s="6">
        <v>188</v>
      </c>
    </row>
    <row r="244" spans="1:11" ht="12" customHeight="1">
      <c r="A244" s="6">
        <v>22148</v>
      </c>
      <c r="B244" s="6" t="s">
        <v>764</v>
      </c>
      <c r="C244" s="6" t="s">
        <v>467</v>
      </c>
      <c r="E244" s="6" t="s">
        <v>765</v>
      </c>
      <c r="F244" s="6">
        <v>98</v>
      </c>
      <c r="G244" s="6">
        <v>1968</v>
      </c>
      <c r="H244" s="6">
        <v>291</v>
      </c>
      <c r="I244" s="6">
        <v>11.377000000000001</v>
      </c>
      <c r="J244" s="6">
        <v>528.75300000000004</v>
      </c>
      <c r="K244" s="6">
        <v>138</v>
      </c>
    </row>
    <row r="245" spans="1:11" ht="12" customHeight="1">
      <c r="A245" s="6">
        <v>22171</v>
      </c>
      <c r="B245" s="6" t="s">
        <v>766</v>
      </c>
      <c r="C245" s="6" t="s">
        <v>574</v>
      </c>
      <c r="D245" s="6" t="s">
        <v>316</v>
      </c>
      <c r="E245" s="6" t="s">
        <v>765</v>
      </c>
      <c r="F245" s="6">
        <v>98</v>
      </c>
      <c r="G245" s="6">
        <v>1974</v>
      </c>
      <c r="H245" s="6">
        <v>506</v>
      </c>
      <c r="I245" s="6">
        <v>3.657</v>
      </c>
      <c r="J245" s="6">
        <v>128.22300000000001</v>
      </c>
      <c r="K245" s="6">
        <v>0</v>
      </c>
    </row>
    <row r="246" spans="1:11" ht="12" customHeight="1">
      <c r="A246" s="6">
        <v>25085</v>
      </c>
      <c r="B246" s="6" t="s">
        <v>767</v>
      </c>
      <c r="C246" s="6" t="s">
        <v>768</v>
      </c>
      <c r="E246" s="6" t="s">
        <v>439</v>
      </c>
      <c r="F246" s="6">
        <v>29</v>
      </c>
      <c r="G246" s="6">
        <v>1961</v>
      </c>
      <c r="H246" s="6">
        <v>714</v>
      </c>
      <c r="I246" s="6">
        <v>0</v>
      </c>
      <c r="J246" s="6">
        <v>0</v>
      </c>
      <c r="K246" s="6">
        <v>0</v>
      </c>
    </row>
    <row r="247" spans="1:11" ht="12" customHeight="1">
      <c r="A247" s="6">
        <v>20542</v>
      </c>
      <c r="B247" s="6" t="s">
        <v>769</v>
      </c>
      <c r="C247" s="6" t="s">
        <v>437</v>
      </c>
      <c r="E247" s="6" t="s">
        <v>435</v>
      </c>
      <c r="F247" s="6">
        <v>93</v>
      </c>
      <c r="G247" s="6">
        <v>1956</v>
      </c>
      <c r="H247" s="6">
        <v>286</v>
      </c>
      <c r="I247" s="6">
        <v>13.484999999999999</v>
      </c>
      <c r="J247" s="6">
        <v>559.24800000000005</v>
      </c>
      <c r="K247" s="6">
        <v>119</v>
      </c>
    </row>
    <row r="248" spans="1:11" ht="12" customHeight="1">
      <c r="A248" s="6">
        <v>20566</v>
      </c>
      <c r="B248" s="6" t="s">
        <v>770</v>
      </c>
      <c r="C248" s="6" t="s">
        <v>492</v>
      </c>
      <c r="E248" s="6" t="s">
        <v>476</v>
      </c>
      <c r="F248" s="6">
        <v>2</v>
      </c>
      <c r="G248" s="6">
        <v>1981</v>
      </c>
      <c r="H248" s="6">
        <v>522</v>
      </c>
      <c r="I248" s="6">
        <v>3.5630000000000002</v>
      </c>
      <c r="J248" s="6">
        <v>113.43</v>
      </c>
      <c r="K248" s="6">
        <v>0</v>
      </c>
    </row>
    <row r="249" spans="1:11" ht="12" customHeight="1">
      <c r="A249" s="6">
        <v>16077</v>
      </c>
      <c r="B249" s="6" t="s">
        <v>771</v>
      </c>
      <c r="C249" s="6" t="s">
        <v>532</v>
      </c>
      <c r="E249" s="6" t="s">
        <v>572</v>
      </c>
      <c r="F249" s="6">
        <v>87</v>
      </c>
      <c r="G249" s="6">
        <v>1953</v>
      </c>
      <c r="H249" s="6">
        <v>99</v>
      </c>
      <c r="I249" s="6">
        <v>26.375</v>
      </c>
      <c r="J249" s="6">
        <v>1851.5730000000001</v>
      </c>
      <c r="K249" s="6">
        <v>881</v>
      </c>
    </row>
    <row r="250" spans="1:11" ht="12" customHeight="1">
      <c r="A250" s="6">
        <v>18141</v>
      </c>
      <c r="B250" s="6" t="s">
        <v>772</v>
      </c>
      <c r="C250" s="6" t="s">
        <v>768</v>
      </c>
      <c r="E250" s="6" t="s">
        <v>186</v>
      </c>
      <c r="F250" s="6">
        <v>91</v>
      </c>
      <c r="G250" s="6">
        <v>1963</v>
      </c>
      <c r="H250" s="6">
        <v>207</v>
      </c>
      <c r="I250" s="6">
        <v>14.688000000000001</v>
      </c>
      <c r="J250" s="6">
        <v>997.12800000000004</v>
      </c>
      <c r="K250" s="6">
        <v>433</v>
      </c>
    </row>
    <row r="251" spans="1:11" ht="12" customHeight="1">
      <c r="A251" s="6">
        <v>18142</v>
      </c>
      <c r="B251" s="6" t="s">
        <v>773</v>
      </c>
      <c r="C251" s="6" t="s">
        <v>774</v>
      </c>
      <c r="D251" s="6" t="s">
        <v>316</v>
      </c>
      <c r="E251" s="6" t="s">
        <v>186</v>
      </c>
      <c r="F251" s="6">
        <v>91</v>
      </c>
      <c r="G251" s="6">
        <v>1973</v>
      </c>
      <c r="H251" s="6">
        <v>271</v>
      </c>
      <c r="I251" s="6">
        <v>10.125999999999999</v>
      </c>
      <c r="J251" s="6">
        <v>618.48800000000006</v>
      </c>
      <c r="K251" s="6">
        <v>266</v>
      </c>
    </row>
    <row r="252" spans="1:11" ht="12" customHeight="1">
      <c r="A252" s="6">
        <v>15060</v>
      </c>
      <c r="B252" s="6" t="s">
        <v>775</v>
      </c>
      <c r="C252" s="6" t="s">
        <v>482</v>
      </c>
      <c r="E252" s="6" t="s">
        <v>541</v>
      </c>
      <c r="F252" s="6">
        <v>92</v>
      </c>
      <c r="G252" s="6">
        <v>1955</v>
      </c>
      <c r="H252" s="6">
        <v>85</v>
      </c>
      <c r="I252" s="6">
        <v>23.126000000000001</v>
      </c>
      <c r="J252" s="6">
        <v>1998.046</v>
      </c>
      <c r="K252" s="6">
        <v>863</v>
      </c>
    </row>
    <row r="253" spans="1:11" ht="12" customHeight="1">
      <c r="A253" s="6">
        <v>28051</v>
      </c>
      <c r="B253" s="6" t="s">
        <v>776</v>
      </c>
      <c r="C253" s="6" t="s">
        <v>681</v>
      </c>
      <c r="E253" s="6" t="s">
        <v>232</v>
      </c>
      <c r="F253" s="6">
        <v>19</v>
      </c>
      <c r="G253" s="6">
        <v>1963</v>
      </c>
      <c r="H253" s="6">
        <v>183</v>
      </c>
      <c r="I253" s="6">
        <v>22.626000000000001</v>
      </c>
      <c r="J253" s="6">
        <v>1137.4290000000001</v>
      </c>
      <c r="K253" s="6">
        <v>206</v>
      </c>
    </row>
    <row r="254" spans="1:11" ht="12" customHeight="1">
      <c r="A254" s="6">
        <v>25003</v>
      </c>
      <c r="B254" s="6" t="s">
        <v>777</v>
      </c>
      <c r="C254" s="6" t="s">
        <v>778</v>
      </c>
      <c r="D254" s="6" t="s">
        <v>316</v>
      </c>
      <c r="E254" s="6" t="s">
        <v>120</v>
      </c>
      <c r="F254" s="6">
        <v>54</v>
      </c>
      <c r="G254" s="6">
        <v>1973</v>
      </c>
      <c r="H254" s="6">
        <v>39</v>
      </c>
      <c r="I254" s="6">
        <v>30.375</v>
      </c>
      <c r="J254" s="6">
        <v>2700.4580000000001</v>
      </c>
      <c r="K254" s="6">
        <v>1334</v>
      </c>
    </row>
    <row r="255" spans="1:11" ht="12" customHeight="1">
      <c r="A255" s="6">
        <v>17028</v>
      </c>
      <c r="B255" s="6" t="s">
        <v>779</v>
      </c>
      <c r="C255" s="6" t="s">
        <v>548</v>
      </c>
      <c r="E255" s="6" t="s">
        <v>235</v>
      </c>
      <c r="F255" s="6">
        <v>27</v>
      </c>
      <c r="G255" s="6">
        <v>1974</v>
      </c>
      <c r="H255" s="6">
        <v>715</v>
      </c>
      <c r="I255" s="6">
        <v>0</v>
      </c>
      <c r="J255" s="6">
        <v>0</v>
      </c>
      <c r="K255" s="6">
        <v>0</v>
      </c>
    </row>
    <row r="256" spans="1:11" ht="12" customHeight="1">
      <c r="A256" s="6">
        <v>17076</v>
      </c>
      <c r="B256" s="6" t="s">
        <v>780</v>
      </c>
      <c r="C256" s="6" t="s">
        <v>781</v>
      </c>
      <c r="D256" s="6" t="s">
        <v>451</v>
      </c>
      <c r="E256" s="6" t="s">
        <v>235</v>
      </c>
      <c r="F256" s="6">
        <v>27</v>
      </c>
      <c r="G256" s="6">
        <v>2009</v>
      </c>
      <c r="H256" s="6">
        <v>716</v>
      </c>
      <c r="I256" s="6">
        <v>0</v>
      </c>
      <c r="J256" s="6">
        <v>0</v>
      </c>
      <c r="K256" s="6">
        <v>0</v>
      </c>
    </row>
    <row r="257" spans="1:11" ht="12" customHeight="1">
      <c r="A257" s="6">
        <v>13065</v>
      </c>
      <c r="B257" s="6" t="s">
        <v>782</v>
      </c>
      <c r="C257" s="6" t="s">
        <v>514</v>
      </c>
      <c r="E257" s="6" t="s">
        <v>242</v>
      </c>
      <c r="F257" s="6">
        <v>67</v>
      </c>
      <c r="G257" s="6">
        <v>1961</v>
      </c>
      <c r="H257" s="6">
        <v>717</v>
      </c>
      <c r="I257" s="6">
        <v>0</v>
      </c>
      <c r="J257" s="6">
        <v>0</v>
      </c>
      <c r="K257" s="6">
        <v>0</v>
      </c>
    </row>
    <row r="258" spans="1:11" ht="12" customHeight="1">
      <c r="A258" s="6">
        <v>10079</v>
      </c>
      <c r="B258" s="6" t="s">
        <v>783</v>
      </c>
      <c r="C258" s="6" t="s">
        <v>784</v>
      </c>
      <c r="E258" s="6" t="s">
        <v>169</v>
      </c>
      <c r="F258" s="6">
        <v>69</v>
      </c>
      <c r="G258" s="6">
        <v>1951</v>
      </c>
      <c r="H258" s="6">
        <v>567</v>
      </c>
      <c r="I258" s="6">
        <v>1.6879999999999999</v>
      </c>
      <c r="J258" s="6">
        <v>77.094999999999999</v>
      </c>
      <c r="K258" s="6">
        <v>28</v>
      </c>
    </row>
    <row r="259" spans="1:11" ht="12" customHeight="1">
      <c r="A259" s="6">
        <v>15044</v>
      </c>
      <c r="B259" s="6" t="s">
        <v>785</v>
      </c>
      <c r="C259" s="6" t="s">
        <v>786</v>
      </c>
      <c r="D259" s="6" t="s">
        <v>316</v>
      </c>
      <c r="E259" s="6" t="s">
        <v>456</v>
      </c>
      <c r="F259" s="6">
        <v>70</v>
      </c>
      <c r="G259" s="6">
        <v>1946</v>
      </c>
      <c r="H259" s="6">
        <v>718</v>
      </c>
      <c r="I259" s="6">
        <v>0</v>
      </c>
      <c r="J259" s="6">
        <v>0</v>
      </c>
      <c r="K259" s="6">
        <v>0</v>
      </c>
    </row>
    <row r="260" spans="1:11" ht="12" customHeight="1">
      <c r="A260" s="6">
        <v>99559</v>
      </c>
      <c r="B260" s="6" t="s">
        <v>787</v>
      </c>
      <c r="C260" s="6" t="s">
        <v>492</v>
      </c>
      <c r="E260" s="6" t="s">
        <v>493</v>
      </c>
      <c r="F260" s="6">
        <v>16</v>
      </c>
      <c r="G260" s="6">
        <v>1988</v>
      </c>
      <c r="H260" s="6">
        <v>719</v>
      </c>
      <c r="I260" s="6">
        <v>0</v>
      </c>
      <c r="J260" s="6">
        <v>0</v>
      </c>
      <c r="K260" s="6">
        <v>0</v>
      </c>
    </row>
    <row r="261" spans="1:11" ht="12" customHeight="1">
      <c r="A261" s="6">
        <v>16023</v>
      </c>
      <c r="B261" s="6" t="s">
        <v>788</v>
      </c>
      <c r="C261" s="6" t="s">
        <v>789</v>
      </c>
      <c r="E261" s="6" t="s">
        <v>235</v>
      </c>
      <c r="F261" s="6">
        <v>27</v>
      </c>
      <c r="G261" s="6">
        <v>1966</v>
      </c>
      <c r="H261" s="6">
        <v>417</v>
      </c>
      <c r="I261" s="6">
        <v>4.4690000000000003</v>
      </c>
      <c r="J261" s="6">
        <v>243.143</v>
      </c>
      <c r="K261" s="6">
        <v>79</v>
      </c>
    </row>
    <row r="262" spans="1:11" ht="12" customHeight="1">
      <c r="A262" s="6">
        <v>12059</v>
      </c>
      <c r="B262" s="6" t="s">
        <v>790</v>
      </c>
      <c r="C262" s="6" t="s">
        <v>791</v>
      </c>
      <c r="D262" s="6" t="s">
        <v>316</v>
      </c>
      <c r="E262" s="6" t="s">
        <v>134</v>
      </c>
      <c r="F262" s="6">
        <v>64</v>
      </c>
      <c r="G262" s="6">
        <v>1978</v>
      </c>
      <c r="H262" s="6">
        <v>720</v>
      </c>
      <c r="I262" s="6">
        <v>0</v>
      </c>
      <c r="J262" s="6">
        <v>0</v>
      </c>
      <c r="K262" s="6">
        <v>0</v>
      </c>
    </row>
    <row r="263" spans="1:11" ht="12" customHeight="1">
      <c r="A263" s="6">
        <v>10110</v>
      </c>
      <c r="B263" s="6" t="s">
        <v>792</v>
      </c>
      <c r="C263" s="6" t="s">
        <v>455</v>
      </c>
      <c r="D263" s="6" t="s">
        <v>316</v>
      </c>
      <c r="E263" s="6" t="s">
        <v>456</v>
      </c>
      <c r="F263" s="6">
        <v>70</v>
      </c>
      <c r="G263" s="6">
        <v>1925</v>
      </c>
      <c r="H263" s="6">
        <v>721</v>
      </c>
      <c r="I263" s="6">
        <v>0</v>
      </c>
      <c r="J263" s="6">
        <v>0</v>
      </c>
      <c r="K263" s="6">
        <v>0</v>
      </c>
    </row>
    <row r="264" spans="1:11" ht="12" customHeight="1">
      <c r="A264" s="6">
        <v>15051</v>
      </c>
      <c r="B264" s="6" t="s">
        <v>793</v>
      </c>
      <c r="C264" s="6" t="s">
        <v>517</v>
      </c>
      <c r="E264" s="6" t="s">
        <v>156</v>
      </c>
      <c r="F264" s="6">
        <v>33</v>
      </c>
      <c r="G264" s="6">
        <v>1953</v>
      </c>
      <c r="H264" s="6">
        <v>240</v>
      </c>
      <c r="I264" s="6">
        <v>17.064</v>
      </c>
      <c r="J264" s="6">
        <v>772.66300000000001</v>
      </c>
      <c r="K264" s="6">
        <v>159</v>
      </c>
    </row>
    <row r="265" spans="1:11" ht="12" customHeight="1">
      <c r="A265" s="6">
        <v>27045</v>
      </c>
      <c r="B265" s="6" t="s">
        <v>794</v>
      </c>
      <c r="C265" s="6" t="s">
        <v>499</v>
      </c>
      <c r="E265" s="6" t="s">
        <v>375</v>
      </c>
      <c r="F265" s="6">
        <v>43</v>
      </c>
      <c r="G265" s="6">
        <v>1980</v>
      </c>
      <c r="H265" s="6">
        <v>723</v>
      </c>
      <c r="I265" s="6">
        <v>0</v>
      </c>
      <c r="J265" s="6">
        <v>0</v>
      </c>
      <c r="K265" s="6">
        <v>0</v>
      </c>
    </row>
    <row r="266" spans="1:11" ht="12" customHeight="1">
      <c r="A266" s="6">
        <v>21777</v>
      </c>
      <c r="B266" s="6" t="s">
        <v>794</v>
      </c>
      <c r="C266" s="6" t="s">
        <v>445</v>
      </c>
      <c r="E266" s="6" t="s">
        <v>221</v>
      </c>
      <c r="F266" s="6">
        <v>17</v>
      </c>
      <c r="G266" s="6">
        <v>1975</v>
      </c>
      <c r="H266" s="6">
        <v>722</v>
      </c>
      <c r="I266" s="6">
        <v>0</v>
      </c>
      <c r="J266" s="6">
        <v>0</v>
      </c>
      <c r="K266" s="6">
        <v>0</v>
      </c>
    </row>
    <row r="267" spans="1:11" ht="12" customHeight="1">
      <c r="A267" s="6">
        <v>23055</v>
      </c>
      <c r="B267" s="6" t="s">
        <v>795</v>
      </c>
      <c r="C267" s="6" t="s">
        <v>612</v>
      </c>
      <c r="D267" s="6" t="s">
        <v>316</v>
      </c>
      <c r="E267" s="6" t="s">
        <v>375</v>
      </c>
      <c r="F267" s="6">
        <v>43</v>
      </c>
      <c r="G267" s="6">
        <v>1977</v>
      </c>
      <c r="H267" s="6">
        <v>724</v>
      </c>
      <c r="I267" s="6">
        <v>0</v>
      </c>
      <c r="J267" s="6">
        <v>0</v>
      </c>
      <c r="K267" s="6">
        <v>0</v>
      </c>
    </row>
    <row r="268" spans="1:11" ht="12" customHeight="1">
      <c r="A268" s="6">
        <v>22146</v>
      </c>
      <c r="B268" s="6" t="s">
        <v>796</v>
      </c>
      <c r="C268" s="6" t="s">
        <v>609</v>
      </c>
      <c r="E268" s="6" t="s">
        <v>797</v>
      </c>
      <c r="F268" s="6">
        <v>97</v>
      </c>
      <c r="G268" s="6">
        <v>1992</v>
      </c>
      <c r="H268" s="6">
        <v>725</v>
      </c>
      <c r="I268" s="6">
        <v>0</v>
      </c>
      <c r="J268" s="6">
        <v>0</v>
      </c>
      <c r="K268" s="6">
        <v>0</v>
      </c>
    </row>
    <row r="269" spans="1:11" ht="12" customHeight="1">
      <c r="A269" s="6">
        <v>24221</v>
      </c>
      <c r="B269" s="6" t="s">
        <v>798</v>
      </c>
      <c r="C269" s="6" t="s">
        <v>537</v>
      </c>
      <c r="D269" s="6" t="s">
        <v>316</v>
      </c>
      <c r="E269" s="6" t="s">
        <v>438</v>
      </c>
      <c r="F269" s="6">
        <v>51</v>
      </c>
      <c r="G269" s="6">
        <v>1969</v>
      </c>
      <c r="H269" s="6">
        <v>726</v>
      </c>
      <c r="I269" s="6">
        <v>0</v>
      </c>
      <c r="J269" s="6">
        <v>0</v>
      </c>
      <c r="K269" s="6">
        <v>0</v>
      </c>
    </row>
    <row r="270" spans="1:11" ht="12" customHeight="1">
      <c r="A270" s="6">
        <v>26061</v>
      </c>
      <c r="B270" s="6" t="s">
        <v>799</v>
      </c>
      <c r="C270" s="6" t="s">
        <v>499</v>
      </c>
      <c r="E270" s="6" t="s">
        <v>235</v>
      </c>
      <c r="F270" s="6">
        <v>27</v>
      </c>
      <c r="G270" s="6">
        <v>1957</v>
      </c>
      <c r="H270" s="6">
        <v>505</v>
      </c>
      <c r="I270" s="6">
        <v>4.125</v>
      </c>
      <c r="J270" s="6">
        <v>128.77799999999999</v>
      </c>
      <c r="K270" s="6">
        <v>0</v>
      </c>
    </row>
    <row r="271" spans="1:11" ht="12" customHeight="1">
      <c r="A271" s="6">
        <v>18112</v>
      </c>
      <c r="B271" s="6" t="s">
        <v>800</v>
      </c>
      <c r="C271" s="6" t="s">
        <v>492</v>
      </c>
      <c r="E271" s="6" t="s">
        <v>253</v>
      </c>
      <c r="F271" s="6">
        <v>86</v>
      </c>
      <c r="G271" s="6">
        <v>1990</v>
      </c>
      <c r="H271" s="6">
        <v>546</v>
      </c>
      <c r="I271" s="6">
        <v>2</v>
      </c>
      <c r="J271" s="6">
        <v>93.304000000000002</v>
      </c>
      <c r="K271" s="6">
        <v>0</v>
      </c>
    </row>
    <row r="272" spans="1:11" ht="12" customHeight="1">
      <c r="A272" s="6">
        <v>16064</v>
      </c>
      <c r="B272" s="6" t="s">
        <v>801</v>
      </c>
      <c r="C272" s="6" t="s">
        <v>552</v>
      </c>
      <c r="E272" s="6" t="s">
        <v>802</v>
      </c>
      <c r="F272" s="6">
        <v>83</v>
      </c>
      <c r="G272" s="6">
        <v>1972</v>
      </c>
      <c r="H272" s="6">
        <v>559</v>
      </c>
      <c r="I272" s="6">
        <v>0.48399999999999999</v>
      </c>
      <c r="J272" s="6">
        <v>80.641000000000005</v>
      </c>
      <c r="K272" s="6">
        <v>54</v>
      </c>
    </row>
    <row r="273" spans="1:11" ht="12" customHeight="1">
      <c r="A273" s="6">
        <v>16065</v>
      </c>
      <c r="B273" s="6" t="s">
        <v>801</v>
      </c>
      <c r="C273" s="6" t="s">
        <v>433</v>
      </c>
      <c r="E273" s="6" t="s">
        <v>802</v>
      </c>
      <c r="F273" s="6">
        <v>83</v>
      </c>
      <c r="G273" s="6">
        <v>1977</v>
      </c>
      <c r="H273" s="6">
        <v>403</v>
      </c>
      <c r="I273" s="6">
        <v>5.875</v>
      </c>
      <c r="J273" s="6">
        <v>269.91500000000002</v>
      </c>
      <c r="K273" s="6">
        <v>0</v>
      </c>
    </row>
    <row r="274" spans="1:11" ht="12" customHeight="1">
      <c r="A274" s="6">
        <v>10111</v>
      </c>
      <c r="B274" s="6" t="s">
        <v>803</v>
      </c>
      <c r="C274" s="6" t="s">
        <v>472</v>
      </c>
      <c r="D274" s="6" t="s">
        <v>316</v>
      </c>
      <c r="E274" s="6" t="s">
        <v>456</v>
      </c>
      <c r="F274" s="6">
        <v>70</v>
      </c>
      <c r="G274" s="6">
        <v>1944</v>
      </c>
      <c r="H274" s="6">
        <v>727</v>
      </c>
      <c r="I274" s="6">
        <v>0</v>
      </c>
      <c r="J274" s="6">
        <v>0</v>
      </c>
      <c r="K274" s="6">
        <v>0</v>
      </c>
    </row>
    <row r="275" spans="1:11" ht="12" customHeight="1">
      <c r="A275" s="6">
        <v>29053</v>
      </c>
      <c r="B275" s="6" t="s">
        <v>804</v>
      </c>
      <c r="C275" s="6" t="s">
        <v>422</v>
      </c>
      <c r="E275" s="6" t="s">
        <v>134</v>
      </c>
      <c r="F275" s="6">
        <v>64</v>
      </c>
      <c r="G275" s="6">
        <v>1975</v>
      </c>
      <c r="H275" s="6">
        <v>439</v>
      </c>
      <c r="I275" s="6">
        <v>4</v>
      </c>
      <c r="J275" s="6">
        <v>201.52099999999999</v>
      </c>
      <c r="K275" s="6">
        <v>21</v>
      </c>
    </row>
    <row r="276" spans="1:11" ht="12" customHeight="1">
      <c r="A276" s="6">
        <v>10138</v>
      </c>
      <c r="B276" s="6" t="s">
        <v>805</v>
      </c>
      <c r="C276" s="6" t="s">
        <v>424</v>
      </c>
      <c r="E276" s="6" t="s">
        <v>151</v>
      </c>
      <c r="F276" s="6">
        <v>21</v>
      </c>
      <c r="G276" s="6">
        <v>2003</v>
      </c>
      <c r="H276" s="6">
        <v>36</v>
      </c>
      <c r="I276" s="6">
        <v>35.313000000000002</v>
      </c>
      <c r="J276" s="6">
        <v>2746.6480000000001</v>
      </c>
      <c r="K276" s="6">
        <v>1226</v>
      </c>
    </row>
    <row r="277" spans="1:11" ht="12" customHeight="1">
      <c r="A277" s="6">
        <v>98465</v>
      </c>
      <c r="B277" s="6" t="s">
        <v>806</v>
      </c>
      <c r="C277" s="6" t="s">
        <v>424</v>
      </c>
      <c r="E277" s="6" t="s">
        <v>151</v>
      </c>
      <c r="F277" s="6">
        <v>21</v>
      </c>
      <c r="G277" s="6">
        <v>1975</v>
      </c>
      <c r="H277" s="6">
        <v>728</v>
      </c>
      <c r="I277" s="6">
        <v>0</v>
      </c>
      <c r="J277" s="6">
        <v>0</v>
      </c>
      <c r="K277" s="6">
        <v>0</v>
      </c>
    </row>
    <row r="278" spans="1:11" ht="12" customHeight="1">
      <c r="A278" s="6">
        <v>24315</v>
      </c>
      <c r="B278" s="6" t="s">
        <v>807</v>
      </c>
      <c r="C278" s="6" t="s">
        <v>808</v>
      </c>
      <c r="D278" s="6" t="s">
        <v>316</v>
      </c>
      <c r="E278" s="6" t="s">
        <v>151</v>
      </c>
      <c r="F278" s="6">
        <v>21</v>
      </c>
      <c r="G278" s="6">
        <v>1995</v>
      </c>
      <c r="H278" s="6">
        <v>388</v>
      </c>
      <c r="I278" s="6">
        <v>2.5310000000000001</v>
      </c>
      <c r="J278" s="6">
        <v>299.78699999999998</v>
      </c>
      <c r="K278" s="6">
        <v>183</v>
      </c>
    </row>
    <row r="279" spans="1:11" ht="12" customHeight="1">
      <c r="A279" s="6">
        <v>20676</v>
      </c>
      <c r="B279" s="6" t="s">
        <v>807</v>
      </c>
      <c r="C279" s="6" t="s">
        <v>809</v>
      </c>
      <c r="D279" s="6" t="s">
        <v>316</v>
      </c>
      <c r="E279" s="6" t="s">
        <v>151</v>
      </c>
      <c r="F279" s="6">
        <v>21</v>
      </c>
      <c r="G279" s="6">
        <v>1973</v>
      </c>
      <c r="H279" s="6">
        <v>58</v>
      </c>
      <c r="I279" s="6">
        <v>29.75</v>
      </c>
      <c r="J279" s="6">
        <v>2340.8850000000002</v>
      </c>
      <c r="K279" s="6">
        <v>1042</v>
      </c>
    </row>
    <row r="280" spans="1:11" ht="12" customHeight="1">
      <c r="A280" s="6">
        <v>18059</v>
      </c>
      <c r="B280" s="6" t="s">
        <v>807</v>
      </c>
      <c r="C280" s="6" t="s">
        <v>728</v>
      </c>
      <c r="D280" s="6" t="s">
        <v>316</v>
      </c>
      <c r="E280" s="6" t="s">
        <v>810</v>
      </c>
      <c r="F280" s="6">
        <v>78</v>
      </c>
      <c r="G280" s="6">
        <v>1986</v>
      </c>
      <c r="H280" s="6">
        <v>729</v>
      </c>
      <c r="I280" s="6">
        <v>0</v>
      </c>
      <c r="J280" s="6">
        <v>0</v>
      </c>
      <c r="K280" s="6">
        <v>0</v>
      </c>
    </row>
    <row r="281" spans="1:11" ht="12" customHeight="1">
      <c r="A281" s="6">
        <v>14037</v>
      </c>
      <c r="B281" s="6" t="s">
        <v>811</v>
      </c>
      <c r="C281" s="6" t="s">
        <v>681</v>
      </c>
      <c r="E281" s="6" t="s">
        <v>810</v>
      </c>
      <c r="F281" s="6">
        <v>78</v>
      </c>
      <c r="G281" s="6">
        <v>1959</v>
      </c>
      <c r="H281" s="6">
        <v>730</v>
      </c>
      <c r="I281" s="6">
        <v>0</v>
      </c>
      <c r="J281" s="6">
        <v>0</v>
      </c>
      <c r="K281" s="6">
        <v>0</v>
      </c>
    </row>
    <row r="282" spans="1:11" ht="12" customHeight="1">
      <c r="A282" s="6">
        <v>16024</v>
      </c>
      <c r="B282" s="6" t="s">
        <v>812</v>
      </c>
      <c r="C282" s="6" t="s">
        <v>813</v>
      </c>
      <c r="D282" s="6" t="s">
        <v>316</v>
      </c>
      <c r="E282" s="6" t="s">
        <v>810</v>
      </c>
      <c r="F282" s="6">
        <v>78</v>
      </c>
      <c r="G282" s="6">
        <v>1967</v>
      </c>
      <c r="H282" s="6">
        <v>731</v>
      </c>
      <c r="I282" s="6">
        <v>0</v>
      </c>
      <c r="J282" s="6">
        <v>0</v>
      </c>
      <c r="K282" s="6">
        <v>0</v>
      </c>
    </row>
    <row r="283" spans="1:11" ht="12" customHeight="1">
      <c r="A283" s="6">
        <v>11044</v>
      </c>
      <c r="B283" s="6" t="s">
        <v>814</v>
      </c>
      <c r="C283" s="6" t="s">
        <v>445</v>
      </c>
      <c r="E283" s="6" t="s">
        <v>476</v>
      </c>
      <c r="F283" s="6">
        <v>2</v>
      </c>
      <c r="G283" s="6">
        <v>1941</v>
      </c>
      <c r="H283" s="6">
        <v>147</v>
      </c>
      <c r="I283" s="6">
        <v>23.501999999999999</v>
      </c>
      <c r="J283" s="6">
        <v>1385.4749999999999</v>
      </c>
      <c r="K283" s="6">
        <v>519</v>
      </c>
    </row>
    <row r="284" spans="1:11" ht="12" customHeight="1">
      <c r="A284" s="6">
        <v>99591</v>
      </c>
      <c r="B284" s="6" t="s">
        <v>815</v>
      </c>
      <c r="C284" s="6" t="s">
        <v>492</v>
      </c>
      <c r="E284" s="6" t="s">
        <v>232</v>
      </c>
      <c r="F284" s="6">
        <v>19</v>
      </c>
      <c r="G284" s="6">
        <v>1961</v>
      </c>
      <c r="H284" s="6">
        <v>613</v>
      </c>
      <c r="I284" s="6">
        <v>1.125</v>
      </c>
      <c r="J284" s="6">
        <v>40.457999999999998</v>
      </c>
      <c r="K284" s="6">
        <v>0</v>
      </c>
    </row>
    <row r="285" spans="1:11" ht="12" customHeight="1">
      <c r="A285" s="6">
        <v>29027</v>
      </c>
      <c r="B285" s="6" t="s">
        <v>816</v>
      </c>
      <c r="C285" s="6" t="s">
        <v>817</v>
      </c>
      <c r="E285" s="6" t="s">
        <v>144</v>
      </c>
      <c r="F285" s="6">
        <v>63</v>
      </c>
      <c r="G285" s="6">
        <v>1953</v>
      </c>
      <c r="H285" s="6">
        <v>399</v>
      </c>
      <c r="I285" s="6">
        <v>8.3759999999999994</v>
      </c>
      <c r="J285" s="6">
        <v>277.47000000000003</v>
      </c>
      <c r="K285" s="6">
        <v>0</v>
      </c>
    </row>
    <row r="286" spans="1:11" ht="12" customHeight="1">
      <c r="A286" s="6">
        <v>14057</v>
      </c>
      <c r="B286" s="6" t="s">
        <v>818</v>
      </c>
      <c r="C286" s="6" t="s">
        <v>418</v>
      </c>
      <c r="E286" s="6" t="s">
        <v>151</v>
      </c>
      <c r="F286" s="6">
        <v>21</v>
      </c>
      <c r="G286" s="6">
        <v>1988</v>
      </c>
      <c r="H286" s="6">
        <v>67</v>
      </c>
      <c r="I286" s="6">
        <v>26.187999999999999</v>
      </c>
      <c r="J286" s="6">
        <v>2142.7719999999999</v>
      </c>
      <c r="K286" s="6">
        <v>1060</v>
      </c>
    </row>
    <row r="287" spans="1:11" ht="12" customHeight="1">
      <c r="A287" s="6">
        <v>26020</v>
      </c>
      <c r="B287" s="6" t="s">
        <v>819</v>
      </c>
      <c r="C287" s="6" t="s">
        <v>424</v>
      </c>
      <c r="E287" s="6" t="s">
        <v>174</v>
      </c>
      <c r="F287" s="6">
        <v>56</v>
      </c>
      <c r="G287" s="6">
        <v>1990</v>
      </c>
      <c r="H287" s="6">
        <v>497</v>
      </c>
      <c r="I287" s="6">
        <v>4.125</v>
      </c>
      <c r="J287" s="6">
        <v>140.05799999999999</v>
      </c>
      <c r="K287" s="6">
        <v>0</v>
      </c>
    </row>
    <row r="288" spans="1:11" ht="12" customHeight="1">
      <c r="A288" s="6">
        <v>25055</v>
      </c>
      <c r="B288" s="6" t="s">
        <v>819</v>
      </c>
      <c r="C288" s="6" t="s">
        <v>702</v>
      </c>
      <c r="E288" s="6" t="s">
        <v>174</v>
      </c>
      <c r="F288" s="6">
        <v>56</v>
      </c>
      <c r="G288" s="6">
        <v>1965</v>
      </c>
      <c r="H288" s="6">
        <v>24</v>
      </c>
      <c r="I288" s="6">
        <v>40.25</v>
      </c>
      <c r="J288" s="6">
        <v>2989.8049999999998</v>
      </c>
      <c r="K288" s="6">
        <v>1396</v>
      </c>
    </row>
    <row r="289" spans="1:11" ht="12" customHeight="1">
      <c r="A289" s="6">
        <v>24321</v>
      </c>
      <c r="B289" s="6" t="s">
        <v>820</v>
      </c>
      <c r="C289" s="6" t="s">
        <v>422</v>
      </c>
      <c r="E289" s="6" t="s">
        <v>221</v>
      </c>
      <c r="F289" s="6">
        <v>17</v>
      </c>
      <c r="G289" s="6">
        <v>1966</v>
      </c>
      <c r="H289" s="6">
        <v>318</v>
      </c>
      <c r="I289" s="6">
        <v>6.5629999999999997</v>
      </c>
      <c r="J289" s="6">
        <v>458.25400000000002</v>
      </c>
      <c r="K289" s="6">
        <v>182</v>
      </c>
    </row>
    <row r="290" spans="1:11" ht="12" customHeight="1">
      <c r="A290" s="6">
        <v>10112</v>
      </c>
      <c r="B290" s="6" t="s">
        <v>821</v>
      </c>
      <c r="C290" s="6" t="s">
        <v>822</v>
      </c>
      <c r="D290" s="6" t="s">
        <v>316</v>
      </c>
      <c r="E290" s="6" t="s">
        <v>456</v>
      </c>
      <c r="F290" s="6">
        <v>70</v>
      </c>
      <c r="G290" s="6">
        <v>1937</v>
      </c>
      <c r="H290" s="6">
        <v>732</v>
      </c>
      <c r="I290" s="6">
        <v>0</v>
      </c>
      <c r="J290" s="6">
        <v>0</v>
      </c>
      <c r="K290" s="6">
        <v>0</v>
      </c>
    </row>
    <row r="291" spans="1:11" ht="12" customHeight="1">
      <c r="A291" s="6">
        <v>23203</v>
      </c>
      <c r="B291" s="6" t="s">
        <v>823</v>
      </c>
      <c r="C291" s="6" t="s">
        <v>824</v>
      </c>
      <c r="D291" s="6" t="s">
        <v>451</v>
      </c>
      <c r="E291" s="6" t="s">
        <v>435</v>
      </c>
      <c r="F291" s="6">
        <v>93</v>
      </c>
      <c r="G291" s="6">
        <v>2007</v>
      </c>
      <c r="H291" s="6">
        <v>733</v>
      </c>
      <c r="I291" s="6">
        <v>0</v>
      </c>
      <c r="J291" s="6">
        <v>0</v>
      </c>
      <c r="K291" s="6">
        <v>0</v>
      </c>
    </row>
    <row r="292" spans="1:11" ht="12" customHeight="1">
      <c r="A292" s="6">
        <v>16107</v>
      </c>
      <c r="B292" s="6" t="s">
        <v>825</v>
      </c>
      <c r="C292" s="6" t="s">
        <v>826</v>
      </c>
      <c r="E292" s="6" t="s">
        <v>239</v>
      </c>
      <c r="F292" s="6">
        <v>14</v>
      </c>
      <c r="G292" s="6">
        <v>1993</v>
      </c>
      <c r="H292" s="6">
        <v>93</v>
      </c>
      <c r="I292" s="6">
        <v>26</v>
      </c>
      <c r="J292" s="6">
        <v>1921.4590000000001</v>
      </c>
      <c r="K292" s="6">
        <v>733</v>
      </c>
    </row>
    <row r="293" spans="1:11" ht="12" customHeight="1">
      <c r="A293" s="6">
        <v>14084</v>
      </c>
      <c r="B293" s="6" t="s">
        <v>827</v>
      </c>
      <c r="C293" s="6" t="s">
        <v>433</v>
      </c>
      <c r="E293" s="6" t="s">
        <v>425</v>
      </c>
      <c r="F293" s="6">
        <v>79</v>
      </c>
      <c r="G293" s="6">
        <v>1983</v>
      </c>
      <c r="H293" s="6">
        <v>734</v>
      </c>
      <c r="I293" s="6">
        <v>0</v>
      </c>
      <c r="J293" s="6">
        <v>0</v>
      </c>
      <c r="K293" s="6">
        <v>0</v>
      </c>
    </row>
    <row r="294" spans="1:11" ht="12" customHeight="1">
      <c r="A294" s="6">
        <v>13083</v>
      </c>
      <c r="B294" s="6" t="s">
        <v>828</v>
      </c>
      <c r="C294" s="6" t="s">
        <v>482</v>
      </c>
      <c r="E294" s="6" t="s">
        <v>375</v>
      </c>
      <c r="F294" s="6">
        <v>43</v>
      </c>
      <c r="G294" s="6">
        <v>1952</v>
      </c>
      <c r="H294" s="6">
        <v>362</v>
      </c>
      <c r="I294" s="6">
        <v>7.0469999999999997</v>
      </c>
      <c r="J294" s="6">
        <v>344.50099999999998</v>
      </c>
      <c r="K294" s="6">
        <v>21</v>
      </c>
    </row>
    <row r="295" spans="1:11" ht="12" customHeight="1">
      <c r="A295" s="6">
        <v>24342</v>
      </c>
      <c r="B295" s="6" t="s">
        <v>829</v>
      </c>
      <c r="C295" s="6" t="s">
        <v>440</v>
      </c>
      <c r="E295" s="6" t="s">
        <v>180</v>
      </c>
      <c r="F295" s="6">
        <v>62</v>
      </c>
      <c r="G295" s="6">
        <v>1950</v>
      </c>
      <c r="H295" s="6">
        <v>398</v>
      </c>
      <c r="I295" s="6">
        <v>6.875</v>
      </c>
      <c r="J295" s="6">
        <v>278.815</v>
      </c>
      <c r="K295" s="6">
        <v>77</v>
      </c>
    </row>
    <row r="296" spans="1:11" ht="12" customHeight="1">
      <c r="A296" s="6">
        <v>13060</v>
      </c>
      <c r="B296" s="6" t="s">
        <v>829</v>
      </c>
      <c r="C296" s="6" t="s">
        <v>422</v>
      </c>
      <c r="E296" s="6" t="s">
        <v>493</v>
      </c>
      <c r="F296" s="6">
        <v>16</v>
      </c>
      <c r="G296" s="6">
        <v>1972</v>
      </c>
      <c r="H296" s="6">
        <v>105</v>
      </c>
      <c r="I296" s="6">
        <v>27.062999999999999</v>
      </c>
      <c r="J296" s="6">
        <v>1795.8119999999999</v>
      </c>
      <c r="K296" s="6">
        <v>705</v>
      </c>
    </row>
    <row r="297" spans="1:11" ht="12" customHeight="1">
      <c r="A297" s="6">
        <v>21004</v>
      </c>
      <c r="B297" s="6" t="s">
        <v>830</v>
      </c>
      <c r="C297" s="6" t="s">
        <v>662</v>
      </c>
      <c r="D297" s="6" t="s">
        <v>316</v>
      </c>
      <c r="E297" s="6" t="s">
        <v>221</v>
      </c>
      <c r="F297" s="6">
        <v>17</v>
      </c>
      <c r="G297" s="6">
        <v>1991</v>
      </c>
      <c r="H297" s="6">
        <v>329</v>
      </c>
      <c r="I297" s="6">
        <v>4.742</v>
      </c>
      <c r="J297" s="6">
        <v>436.12599999999998</v>
      </c>
      <c r="K297" s="6">
        <v>227</v>
      </c>
    </row>
    <row r="298" spans="1:11" ht="12" customHeight="1">
      <c r="A298" s="6">
        <v>24319</v>
      </c>
      <c r="B298" s="6" t="s">
        <v>831</v>
      </c>
      <c r="C298" s="6" t="s">
        <v>440</v>
      </c>
      <c r="E298" s="6" t="s">
        <v>232</v>
      </c>
      <c r="F298" s="6">
        <v>19</v>
      </c>
      <c r="G298" s="6">
        <v>1946</v>
      </c>
      <c r="H298" s="6">
        <v>628</v>
      </c>
      <c r="I298" s="6">
        <v>0.90600000000000003</v>
      </c>
      <c r="J298" s="6">
        <v>31.154</v>
      </c>
      <c r="K298" s="6">
        <v>0</v>
      </c>
    </row>
    <row r="299" spans="1:11" ht="12" customHeight="1">
      <c r="A299" s="6">
        <v>18039</v>
      </c>
      <c r="B299" s="6" t="s">
        <v>832</v>
      </c>
      <c r="C299" s="6" t="s">
        <v>443</v>
      </c>
      <c r="D299" s="6" t="s">
        <v>316</v>
      </c>
      <c r="E299" s="6" t="s">
        <v>653</v>
      </c>
      <c r="F299" s="6">
        <v>77</v>
      </c>
      <c r="G299" s="6">
        <v>1978</v>
      </c>
      <c r="H299" s="6">
        <v>148</v>
      </c>
      <c r="I299" s="6">
        <v>18.625</v>
      </c>
      <c r="J299" s="6">
        <v>1380.9169999999999</v>
      </c>
      <c r="K299" s="6">
        <v>496</v>
      </c>
    </row>
    <row r="300" spans="1:11" ht="12" customHeight="1">
      <c r="A300" s="6">
        <v>10036</v>
      </c>
      <c r="B300" s="6" t="s">
        <v>832</v>
      </c>
      <c r="C300" s="6" t="s">
        <v>633</v>
      </c>
      <c r="D300" s="6" t="s">
        <v>316</v>
      </c>
      <c r="E300" s="6" t="s">
        <v>676</v>
      </c>
      <c r="F300" s="6">
        <v>68</v>
      </c>
      <c r="G300" s="6">
        <v>1983</v>
      </c>
      <c r="H300" s="6">
        <v>487</v>
      </c>
      <c r="I300" s="6">
        <v>2</v>
      </c>
      <c r="J300" s="6">
        <v>154.00800000000001</v>
      </c>
      <c r="K300" s="6">
        <v>57</v>
      </c>
    </row>
    <row r="301" spans="1:11" ht="12" customHeight="1">
      <c r="A301" s="6">
        <v>18044</v>
      </c>
      <c r="B301" s="6" t="s">
        <v>833</v>
      </c>
      <c r="C301" s="6" t="s">
        <v>834</v>
      </c>
      <c r="D301" s="6" t="s">
        <v>316</v>
      </c>
      <c r="E301" s="6" t="s">
        <v>163</v>
      </c>
      <c r="F301" s="6">
        <v>30</v>
      </c>
      <c r="G301" s="6">
        <v>1977</v>
      </c>
      <c r="H301" s="6">
        <v>735</v>
      </c>
      <c r="I301" s="6">
        <v>0</v>
      </c>
      <c r="J301" s="6">
        <v>0</v>
      </c>
      <c r="K301" s="6">
        <v>0</v>
      </c>
    </row>
    <row r="302" spans="1:11" ht="12" customHeight="1">
      <c r="A302" s="6">
        <v>19027</v>
      </c>
      <c r="B302" s="6" t="s">
        <v>835</v>
      </c>
      <c r="C302" s="6" t="s">
        <v>424</v>
      </c>
      <c r="E302" s="6" t="s">
        <v>425</v>
      </c>
      <c r="F302" s="6">
        <v>79</v>
      </c>
      <c r="G302" s="6">
        <v>1973</v>
      </c>
      <c r="H302" s="6">
        <v>736</v>
      </c>
      <c r="I302" s="6">
        <v>0</v>
      </c>
      <c r="J302" s="6">
        <v>0</v>
      </c>
      <c r="K302" s="6">
        <v>0</v>
      </c>
    </row>
    <row r="303" spans="1:11" ht="12" customHeight="1">
      <c r="A303" s="6">
        <v>19048</v>
      </c>
      <c r="B303" s="6" t="s">
        <v>836</v>
      </c>
      <c r="C303" s="6" t="s">
        <v>633</v>
      </c>
      <c r="D303" s="6" t="s">
        <v>451</v>
      </c>
      <c r="E303" s="6" t="s">
        <v>476</v>
      </c>
      <c r="F303" s="6">
        <v>2</v>
      </c>
      <c r="G303" s="6">
        <v>2011</v>
      </c>
      <c r="H303" s="6">
        <v>737</v>
      </c>
      <c r="I303" s="6">
        <v>0</v>
      </c>
      <c r="J303" s="6">
        <v>0</v>
      </c>
      <c r="K303" s="6">
        <v>0</v>
      </c>
    </row>
    <row r="304" spans="1:11" ht="12" customHeight="1">
      <c r="A304" s="6">
        <v>19049</v>
      </c>
      <c r="B304" s="6" t="s">
        <v>836</v>
      </c>
      <c r="C304" s="6" t="s">
        <v>837</v>
      </c>
      <c r="D304" s="6" t="s">
        <v>451</v>
      </c>
      <c r="E304" s="6" t="s">
        <v>476</v>
      </c>
      <c r="F304" s="6">
        <v>2</v>
      </c>
      <c r="G304" s="6">
        <v>2009</v>
      </c>
      <c r="H304" s="6">
        <v>738</v>
      </c>
      <c r="I304" s="6">
        <v>0</v>
      </c>
      <c r="J304" s="6">
        <v>0</v>
      </c>
      <c r="K304" s="6">
        <v>0</v>
      </c>
    </row>
    <row r="305" spans="1:11" ht="12" customHeight="1">
      <c r="A305" s="6">
        <v>14001</v>
      </c>
      <c r="B305" s="6" t="s">
        <v>838</v>
      </c>
      <c r="C305" s="6" t="s">
        <v>492</v>
      </c>
      <c r="E305" s="6" t="s">
        <v>151</v>
      </c>
      <c r="F305" s="6">
        <v>21</v>
      </c>
      <c r="G305" s="6">
        <v>2004</v>
      </c>
      <c r="H305" s="6">
        <v>431</v>
      </c>
      <c r="I305" s="6">
        <v>3.0550000000000002</v>
      </c>
      <c r="J305" s="6">
        <v>212.11</v>
      </c>
      <c r="K305" s="6">
        <v>77</v>
      </c>
    </row>
    <row r="306" spans="1:11" ht="12" customHeight="1">
      <c r="A306" s="6">
        <v>25046</v>
      </c>
      <c r="B306" s="6" t="s">
        <v>838</v>
      </c>
      <c r="C306" s="6" t="s">
        <v>482</v>
      </c>
      <c r="E306" s="6" t="s">
        <v>151</v>
      </c>
      <c r="F306" s="6">
        <v>21</v>
      </c>
      <c r="G306" s="6">
        <v>1977</v>
      </c>
      <c r="H306" s="6">
        <v>297</v>
      </c>
      <c r="I306" s="6">
        <v>5.6719999999999997</v>
      </c>
      <c r="J306" s="6">
        <v>513.29200000000003</v>
      </c>
      <c r="K306" s="6">
        <v>252</v>
      </c>
    </row>
    <row r="307" spans="1:11" ht="12" customHeight="1">
      <c r="A307" s="6">
        <v>96046</v>
      </c>
      <c r="B307" s="6" t="s">
        <v>838</v>
      </c>
      <c r="C307" s="6" t="s">
        <v>784</v>
      </c>
      <c r="E307" s="6" t="s">
        <v>151</v>
      </c>
      <c r="F307" s="6">
        <v>21</v>
      </c>
      <c r="G307" s="6">
        <v>1952</v>
      </c>
      <c r="H307" s="6">
        <v>739</v>
      </c>
      <c r="I307" s="6">
        <v>0</v>
      </c>
      <c r="J307" s="6">
        <v>0</v>
      </c>
      <c r="K307" s="6">
        <v>0</v>
      </c>
    </row>
    <row r="308" spans="1:11" ht="12" customHeight="1">
      <c r="A308" s="6">
        <v>11032</v>
      </c>
      <c r="B308" s="6" t="s">
        <v>839</v>
      </c>
      <c r="C308" s="6" t="s">
        <v>482</v>
      </c>
      <c r="E308" s="6" t="s">
        <v>151</v>
      </c>
      <c r="F308" s="6">
        <v>21</v>
      </c>
      <c r="G308" s="6">
        <v>1998</v>
      </c>
      <c r="H308" s="6">
        <v>409</v>
      </c>
      <c r="I308" s="6">
        <v>3.7650000000000001</v>
      </c>
      <c r="J308" s="6">
        <v>261.173</v>
      </c>
      <c r="K308" s="6">
        <v>102</v>
      </c>
    </row>
    <row r="309" spans="1:11" ht="12" customHeight="1">
      <c r="A309" s="6">
        <v>96045</v>
      </c>
      <c r="B309" s="6" t="s">
        <v>840</v>
      </c>
      <c r="C309" s="6" t="s">
        <v>482</v>
      </c>
      <c r="E309" s="6" t="s">
        <v>151</v>
      </c>
      <c r="F309" s="6">
        <v>21</v>
      </c>
      <c r="G309" s="6">
        <v>1958</v>
      </c>
      <c r="H309" s="6">
        <v>393</v>
      </c>
      <c r="I309" s="6">
        <v>4.3899999999999997</v>
      </c>
      <c r="J309" s="6">
        <v>285.81</v>
      </c>
      <c r="K309" s="6">
        <v>102</v>
      </c>
    </row>
    <row r="310" spans="1:11" ht="12" customHeight="1">
      <c r="A310" s="6">
        <v>12074</v>
      </c>
      <c r="B310" s="6" t="s">
        <v>841</v>
      </c>
      <c r="C310" s="6" t="s">
        <v>774</v>
      </c>
      <c r="D310" s="6" t="s">
        <v>316</v>
      </c>
      <c r="E310" s="6" t="s">
        <v>151</v>
      </c>
      <c r="F310" s="6">
        <v>21</v>
      </c>
      <c r="G310" s="6">
        <v>1974</v>
      </c>
      <c r="H310" s="6">
        <v>740</v>
      </c>
      <c r="I310" s="6">
        <v>0</v>
      </c>
      <c r="J310" s="6">
        <v>0</v>
      </c>
      <c r="K310" s="6">
        <v>0</v>
      </c>
    </row>
    <row r="311" spans="1:11" ht="12" customHeight="1">
      <c r="A311" s="6">
        <v>24278</v>
      </c>
      <c r="B311" s="6" t="s">
        <v>842</v>
      </c>
      <c r="C311" s="6" t="s">
        <v>418</v>
      </c>
      <c r="E311" s="6" t="s">
        <v>393</v>
      </c>
      <c r="F311" s="6">
        <v>52</v>
      </c>
      <c r="G311" s="6">
        <v>1988</v>
      </c>
      <c r="H311" s="6">
        <v>379</v>
      </c>
      <c r="I311" s="6">
        <v>5.5309999999999997</v>
      </c>
      <c r="J311" s="6">
        <v>313.68299999999999</v>
      </c>
      <c r="K311" s="6">
        <v>109</v>
      </c>
    </row>
    <row r="312" spans="1:11" ht="12" customHeight="1">
      <c r="A312" s="6">
        <v>24277</v>
      </c>
      <c r="B312" s="6" t="s">
        <v>842</v>
      </c>
      <c r="C312" s="6" t="s">
        <v>532</v>
      </c>
      <c r="E312" s="6" t="s">
        <v>393</v>
      </c>
      <c r="F312" s="6">
        <v>52</v>
      </c>
      <c r="G312" s="6">
        <v>1974</v>
      </c>
      <c r="H312" s="6">
        <v>211</v>
      </c>
      <c r="I312" s="6">
        <v>13.436999999999999</v>
      </c>
      <c r="J312" s="6">
        <v>983.93700000000001</v>
      </c>
      <c r="K312" s="6">
        <v>432</v>
      </c>
    </row>
    <row r="313" spans="1:11" ht="12" customHeight="1">
      <c r="A313" s="6">
        <v>23242</v>
      </c>
      <c r="B313" s="6" t="s">
        <v>843</v>
      </c>
      <c r="C313" s="6" t="s">
        <v>443</v>
      </c>
      <c r="D313" s="6" t="s">
        <v>316</v>
      </c>
      <c r="E313" s="6" t="s">
        <v>393</v>
      </c>
      <c r="F313" s="6">
        <v>52</v>
      </c>
      <c r="G313" s="6">
        <v>1950</v>
      </c>
      <c r="H313" s="6">
        <v>741</v>
      </c>
      <c r="I313" s="6">
        <v>0</v>
      </c>
      <c r="J313" s="6">
        <v>0</v>
      </c>
      <c r="K313" s="6">
        <v>0</v>
      </c>
    </row>
    <row r="314" spans="1:11" ht="12" customHeight="1">
      <c r="A314" s="6">
        <v>16038</v>
      </c>
      <c r="B314" s="6" t="s">
        <v>844</v>
      </c>
      <c r="C314" s="6" t="s">
        <v>455</v>
      </c>
      <c r="D314" s="6" t="s">
        <v>316</v>
      </c>
      <c r="E314" s="6" t="s">
        <v>456</v>
      </c>
      <c r="F314" s="6">
        <v>70</v>
      </c>
      <c r="G314" s="6">
        <v>1942</v>
      </c>
      <c r="H314" s="6">
        <v>742</v>
      </c>
      <c r="I314" s="6">
        <v>0</v>
      </c>
      <c r="J314" s="6">
        <v>0</v>
      </c>
      <c r="K314" s="6">
        <v>0</v>
      </c>
    </row>
    <row r="315" spans="1:11" ht="12" customHeight="1">
      <c r="A315" s="6">
        <v>22168</v>
      </c>
      <c r="B315" s="6" t="s">
        <v>845</v>
      </c>
      <c r="C315" s="6" t="s">
        <v>485</v>
      </c>
      <c r="D315" s="6" t="s">
        <v>316</v>
      </c>
      <c r="E315" s="6" t="s">
        <v>435</v>
      </c>
      <c r="F315" s="6">
        <v>93</v>
      </c>
      <c r="G315" s="6">
        <v>1961</v>
      </c>
      <c r="H315" s="6">
        <v>340</v>
      </c>
      <c r="I315" s="6">
        <v>9.36</v>
      </c>
      <c r="J315" s="6">
        <v>399.47699999999998</v>
      </c>
      <c r="K315" s="6">
        <v>55</v>
      </c>
    </row>
    <row r="316" spans="1:11" ht="12" customHeight="1">
      <c r="A316" s="6">
        <v>25011</v>
      </c>
      <c r="B316" s="6" t="s">
        <v>846</v>
      </c>
      <c r="C316" s="6" t="s">
        <v>441</v>
      </c>
      <c r="E316" s="6" t="s">
        <v>520</v>
      </c>
      <c r="F316" s="6">
        <v>55</v>
      </c>
      <c r="G316" s="6">
        <v>1963</v>
      </c>
      <c r="H316" s="6">
        <v>88</v>
      </c>
      <c r="I316" s="6">
        <v>21</v>
      </c>
      <c r="J316" s="6">
        <v>1954.05</v>
      </c>
      <c r="K316" s="6">
        <v>1073</v>
      </c>
    </row>
    <row r="317" spans="1:11" ht="12" customHeight="1">
      <c r="A317" s="6">
        <v>15077</v>
      </c>
      <c r="B317" s="6" t="s">
        <v>847</v>
      </c>
      <c r="C317" s="6" t="s">
        <v>834</v>
      </c>
      <c r="D317" s="6" t="s">
        <v>316</v>
      </c>
      <c r="E317" s="6" t="s">
        <v>556</v>
      </c>
      <c r="F317" s="6">
        <v>13</v>
      </c>
      <c r="G317" s="6">
        <v>1978</v>
      </c>
      <c r="H317" s="6">
        <v>743</v>
      </c>
      <c r="I317" s="6">
        <v>0</v>
      </c>
      <c r="J317" s="6">
        <v>0</v>
      </c>
      <c r="K317" s="6">
        <v>0</v>
      </c>
    </row>
    <row r="318" spans="1:11" ht="12" customHeight="1">
      <c r="A318" s="6">
        <v>16039</v>
      </c>
      <c r="B318" s="6" t="s">
        <v>848</v>
      </c>
      <c r="C318" s="6" t="s">
        <v>849</v>
      </c>
      <c r="D318" s="6" t="s">
        <v>316</v>
      </c>
      <c r="E318" s="6" t="s">
        <v>456</v>
      </c>
      <c r="F318" s="6">
        <v>70</v>
      </c>
      <c r="G318" s="6">
        <v>1934</v>
      </c>
      <c r="H318" s="6">
        <v>744</v>
      </c>
      <c r="I318" s="6">
        <v>0</v>
      </c>
      <c r="J318" s="6">
        <v>0</v>
      </c>
      <c r="K318" s="6">
        <v>0</v>
      </c>
    </row>
    <row r="319" spans="1:11" ht="12" customHeight="1">
      <c r="A319" s="6">
        <v>20533</v>
      </c>
      <c r="B319" s="6" t="s">
        <v>850</v>
      </c>
      <c r="C319" s="6" t="s">
        <v>478</v>
      </c>
      <c r="D319" s="6" t="s">
        <v>316</v>
      </c>
      <c r="E319" s="6" t="s">
        <v>572</v>
      </c>
      <c r="F319" s="6">
        <v>87</v>
      </c>
      <c r="G319" s="6">
        <v>1949</v>
      </c>
      <c r="H319" s="6">
        <v>223</v>
      </c>
      <c r="I319" s="6">
        <v>13.204000000000001</v>
      </c>
      <c r="J319" s="6">
        <v>884.41800000000001</v>
      </c>
      <c r="K319" s="6">
        <v>323</v>
      </c>
    </row>
    <row r="320" spans="1:11" ht="12" customHeight="1">
      <c r="A320" s="6">
        <v>98307</v>
      </c>
      <c r="B320" s="6" t="s">
        <v>851</v>
      </c>
      <c r="C320" s="6" t="s">
        <v>852</v>
      </c>
      <c r="E320" s="6" t="s">
        <v>163</v>
      </c>
      <c r="F320" s="6">
        <v>30</v>
      </c>
      <c r="G320" s="6">
        <v>1979</v>
      </c>
      <c r="H320" s="6">
        <v>142</v>
      </c>
      <c r="I320" s="6">
        <v>26.75</v>
      </c>
      <c r="J320" s="6">
        <v>1432.45</v>
      </c>
      <c r="K320" s="6">
        <v>444</v>
      </c>
    </row>
    <row r="321" spans="1:11" ht="12" customHeight="1">
      <c r="A321" s="6">
        <v>11011</v>
      </c>
      <c r="B321" s="6" t="s">
        <v>853</v>
      </c>
      <c r="C321" s="6" t="s">
        <v>422</v>
      </c>
      <c r="E321" s="6" t="s">
        <v>239</v>
      </c>
      <c r="F321" s="6">
        <v>14</v>
      </c>
      <c r="G321" s="6">
        <v>1984</v>
      </c>
      <c r="H321" s="6">
        <v>73</v>
      </c>
      <c r="I321" s="6">
        <v>28.5</v>
      </c>
      <c r="J321" s="6">
        <v>2127.924</v>
      </c>
      <c r="K321" s="6">
        <v>791</v>
      </c>
    </row>
    <row r="322" spans="1:11" ht="12" customHeight="1">
      <c r="A322" s="6">
        <v>19032</v>
      </c>
      <c r="B322" s="6" t="s">
        <v>854</v>
      </c>
      <c r="C322" s="6" t="s">
        <v>532</v>
      </c>
      <c r="E322" s="6" t="s">
        <v>169</v>
      </c>
      <c r="F322" s="6">
        <v>69</v>
      </c>
      <c r="G322" s="6">
        <v>1951</v>
      </c>
      <c r="H322" s="6">
        <v>363</v>
      </c>
      <c r="I322" s="6">
        <v>7.2519999999999998</v>
      </c>
      <c r="J322" s="6">
        <v>342.88099999999997</v>
      </c>
      <c r="K322" s="6">
        <v>119</v>
      </c>
    </row>
    <row r="323" spans="1:11" ht="12" customHeight="1">
      <c r="A323" s="6">
        <v>21769</v>
      </c>
      <c r="B323" s="6" t="s">
        <v>855</v>
      </c>
      <c r="C323" s="6" t="s">
        <v>638</v>
      </c>
      <c r="E323" s="6" t="s">
        <v>232</v>
      </c>
      <c r="F323" s="6">
        <v>19</v>
      </c>
      <c r="G323" s="6">
        <v>1986</v>
      </c>
      <c r="H323" s="6">
        <v>745</v>
      </c>
      <c r="I323" s="6">
        <v>0</v>
      </c>
      <c r="J323" s="6">
        <v>0</v>
      </c>
      <c r="K323" s="6">
        <v>0</v>
      </c>
    </row>
    <row r="324" spans="1:11" ht="12" customHeight="1">
      <c r="A324" s="6">
        <v>99590</v>
      </c>
      <c r="B324" s="6" t="s">
        <v>855</v>
      </c>
      <c r="C324" s="6" t="s">
        <v>563</v>
      </c>
      <c r="E324" s="6" t="s">
        <v>232</v>
      </c>
      <c r="F324" s="6">
        <v>19</v>
      </c>
      <c r="G324" s="6">
        <v>1961</v>
      </c>
      <c r="H324" s="6">
        <v>312</v>
      </c>
      <c r="I324" s="6">
        <v>9.7810000000000006</v>
      </c>
      <c r="J324" s="6">
        <v>480.73899999999998</v>
      </c>
      <c r="K324" s="6">
        <v>137</v>
      </c>
    </row>
    <row r="325" spans="1:11" ht="12" customHeight="1">
      <c r="A325" s="6">
        <v>11041</v>
      </c>
      <c r="B325" s="6" t="s">
        <v>856</v>
      </c>
      <c r="C325" s="6" t="s">
        <v>612</v>
      </c>
      <c r="D325" s="6" t="s">
        <v>316</v>
      </c>
      <c r="E325" s="6" t="s">
        <v>229</v>
      </c>
      <c r="F325" s="6">
        <v>1</v>
      </c>
      <c r="G325" s="6">
        <v>2002</v>
      </c>
      <c r="H325" s="6">
        <v>228</v>
      </c>
      <c r="I325" s="6">
        <v>11.462</v>
      </c>
      <c r="J325" s="6">
        <v>841.45699999999999</v>
      </c>
      <c r="K325" s="6">
        <v>315</v>
      </c>
    </row>
    <row r="326" spans="1:11" ht="12" customHeight="1">
      <c r="A326" s="6">
        <v>14103</v>
      </c>
      <c r="B326" s="6" t="s">
        <v>857</v>
      </c>
      <c r="C326" s="6" t="s">
        <v>427</v>
      </c>
      <c r="E326" s="6" t="s">
        <v>452</v>
      </c>
      <c r="F326" s="6">
        <v>74</v>
      </c>
      <c r="G326" s="6">
        <v>1958</v>
      </c>
      <c r="H326" s="6">
        <v>382</v>
      </c>
      <c r="I326" s="6">
        <v>3.766</v>
      </c>
      <c r="J326" s="6">
        <v>311.09699999999998</v>
      </c>
      <c r="K326" s="6">
        <v>126</v>
      </c>
    </row>
    <row r="327" spans="1:11" ht="12" customHeight="1">
      <c r="A327" s="6">
        <v>25087</v>
      </c>
      <c r="B327" s="6" t="s">
        <v>858</v>
      </c>
      <c r="C327" s="6" t="s">
        <v>627</v>
      </c>
      <c r="D327" s="6" t="s">
        <v>316</v>
      </c>
      <c r="E327" s="6" t="s">
        <v>235</v>
      </c>
      <c r="F327" s="6">
        <v>27</v>
      </c>
      <c r="G327" s="6">
        <v>1970</v>
      </c>
      <c r="H327" s="6">
        <v>418</v>
      </c>
      <c r="I327" s="6">
        <v>4.4690000000000003</v>
      </c>
      <c r="J327" s="6">
        <v>243.143</v>
      </c>
      <c r="K327" s="6">
        <v>79</v>
      </c>
    </row>
    <row r="328" spans="1:11" ht="12" customHeight="1">
      <c r="A328" s="6">
        <v>13029</v>
      </c>
      <c r="B328" s="6" t="s">
        <v>859</v>
      </c>
      <c r="C328" s="6" t="s">
        <v>427</v>
      </c>
      <c r="E328" s="6" t="s">
        <v>134</v>
      </c>
      <c r="F328" s="6">
        <v>64</v>
      </c>
      <c r="G328" s="6">
        <v>1961</v>
      </c>
      <c r="H328" s="6">
        <v>86</v>
      </c>
      <c r="I328" s="6">
        <v>25.5</v>
      </c>
      <c r="J328" s="6">
        <v>1995.3230000000001</v>
      </c>
      <c r="K328" s="6">
        <v>857</v>
      </c>
    </row>
    <row r="329" spans="1:11" ht="12" customHeight="1">
      <c r="A329" s="6">
        <v>22162</v>
      </c>
      <c r="B329" s="6" t="s">
        <v>860</v>
      </c>
      <c r="C329" s="6" t="s">
        <v>861</v>
      </c>
      <c r="D329" s="6" t="s">
        <v>434</v>
      </c>
      <c r="E329" s="6" t="s">
        <v>435</v>
      </c>
      <c r="F329" s="6">
        <v>93</v>
      </c>
      <c r="G329" s="6">
        <v>2006</v>
      </c>
      <c r="H329" s="6">
        <v>295</v>
      </c>
      <c r="I329" s="6">
        <v>10.220000000000001</v>
      </c>
      <c r="J329" s="6">
        <v>515.02599999999995</v>
      </c>
      <c r="K329" s="6">
        <v>108</v>
      </c>
    </row>
    <row r="330" spans="1:11" ht="12" customHeight="1">
      <c r="A330" s="6">
        <v>14010</v>
      </c>
      <c r="B330" s="6" t="s">
        <v>862</v>
      </c>
      <c r="C330" s="6" t="s">
        <v>480</v>
      </c>
      <c r="D330" s="6" t="s">
        <v>316</v>
      </c>
      <c r="E330" s="6" t="s">
        <v>476</v>
      </c>
      <c r="F330" s="6">
        <v>2</v>
      </c>
      <c r="G330" s="6">
        <v>1975</v>
      </c>
      <c r="H330" s="6">
        <v>476</v>
      </c>
      <c r="I330" s="6">
        <v>5.8129999999999997</v>
      </c>
      <c r="J330" s="6">
        <v>166.10499999999999</v>
      </c>
      <c r="K330" s="6">
        <v>0</v>
      </c>
    </row>
    <row r="331" spans="1:11" ht="12" customHeight="1">
      <c r="A331" s="6">
        <v>20608</v>
      </c>
      <c r="B331" s="6" t="s">
        <v>863</v>
      </c>
      <c r="C331" s="6" t="s">
        <v>532</v>
      </c>
      <c r="E331" s="6" t="s">
        <v>460</v>
      </c>
      <c r="F331" s="6">
        <v>95</v>
      </c>
      <c r="G331" s="6">
        <v>1958</v>
      </c>
      <c r="H331" s="6">
        <v>746</v>
      </c>
      <c r="I331" s="6">
        <v>0</v>
      </c>
      <c r="J331" s="6">
        <v>0</v>
      </c>
      <c r="K331" s="6">
        <v>0</v>
      </c>
    </row>
    <row r="332" spans="1:11" ht="12" customHeight="1">
      <c r="A332" s="6">
        <v>11038</v>
      </c>
      <c r="B332" s="6" t="s">
        <v>864</v>
      </c>
      <c r="C332" s="6" t="s">
        <v>543</v>
      </c>
      <c r="E332" s="6" t="s">
        <v>229</v>
      </c>
      <c r="F332" s="6">
        <v>1</v>
      </c>
      <c r="G332" s="6">
        <v>1979</v>
      </c>
      <c r="H332" s="6">
        <v>150</v>
      </c>
      <c r="I332" s="6">
        <v>20.344000000000001</v>
      </c>
      <c r="J332" s="6">
        <v>1374.623</v>
      </c>
      <c r="K332" s="6">
        <v>440</v>
      </c>
    </row>
    <row r="333" spans="1:11" ht="12" customHeight="1">
      <c r="A333" s="6">
        <v>28007</v>
      </c>
      <c r="B333" s="6" t="s">
        <v>865</v>
      </c>
      <c r="C333" s="6" t="s">
        <v>648</v>
      </c>
      <c r="E333" s="6" t="s">
        <v>239</v>
      </c>
      <c r="F333" s="6">
        <v>14</v>
      </c>
      <c r="G333" s="6">
        <v>1993</v>
      </c>
      <c r="H333" s="6">
        <v>190</v>
      </c>
      <c r="I333" s="6">
        <v>22.25</v>
      </c>
      <c r="J333" s="6">
        <v>1084.8620000000001</v>
      </c>
      <c r="K333" s="6">
        <v>150</v>
      </c>
    </row>
    <row r="334" spans="1:11" ht="12" customHeight="1">
      <c r="A334" s="6">
        <v>14023</v>
      </c>
      <c r="B334" s="6" t="s">
        <v>866</v>
      </c>
      <c r="C334" s="6" t="s">
        <v>532</v>
      </c>
      <c r="E334" s="6" t="s">
        <v>520</v>
      </c>
      <c r="F334" s="6">
        <v>55</v>
      </c>
      <c r="G334" s="6">
        <v>1960</v>
      </c>
      <c r="H334" s="6">
        <v>747</v>
      </c>
      <c r="I334" s="6">
        <v>0</v>
      </c>
      <c r="J334" s="6">
        <v>0</v>
      </c>
      <c r="K334" s="6">
        <v>0</v>
      </c>
    </row>
    <row r="335" spans="1:11" ht="12" customHeight="1">
      <c r="A335" s="6">
        <v>10139</v>
      </c>
      <c r="B335" s="6" t="s">
        <v>867</v>
      </c>
      <c r="C335" s="6" t="s">
        <v>482</v>
      </c>
      <c r="E335" s="6" t="s">
        <v>239</v>
      </c>
      <c r="F335" s="6">
        <v>14</v>
      </c>
      <c r="G335" s="6">
        <v>1946</v>
      </c>
      <c r="H335" s="6">
        <v>163</v>
      </c>
      <c r="I335" s="6">
        <v>27.625</v>
      </c>
      <c r="J335" s="6">
        <v>1297.9169999999999</v>
      </c>
      <c r="K335" s="6">
        <v>344</v>
      </c>
    </row>
    <row r="336" spans="1:11" ht="12" customHeight="1">
      <c r="A336" s="6">
        <v>17022</v>
      </c>
      <c r="B336" s="6" t="s">
        <v>868</v>
      </c>
      <c r="C336" s="6" t="s">
        <v>869</v>
      </c>
      <c r="D336" s="6" t="s">
        <v>316</v>
      </c>
      <c r="E336" s="6" t="s">
        <v>704</v>
      </c>
      <c r="F336" s="6">
        <v>45</v>
      </c>
      <c r="G336" s="6">
        <v>1969</v>
      </c>
      <c r="H336" s="6">
        <v>496</v>
      </c>
      <c r="I336" s="6">
        <v>3.3140000000000001</v>
      </c>
      <c r="J336" s="6">
        <v>142.17500000000001</v>
      </c>
      <c r="K336" s="6">
        <v>15</v>
      </c>
    </row>
    <row r="337" spans="1:11" ht="12" customHeight="1">
      <c r="A337" s="6">
        <v>27039</v>
      </c>
      <c r="B337" s="6" t="s">
        <v>870</v>
      </c>
      <c r="C337" s="6" t="s">
        <v>681</v>
      </c>
      <c r="E337" s="6" t="s">
        <v>232</v>
      </c>
      <c r="F337" s="6">
        <v>19</v>
      </c>
      <c r="G337" s="6">
        <v>1966</v>
      </c>
      <c r="H337" s="6">
        <v>1</v>
      </c>
      <c r="I337" s="6">
        <v>56.75</v>
      </c>
      <c r="J337" s="6">
        <v>4720.0609999999997</v>
      </c>
      <c r="K337" s="6">
        <v>1915</v>
      </c>
    </row>
    <row r="338" spans="1:11" ht="12" customHeight="1">
      <c r="A338" s="6">
        <v>21060</v>
      </c>
      <c r="B338" s="6" t="s">
        <v>871</v>
      </c>
      <c r="C338" s="6" t="s">
        <v>485</v>
      </c>
      <c r="D338" s="6" t="s">
        <v>316</v>
      </c>
      <c r="E338" s="6" t="s">
        <v>474</v>
      </c>
      <c r="F338" s="6">
        <v>96</v>
      </c>
      <c r="G338" s="6">
        <v>1975</v>
      </c>
      <c r="H338" s="6">
        <v>748</v>
      </c>
      <c r="I338" s="6">
        <v>0</v>
      </c>
      <c r="J338" s="6">
        <v>0</v>
      </c>
      <c r="K338" s="6">
        <v>0</v>
      </c>
    </row>
    <row r="339" spans="1:11" ht="12" customHeight="1">
      <c r="A339" s="6">
        <v>10080</v>
      </c>
      <c r="B339" s="6" t="s">
        <v>872</v>
      </c>
      <c r="C339" s="6" t="s">
        <v>873</v>
      </c>
      <c r="E339" s="6" t="s">
        <v>169</v>
      </c>
      <c r="F339" s="6">
        <v>69</v>
      </c>
      <c r="G339" s="6">
        <v>1960</v>
      </c>
      <c r="H339" s="6">
        <v>749</v>
      </c>
      <c r="I339" s="6">
        <v>0</v>
      </c>
      <c r="J339" s="6">
        <v>0</v>
      </c>
      <c r="K339" s="6">
        <v>0</v>
      </c>
    </row>
    <row r="340" spans="1:11" ht="12" customHeight="1">
      <c r="A340" s="6">
        <v>16029</v>
      </c>
      <c r="B340" s="6" t="s">
        <v>874</v>
      </c>
      <c r="C340" s="6" t="s">
        <v>824</v>
      </c>
      <c r="D340" s="6" t="s">
        <v>316</v>
      </c>
      <c r="E340" s="6" t="s">
        <v>425</v>
      </c>
      <c r="F340" s="6">
        <v>79</v>
      </c>
      <c r="G340" s="6">
        <v>1982</v>
      </c>
      <c r="H340" s="6">
        <v>56</v>
      </c>
      <c r="I340" s="6">
        <v>32.625</v>
      </c>
      <c r="J340" s="6">
        <v>2380.0740000000001</v>
      </c>
      <c r="K340" s="6">
        <v>944</v>
      </c>
    </row>
    <row r="341" spans="1:11" ht="12" customHeight="1">
      <c r="A341" s="6">
        <v>28034</v>
      </c>
      <c r="B341" s="6" t="s">
        <v>875</v>
      </c>
      <c r="C341" s="6" t="s">
        <v>876</v>
      </c>
      <c r="D341" s="6" t="s">
        <v>316</v>
      </c>
      <c r="E341" s="6" t="s">
        <v>704</v>
      </c>
      <c r="F341" s="6">
        <v>45</v>
      </c>
      <c r="G341" s="6">
        <v>1961</v>
      </c>
      <c r="H341" s="6">
        <v>498</v>
      </c>
      <c r="I341" s="6">
        <v>4.4390000000000001</v>
      </c>
      <c r="J341" s="6">
        <v>138.68199999999999</v>
      </c>
      <c r="K341" s="6">
        <v>0</v>
      </c>
    </row>
    <row r="342" spans="1:11" ht="12" customHeight="1">
      <c r="A342" s="6">
        <v>16119</v>
      </c>
      <c r="B342" s="6" t="s">
        <v>877</v>
      </c>
      <c r="C342" s="6" t="s">
        <v>878</v>
      </c>
      <c r="D342" s="6" t="s">
        <v>316</v>
      </c>
      <c r="E342" s="6" t="s">
        <v>425</v>
      </c>
      <c r="F342" s="6">
        <v>79</v>
      </c>
      <c r="G342" s="6">
        <v>1983</v>
      </c>
      <c r="H342" s="6">
        <v>750</v>
      </c>
      <c r="I342" s="6">
        <v>0</v>
      </c>
      <c r="J342" s="6">
        <v>0</v>
      </c>
      <c r="K342" s="6">
        <v>0</v>
      </c>
    </row>
    <row r="343" spans="1:11" ht="12" customHeight="1">
      <c r="A343" s="6">
        <v>20501</v>
      </c>
      <c r="B343" s="6" t="s">
        <v>879</v>
      </c>
      <c r="C343" s="6" t="s">
        <v>880</v>
      </c>
      <c r="D343" s="6" t="s">
        <v>316</v>
      </c>
      <c r="E343" s="6" t="s">
        <v>229</v>
      </c>
      <c r="F343" s="6">
        <v>1</v>
      </c>
      <c r="G343" s="6">
        <v>1949</v>
      </c>
      <c r="H343" s="6">
        <v>513</v>
      </c>
      <c r="I343" s="6">
        <v>3.048</v>
      </c>
      <c r="J343" s="6">
        <v>120.361</v>
      </c>
      <c r="K343" s="6">
        <v>0</v>
      </c>
    </row>
    <row r="344" spans="1:11" ht="12" customHeight="1">
      <c r="A344" s="6">
        <v>18047</v>
      </c>
      <c r="B344" s="6" t="s">
        <v>881</v>
      </c>
      <c r="C344" s="6" t="s">
        <v>882</v>
      </c>
      <c r="D344" s="6" t="s">
        <v>316</v>
      </c>
      <c r="E344" s="6" t="s">
        <v>169</v>
      </c>
      <c r="F344" s="6">
        <v>69</v>
      </c>
      <c r="G344" s="6">
        <v>1977</v>
      </c>
      <c r="H344" s="6">
        <v>261</v>
      </c>
      <c r="I344" s="6">
        <v>7.97</v>
      </c>
      <c r="J344" s="6">
        <v>659.95</v>
      </c>
      <c r="K344" s="6">
        <v>340</v>
      </c>
    </row>
    <row r="345" spans="1:11" ht="12" customHeight="1">
      <c r="A345" s="6">
        <v>22103</v>
      </c>
      <c r="B345" s="6" t="s">
        <v>883</v>
      </c>
      <c r="C345" s="6" t="s">
        <v>532</v>
      </c>
      <c r="E345" s="6" t="s">
        <v>151</v>
      </c>
      <c r="F345" s="6">
        <v>21</v>
      </c>
      <c r="G345" s="6">
        <v>1967</v>
      </c>
      <c r="H345" s="6">
        <v>751</v>
      </c>
      <c r="I345" s="6">
        <v>0</v>
      </c>
      <c r="J345" s="6">
        <v>0</v>
      </c>
      <c r="K345" s="6">
        <v>0</v>
      </c>
    </row>
    <row r="346" spans="1:11" ht="12" customHeight="1">
      <c r="A346" s="6">
        <v>14099</v>
      </c>
      <c r="B346" s="6" t="s">
        <v>884</v>
      </c>
      <c r="C346" s="6" t="s">
        <v>885</v>
      </c>
      <c r="E346" s="6" t="s">
        <v>425</v>
      </c>
      <c r="F346" s="6">
        <v>79</v>
      </c>
      <c r="G346" s="6">
        <v>1982</v>
      </c>
      <c r="H346" s="6">
        <v>51</v>
      </c>
      <c r="I346" s="6">
        <v>34.25</v>
      </c>
      <c r="J346" s="6">
        <v>2433.8960000000002</v>
      </c>
      <c r="K346" s="6">
        <v>896</v>
      </c>
    </row>
    <row r="347" spans="1:11" ht="12" customHeight="1">
      <c r="A347" s="6">
        <v>14026</v>
      </c>
      <c r="B347" s="6" t="s">
        <v>886</v>
      </c>
      <c r="C347" s="6" t="s">
        <v>524</v>
      </c>
      <c r="D347" s="6" t="s">
        <v>316</v>
      </c>
      <c r="E347" s="6" t="s">
        <v>318</v>
      </c>
      <c r="F347" s="6">
        <v>6</v>
      </c>
      <c r="G347" s="6">
        <v>1953</v>
      </c>
      <c r="H347" s="6">
        <v>477</v>
      </c>
      <c r="I347" s="6">
        <v>3.0950000000000002</v>
      </c>
      <c r="J347" s="6">
        <v>165.21899999999999</v>
      </c>
      <c r="K347" s="6">
        <v>43</v>
      </c>
    </row>
    <row r="348" spans="1:11" ht="12" customHeight="1">
      <c r="A348" s="6">
        <v>21058</v>
      </c>
      <c r="B348" s="6" t="s">
        <v>887</v>
      </c>
      <c r="C348" s="6" t="s">
        <v>514</v>
      </c>
      <c r="E348" s="6" t="s">
        <v>474</v>
      </c>
      <c r="F348" s="6">
        <v>96</v>
      </c>
      <c r="G348" s="6">
        <v>1970</v>
      </c>
      <c r="H348" s="6">
        <v>615</v>
      </c>
      <c r="I348" s="6">
        <v>1.25</v>
      </c>
      <c r="J348" s="6">
        <v>39.92</v>
      </c>
      <c r="K348" s="6">
        <v>0</v>
      </c>
    </row>
    <row r="349" spans="1:11" ht="12" customHeight="1">
      <c r="A349" s="6">
        <v>22133</v>
      </c>
      <c r="B349" s="6" t="s">
        <v>888</v>
      </c>
      <c r="C349" s="6" t="s">
        <v>514</v>
      </c>
      <c r="E349" s="6" t="s">
        <v>474</v>
      </c>
      <c r="F349" s="6">
        <v>96</v>
      </c>
      <c r="G349" s="6">
        <v>1942</v>
      </c>
      <c r="H349" s="6">
        <v>612</v>
      </c>
      <c r="I349" s="6">
        <v>1.3129999999999999</v>
      </c>
      <c r="J349" s="6">
        <v>41.136000000000003</v>
      </c>
      <c r="K349" s="6">
        <v>0</v>
      </c>
    </row>
    <row r="350" spans="1:11" ht="12" customHeight="1">
      <c r="A350" s="6">
        <v>21059</v>
      </c>
      <c r="B350" s="6" t="s">
        <v>889</v>
      </c>
      <c r="C350" s="6" t="s">
        <v>786</v>
      </c>
      <c r="D350" s="6" t="s">
        <v>316</v>
      </c>
      <c r="E350" s="6" t="s">
        <v>474</v>
      </c>
      <c r="F350" s="6">
        <v>96</v>
      </c>
      <c r="G350" s="6">
        <v>1969</v>
      </c>
      <c r="H350" s="6">
        <v>616</v>
      </c>
      <c r="I350" s="6">
        <v>1.25</v>
      </c>
      <c r="J350" s="6">
        <v>39.92</v>
      </c>
      <c r="K350" s="6">
        <v>0</v>
      </c>
    </row>
    <row r="351" spans="1:11" ht="12" customHeight="1">
      <c r="A351" s="6">
        <v>14077</v>
      </c>
      <c r="B351" s="6" t="s">
        <v>890</v>
      </c>
      <c r="C351" s="6" t="s">
        <v>467</v>
      </c>
      <c r="E351" s="6" t="s">
        <v>425</v>
      </c>
      <c r="F351" s="6">
        <v>79</v>
      </c>
      <c r="G351" s="6">
        <v>1989</v>
      </c>
      <c r="H351" s="6">
        <v>435</v>
      </c>
      <c r="I351" s="6">
        <v>2.25</v>
      </c>
      <c r="J351" s="6">
        <v>206.17500000000001</v>
      </c>
      <c r="K351" s="6">
        <v>106</v>
      </c>
    </row>
    <row r="352" spans="1:11" ht="12" customHeight="1">
      <c r="A352" s="6">
        <v>14076</v>
      </c>
      <c r="B352" s="6" t="s">
        <v>890</v>
      </c>
      <c r="C352" s="6" t="s">
        <v>441</v>
      </c>
      <c r="E352" s="6" t="s">
        <v>425</v>
      </c>
      <c r="F352" s="6">
        <v>79</v>
      </c>
      <c r="G352" s="6">
        <v>1985</v>
      </c>
      <c r="H352" s="6">
        <v>180</v>
      </c>
      <c r="I352" s="6">
        <v>14.97</v>
      </c>
      <c r="J352" s="6">
        <v>1154.029</v>
      </c>
      <c r="K352" s="6">
        <v>489</v>
      </c>
    </row>
    <row r="353" spans="1:11" ht="12" customHeight="1">
      <c r="A353" s="6">
        <v>19013</v>
      </c>
      <c r="B353" s="6" t="s">
        <v>891</v>
      </c>
      <c r="C353" s="6" t="s">
        <v>440</v>
      </c>
      <c r="E353" s="6" t="s">
        <v>299</v>
      </c>
      <c r="F353" s="6">
        <v>42</v>
      </c>
      <c r="G353" s="6">
        <v>1968</v>
      </c>
      <c r="H353" s="6">
        <v>197</v>
      </c>
      <c r="I353" s="6">
        <v>16.033000000000001</v>
      </c>
      <c r="J353" s="6">
        <v>1044.8499999999999</v>
      </c>
      <c r="K353" s="6">
        <v>331</v>
      </c>
    </row>
    <row r="354" spans="1:11" ht="12" customHeight="1">
      <c r="A354" s="6">
        <v>10038</v>
      </c>
      <c r="B354" s="6" t="s">
        <v>892</v>
      </c>
      <c r="C354" s="6" t="s">
        <v>609</v>
      </c>
      <c r="E354" s="6" t="s">
        <v>676</v>
      </c>
      <c r="F354" s="6">
        <v>68</v>
      </c>
      <c r="G354" s="6">
        <v>1976</v>
      </c>
      <c r="H354" s="6">
        <v>539</v>
      </c>
      <c r="I354" s="6">
        <v>0.93799999999999994</v>
      </c>
      <c r="J354" s="6">
        <v>100.959</v>
      </c>
      <c r="K354" s="6">
        <v>53</v>
      </c>
    </row>
    <row r="355" spans="1:11" ht="12" customHeight="1">
      <c r="A355" s="6">
        <v>20578</v>
      </c>
      <c r="B355" s="6" t="s">
        <v>893</v>
      </c>
      <c r="C355" s="6" t="s">
        <v>499</v>
      </c>
      <c r="E355" s="6" t="s">
        <v>199</v>
      </c>
      <c r="F355" s="6">
        <v>88</v>
      </c>
      <c r="G355" s="6">
        <v>1968</v>
      </c>
      <c r="H355" s="6">
        <v>230</v>
      </c>
      <c r="I355" s="6">
        <v>16.931000000000001</v>
      </c>
      <c r="J355" s="6">
        <v>827.74900000000002</v>
      </c>
      <c r="K355" s="6">
        <v>212</v>
      </c>
    </row>
    <row r="356" spans="1:11" ht="12" customHeight="1">
      <c r="A356" s="6">
        <v>17033</v>
      </c>
      <c r="B356" s="6" t="s">
        <v>894</v>
      </c>
      <c r="C356" s="6" t="s">
        <v>895</v>
      </c>
      <c r="D356" s="6" t="s">
        <v>434</v>
      </c>
      <c r="E356" s="6" t="s">
        <v>229</v>
      </c>
      <c r="F356" s="6">
        <v>1</v>
      </c>
      <c r="G356" s="6">
        <v>2009</v>
      </c>
      <c r="H356" s="6">
        <v>176</v>
      </c>
      <c r="I356" s="6">
        <v>15.593999999999999</v>
      </c>
      <c r="J356" s="6">
        <v>1177.443</v>
      </c>
      <c r="K356" s="6">
        <v>452</v>
      </c>
    </row>
    <row r="357" spans="1:11" ht="12" customHeight="1">
      <c r="A357" s="6">
        <v>17034</v>
      </c>
      <c r="B357" s="6" t="s">
        <v>896</v>
      </c>
      <c r="C357" s="6" t="s">
        <v>612</v>
      </c>
      <c r="D357" s="6" t="s">
        <v>316</v>
      </c>
      <c r="E357" s="6" t="s">
        <v>229</v>
      </c>
      <c r="F357" s="6">
        <v>1</v>
      </c>
      <c r="G357" s="6">
        <v>1981</v>
      </c>
      <c r="H357" s="6">
        <v>121</v>
      </c>
      <c r="I357" s="6">
        <v>19.376000000000001</v>
      </c>
      <c r="J357" s="6">
        <v>1616.7619999999999</v>
      </c>
      <c r="K357" s="6">
        <v>692</v>
      </c>
    </row>
    <row r="358" spans="1:11" ht="12" customHeight="1">
      <c r="A358" s="6">
        <v>23029</v>
      </c>
      <c r="B358" s="6" t="s">
        <v>897</v>
      </c>
      <c r="C358" s="6" t="s">
        <v>416</v>
      </c>
      <c r="E358" s="6" t="s">
        <v>239</v>
      </c>
      <c r="F358" s="6">
        <v>14</v>
      </c>
      <c r="G358" s="6">
        <v>1967</v>
      </c>
      <c r="H358" s="6">
        <v>274</v>
      </c>
      <c r="I358" s="6">
        <v>19</v>
      </c>
      <c r="J358" s="6">
        <v>609.78499999999997</v>
      </c>
      <c r="K358" s="6">
        <v>0</v>
      </c>
    </row>
    <row r="359" spans="1:11" ht="12" customHeight="1">
      <c r="A359" s="6">
        <v>21759</v>
      </c>
      <c r="B359" s="6" t="s">
        <v>898</v>
      </c>
      <c r="C359" s="6" t="s">
        <v>526</v>
      </c>
      <c r="E359" s="6" t="s">
        <v>439</v>
      </c>
      <c r="F359" s="6">
        <v>29</v>
      </c>
      <c r="G359" s="6">
        <v>1963</v>
      </c>
      <c r="H359" s="6">
        <v>577</v>
      </c>
      <c r="I359" s="6">
        <v>2</v>
      </c>
      <c r="J359" s="6">
        <v>64.953000000000003</v>
      </c>
      <c r="K359" s="6">
        <v>0</v>
      </c>
    </row>
    <row r="360" spans="1:11" ht="12" customHeight="1">
      <c r="A360" s="6">
        <v>16019</v>
      </c>
      <c r="B360" s="6" t="s">
        <v>899</v>
      </c>
      <c r="C360" s="6" t="s">
        <v>537</v>
      </c>
      <c r="D360" s="6" t="s">
        <v>316</v>
      </c>
      <c r="E360" s="6" t="s">
        <v>515</v>
      </c>
      <c r="F360" s="6">
        <v>28</v>
      </c>
      <c r="G360" s="6">
        <v>1954</v>
      </c>
      <c r="H360" s="6">
        <v>645</v>
      </c>
      <c r="I360" s="6">
        <v>0.438</v>
      </c>
      <c r="J360" s="6">
        <v>13.439</v>
      </c>
      <c r="K360" s="6">
        <v>0</v>
      </c>
    </row>
    <row r="361" spans="1:11" ht="12" customHeight="1">
      <c r="A361" s="6">
        <v>16079</v>
      </c>
      <c r="B361" s="6" t="s">
        <v>900</v>
      </c>
      <c r="C361" s="6" t="s">
        <v>901</v>
      </c>
      <c r="D361" s="6" t="s">
        <v>316</v>
      </c>
      <c r="E361" s="6" t="s">
        <v>572</v>
      </c>
      <c r="F361" s="6">
        <v>87</v>
      </c>
      <c r="G361" s="6">
        <v>1943</v>
      </c>
      <c r="H361" s="6">
        <v>250</v>
      </c>
      <c r="I361" s="6">
        <v>9.9380000000000006</v>
      </c>
      <c r="J361" s="6">
        <v>726.77300000000002</v>
      </c>
      <c r="K361" s="6">
        <v>302</v>
      </c>
    </row>
    <row r="362" spans="1:11" ht="12" customHeight="1">
      <c r="A362" s="6">
        <v>22143</v>
      </c>
      <c r="B362" s="6" t="s">
        <v>902</v>
      </c>
      <c r="C362" s="6" t="s">
        <v>592</v>
      </c>
      <c r="D362" s="6" t="s">
        <v>316</v>
      </c>
      <c r="E362" s="6" t="s">
        <v>797</v>
      </c>
      <c r="F362" s="6">
        <v>97</v>
      </c>
      <c r="G362" s="6">
        <v>1973</v>
      </c>
      <c r="H362" s="6">
        <v>373</v>
      </c>
      <c r="I362" s="6">
        <v>3.984</v>
      </c>
      <c r="J362" s="6">
        <v>327.495</v>
      </c>
      <c r="K362" s="6">
        <v>162</v>
      </c>
    </row>
    <row r="363" spans="1:11" ht="12" customHeight="1">
      <c r="A363" s="6">
        <v>22145</v>
      </c>
      <c r="B363" s="6" t="s">
        <v>903</v>
      </c>
      <c r="C363" s="6" t="s">
        <v>467</v>
      </c>
      <c r="E363" s="6" t="s">
        <v>797</v>
      </c>
      <c r="F363" s="6">
        <v>97</v>
      </c>
      <c r="G363" s="6">
        <v>1991</v>
      </c>
      <c r="H363" s="6">
        <v>752</v>
      </c>
      <c r="I363" s="6">
        <v>0</v>
      </c>
      <c r="J363" s="6">
        <v>0</v>
      </c>
      <c r="K363" s="6">
        <v>0</v>
      </c>
    </row>
    <row r="364" spans="1:11" ht="12" customHeight="1">
      <c r="A364" s="6">
        <v>22144</v>
      </c>
      <c r="B364" s="6" t="s">
        <v>903</v>
      </c>
      <c r="C364" s="6" t="s">
        <v>648</v>
      </c>
      <c r="E364" s="6" t="s">
        <v>797</v>
      </c>
      <c r="F364" s="6">
        <v>97</v>
      </c>
      <c r="G364" s="6">
        <v>1973</v>
      </c>
      <c r="H364" s="6">
        <v>333</v>
      </c>
      <c r="I364" s="6">
        <v>4.6879999999999997</v>
      </c>
      <c r="J364" s="6">
        <v>429.56799999999998</v>
      </c>
      <c r="K364" s="6">
        <v>231</v>
      </c>
    </row>
    <row r="365" spans="1:11" ht="12" customHeight="1">
      <c r="A365" s="6">
        <v>98312</v>
      </c>
      <c r="B365" s="6" t="s">
        <v>904</v>
      </c>
      <c r="C365" s="6" t="s">
        <v>905</v>
      </c>
      <c r="D365" s="6" t="s">
        <v>316</v>
      </c>
      <c r="E365" s="6" t="s">
        <v>141</v>
      </c>
      <c r="F365" s="6">
        <v>15</v>
      </c>
      <c r="G365" s="6">
        <v>1967</v>
      </c>
      <c r="H365" s="6">
        <v>501</v>
      </c>
      <c r="I365" s="6">
        <v>3.8130000000000002</v>
      </c>
      <c r="J365" s="6">
        <v>130.71</v>
      </c>
      <c r="K365" s="6">
        <v>0</v>
      </c>
    </row>
    <row r="366" spans="1:11" ht="12" customHeight="1">
      <c r="A366" s="6">
        <v>98488</v>
      </c>
      <c r="B366" s="6" t="s">
        <v>906</v>
      </c>
      <c r="C366" s="6" t="s">
        <v>907</v>
      </c>
      <c r="E366" s="6" t="s">
        <v>141</v>
      </c>
      <c r="F366" s="6">
        <v>15</v>
      </c>
      <c r="G366" s="6">
        <v>1988</v>
      </c>
      <c r="H366" s="6">
        <v>632</v>
      </c>
      <c r="I366" s="6">
        <v>1</v>
      </c>
      <c r="J366" s="6">
        <v>26.422000000000001</v>
      </c>
      <c r="K366" s="6">
        <v>0</v>
      </c>
    </row>
    <row r="367" spans="1:11" ht="12" customHeight="1">
      <c r="A367" s="6">
        <v>98311</v>
      </c>
      <c r="B367" s="6" t="s">
        <v>906</v>
      </c>
      <c r="C367" s="6" t="s">
        <v>532</v>
      </c>
      <c r="E367" s="6" t="s">
        <v>141</v>
      </c>
      <c r="F367" s="6">
        <v>15</v>
      </c>
      <c r="G367" s="6">
        <v>1965</v>
      </c>
      <c r="H367" s="6">
        <v>502</v>
      </c>
      <c r="I367" s="6">
        <v>3.8130000000000002</v>
      </c>
      <c r="J367" s="6">
        <v>130.71</v>
      </c>
      <c r="K367" s="6">
        <v>0</v>
      </c>
    </row>
    <row r="368" spans="1:11" ht="12" customHeight="1">
      <c r="A368" s="6">
        <v>12003</v>
      </c>
      <c r="B368" s="6" t="s">
        <v>908</v>
      </c>
      <c r="C368" s="6" t="s">
        <v>909</v>
      </c>
      <c r="E368" s="6" t="s">
        <v>515</v>
      </c>
      <c r="F368" s="6">
        <v>28</v>
      </c>
      <c r="G368" s="6">
        <v>1948</v>
      </c>
      <c r="H368" s="6">
        <v>598</v>
      </c>
      <c r="I368" s="6">
        <v>1.5</v>
      </c>
      <c r="J368" s="6">
        <v>49.271999999999998</v>
      </c>
      <c r="K368" s="6">
        <v>0</v>
      </c>
    </row>
    <row r="369" spans="1:11" ht="12" customHeight="1">
      <c r="A369" s="6">
        <v>21032</v>
      </c>
      <c r="B369" s="6" t="s">
        <v>910</v>
      </c>
      <c r="C369" s="6" t="s">
        <v>911</v>
      </c>
      <c r="D369" s="6" t="s">
        <v>316</v>
      </c>
      <c r="E369" s="6" t="s">
        <v>572</v>
      </c>
      <c r="F369" s="6">
        <v>87</v>
      </c>
      <c r="G369" s="6">
        <v>1948</v>
      </c>
      <c r="H369" s="6">
        <v>214</v>
      </c>
      <c r="I369" s="6">
        <v>17.5</v>
      </c>
      <c r="J369" s="6">
        <v>956.77800000000002</v>
      </c>
      <c r="K369" s="6">
        <v>303</v>
      </c>
    </row>
    <row r="370" spans="1:11" ht="12" customHeight="1">
      <c r="A370" s="6">
        <v>27025</v>
      </c>
      <c r="B370" s="6" t="s">
        <v>912</v>
      </c>
      <c r="C370" s="6" t="s">
        <v>576</v>
      </c>
      <c r="E370" s="6" t="s">
        <v>518</v>
      </c>
      <c r="F370" s="6">
        <v>44</v>
      </c>
      <c r="G370" s="6">
        <v>1985</v>
      </c>
      <c r="H370" s="6">
        <v>753</v>
      </c>
      <c r="I370" s="6">
        <v>0</v>
      </c>
      <c r="J370" s="6">
        <v>0</v>
      </c>
      <c r="K370" s="6">
        <v>0</v>
      </c>
    </row>
    <row r="371" spans="1:11" ht="12" customHeight="1">
      <c r="A371" s="6">
        <v>26075</v>
      </c>
      <c r="B371" s="6" t="s">
        <v>913</v>
      </c>
      <c r="C371" s="6" t="s">
        <v>576</v>
      </c>
      <c r="E371" s="6" t="s">
        <v>502</v>
      </c>
      <c r="F371" s="6">
        <v>24</v>
      </c>
      <c r="G371" s="6">
        <v>1985</v>
      </c>
      <c r="H371" s="6">
        <v>14</v>
      </c>
      <c r="I371" s="6">
        <v>43.75</v>
      </c>
      <c r="J371" s="6">
        <v>3512.922</v>
      </c>
      <c r="K371" s="6">
        <v>1460</v>
      </c>
    </row>
    <row r="372" spans="1:11" ht="12" customHeight="1">
      <c r="A372" s="6">
        <v>16106</v>
      </c>
      <c r="B372" s="6" t="s">
        <v>913</v>
      </c>
      <c r="C372" s="6" t="s">
        <v>914</v>
      </c>
      <c r="E372" s="6" t="s">
        <v>239</v>
      </c>
      <c r="F372" s="6">
        <v>14</v>
      </c>
      <c r="G372" s="6">
        <v>2004</v>
      </c>
      <c r="H372" s="6">
        <v>131</v>
      </c>
      <c r="I372" s="6">
        <v>29.501000000000001</v>
      </c>
      <c r="J372" s="6">
        <v>1562.625</v>
      </c>
      <c r="K372" s="6">
        <v>499</v>
      </c>
    </row>
    <row r="373" spans="1:11" ht="12" customHeight="1">
      <c r="A373" s="6">
        <v>97291</v>
      </c>
      <c r="B373" s="6" t="s">
        <v>915</v>
      </c>
      <c r="C373" s="6" t="s">
        <v>422</v>
      </c>
      <c r="E373" s="6" t="s">
        <v>318</v>
      </c>
      <c r="F373" s="6">
        <v>6</v>
      </c>
      <c r="G373" s="6">
        <v>1971</v>
      </c>
      <c r="H373" s="6">
        <v>754</v>
      </c>
      <c r="I373" s="6">
        <v>0</v>
      </c>
      <c r="J373" s="6">
        <v>0</v>
      </c>
      <c r="K373" s="6">
        <v>0</v>
      </c>
    </row>
    <row r="374" spans="1:11" ht="12" customHeight="1">
      <c r="A374" s="6">
        <v>22111</v>
      </c>
      <c r="B374" s="6" t="s">
        <v>916</v>
      </c>
      <c r="C374" s="6" t="s">
        <v>448</v>
      </c>
      <c r="E374" s="6" t="s">
        <v>625</v>
      </c>
      <c r="F374" s="6">
        <v>66</v>
      </c>
      <c r="G374" s="6">
        <v>1988</v>
      </c>
      <c r="H374" s="6">
        <v>117</v>
      </c>
      <c r="I374" s="6">
        <v>25.814</v>
      </c>
      <c r="J374" s="6">
        <v>1673.873</v>
      </c>
      <c r="K374" s="6">
        <v>621</v>
      </c>
    </row>
    <row r="375" spans="1:11" ht="12" customHeight="1">
      <c r="A375" s="6">
        <v>22991</v>
      </c>
      <c r="B375" s="6" t="s">
        <v>917</v>
      </c>
      <c r="C375" s="6" t="s">
        <v>482</v>
      </c>
      <c r="E375" s="6" t="s">
        <v>714</v>
      </c>
      <c r="F375" s="6">
        <v>85</v>
      </c>
      <c r="G375" s="6">
        <v>1991</v>
      </c>
      <c r="H375" s="6">
        <v>44</v>
      </c>
      <c r="I375" s="6">
        <v>29.312999999999999</v>
      </c>
      <c r="J375" s="6">
        <v>2562.3240000000001</v>
      </c>
      <c r="K375" s="6">
        <v>1137</v>
      </c>
    </row>
    <row r="376" spans="1:11" ht="12" customHeight="1">
      <c r="A376" s="6">
        <v>21912</v>
      </c>
      <c r="B376" s="6" t="s">
        <v>918</v>
      </c>
      <c r="C376" s="6" t="s">
        <v>482</v>
      </c>
      <c r="E376" s="6" t="s">
        <v>714</v>
      </c>
      <c r="F376" s="6">
        <v>85</v>
      </c>
      <c r="G376" s="6">
        <v>1956</v>
      </c>
      <c r="H376" s="6">
        <v>13</v>
      </c>
      <c r="I376" s="6">
        <v>43.25</v>
      </c>
      <c r="J376" s="6">
        <v>3570.19</v>
      </c>
      <c r="K376" s="6">
        <v>1567</v>
      </c>
    </row>
    <row r="377" spans="1:11" ht="12" customHeight="1">
      <c r="A377" s="6">
        <v>21913</v>
      </c>
      <c r="B377" s="6" t="s">
        <v>919</v>
      </c>
      <c r="C377" s="6" t="s">
        <v>485</v>
      </c>
      <c r="D377" s="6" t="s">
        <v>316</v>
      </c>
      <c r="E377" s="6" t="s">
        <v>714</v>
      </c>
      <c r="F377" s="6">
        <v>85</v>
      </c>
      <c r="G377" s="6">
        <v>1957</v>
      </c>
      <c r="H377" s="6">
        <v>43</v>
      </c>
      <c r="I377" s="6">
        <v>29.376000000000001</v>
      </c>
      <c r="J377" s="6">
        <v>2582.9369999999999</v>
      </c>
      <c r="K377" s="6">
        <v>1246</v>
      </c>
    </row>
    <row r="378" spans="1:11" ht="12" customHeight="1">
      <c r="A378" s="6">
        <v>18133</v>
      </c>
      <c r="B378" s="6" t="s">
        <v>919</v>
      </c>
      <c r="C378" s="6" t="s">
        <v>430</v>
      </c>
      <c r="D378" s="6" t="s">
        <v>316</v>
      </c>
      <c r="E378" s="6" t="s">
        <v>714</v>
      </c>
      <c r="F378" s="6">
        <v>85</v>
      </c>
      <c r="G378" s="6">
        <v>1992</v>
      </c>
      <c r="H378" s="6">
        <v>755</v>
      </c>
      <c r="I378" s="6">
        <v>0</v>
      </c>
      <c r="J378" s="6">
        <v>0</v>
      </c>
      <c r="K378" s="6">
        <v>0</v>
      </c>
    </row>
    <row r="379" spans="1:11" ht="12" customHeight="1">
      <c r="A379" s="6">
        <v>16062</v>
      </c>
      <c r="B379" s="6" t="s">
        <v>920</v>
      </c>
      <c r="C379" s="6" t="s">
        <v>624</v>
      </c>
      <c r="E379" s="6" t="s">
        <v>802</v>
      </c>
      <c r="F379" s="6">
        <v>83</v>
      </c>
      <c r="G379" s="6">
        <v>1967</v>
      </c>
      <c r="H379" s="6">
        <v>358</v>
      </c>
      <c r="I379" s="6">
        <v>2.867</v>
      </c>
      <c r="J379" s="6">
        <v>353.79500000000002</v>
      </c>
      <c r="K379" s="6">
        <v>204</v>
      </c>
    </row>
    <row r="380" spans="1:11" ht="12" customHeight="1">
      <c r="A380" s="6">
        <v>22121</v>
      </c>
      <c r="B380" s="6" t="s">
        <v>921</v>
      </c>
      <c r="C380" s="6" t="s">
        <v>429</v>
      </c>
      <c r="D380" s="6" t="s">
        <v>316</v>
      </c>
      <c r="E380" s="6" t="s">
        <v>199</v>
      </c>
      <c r="F380" s="6">
        <v>88</v>
      </c>
      <c r="G380" s="6">
        <v>1958</v>
      </c>
      <c r="H380" s="6">
        <v>407</v>
      </c>
      <c r="I380" s="6">
        <v>5.9690000000000003</v>
      </c>
      <c r="J380" s="6">
        <v>261.87400000000002</v>
      </c>
      <c r="K380" s="6">
        <v>42</v>
      </c>
    </row>
    <row r="381" spans="1:11" ht="12" customHeight="1">
      <c r="A381" s="6">
        <v>13077</v>
      </c>
      <c r="B381" s="6" t="s">
        <v>922</v>
      </c>
      <c r="C381" s="6" t="s">
        <v>532</v>
      </c>
      <c r="E381" s="6" t="s">
        <v>438</v>
      </c>
      <c r="F381" s="6">
        <v>51</v>
      </c>
      <c r="G381" s="6">
        <v>1951</v>
      </c>
      <c r="H381" s="6">
        <v>203</v>
      </c>
      <c r="I381" s="6">
        <v>20.032</v>
      </c>
      <c r="J381" s="6">
        <v>1002.901</v>
      </c>
      <c r="K381" s="6">
        <v>219</v>
      </c>
    </row>
    <row r="382" spans="1:11" ht="12" customHeight="1">
      <c r="A382" s="6">
        <v>21798</v>
      </c>
      <c r="B382" s="6" t="s">
        <v>923</v>
      </c>
      <c r="C382" s="6" t="s">
        <v>424</v>
      </c>
      <c r="E382" s="6" t="s">
        <v>163</v>
      </c>
      <c r="F382" s="6">
        <v>30</v>
      </c>
      <c r="G382" s="6">
        <v>1979</v>
      </c>
      <c r="H382" s="6">
        <v>756</v>
      </c>
      <c r="I382" s="6">
        <v>0</v>
      </c>
      <c r="J382" s="6">
        <v>0</v>
      </c>
      <c r="K382" s="6">
        <v>0</v>
      </c>
    </row>
    <row r="383" spans="1:11" ht="12" customHeight="1">
      <c r="A383" s="6">
        <v>23209</v>
      </c>
      <c r="B383" s="6" t="s">
        <v>924</v>
      </c>
      <c r="C383" s="6" t="s">
        <v>418</v>
      </c>
      <c r="D383" s="6" t="s">
        <v>434</v>
      </c>
      <c r="E383" s="6" t="s">
        <v>435</v>
      </c>
      <c r="F383" s="6">
        <v>93</v>
      </c>
      <c r="G383" s="6">
        <v>2007</v>
      </c>
      <c r="H383" s="6">
        <v>757</v>
      </c>
      <c r="I383" s="6">
        <v>0</v>
      </c>
      <c r="J383" s="6">
        <v>0</v>
      </c>
      <c r="K383" s="6">
        <v>0</v>
      </c>
    </row>
    <row r="384" spans="1:11" ht="12" customHeight="1">
      <c r="A384" s="6">
        <v>13078</v>
      </c>
      <c r="B384" s="6" t="s">
        <v>925</v>
      </c>
      <c r="C384" s="6" t="s">
        <v>592</v>
      </c>
      <c r="D384" s="6" t="s">
        <v>316</v>
      </c>
      <c r="E384" s="6" t="s">
        <v>438</v>
      </c>
      <c r="F384" s="6">
        <v>51</v>
      </c>
      <c r="G384" s="6">
        <v>1949</v>
      </c>
      <c r="H384" s="6">
        <v>204</v>
      </c>
      <c r="I384" s="6">
        <v>20.032</v>
      </c>
      <c r="J384" s="6">
        <v>1002.901</v>
      </c>
      <c r="K384" s="6">
        <v>219</v>
      </c>
    </row>
    <row r="385" spans="1:11" ht="12" customHeight="1">
      <c r="A385" s="6">
        <v>18056</v>
      </c>
      <c r="B385" s="6" t="s">
        <v>926</v>
      </c>
      <c r="C385" s="6" t="s">
        <v>869</v>
      </c>
      <c r="D385" s="6" t="s">
        <v>316</v>
      </c>
      <c r="E385" s="6" t="s">
        <v>425</v>
      </c>
      <c r="F385" s="6">
        <v>79</v>
      </c>
      <c r="G385" s="6">
        <v>1988</v>
      </c>
      <c r="H385" s="6">
        <v>758</v>
      </c>
      <c r="I385" s="6">
        <v>0</v>
      </c>
      <c r="J385" s="6">
        <v>0</v>
      </c>
      <c r="K385" s="6">
        <v>0</v>
      </c>
    </row>
    <row r="386" spans="1:11" ht="12" customHeight="1">
      <c r="A386" s="6">
        <v>18071</v>
      </c>
      <c r="B386" s="6" t="s">
        <v>927</v>
      </c>
      <c r="C386" s="6" t="s">
        <v>427</v>
      </c>
      <c r="E386" s="6" t="s">
        <v>199</v>
      </c>
      <c r="F386" s="6">
        <v>88</v>
      </c>
      <c r="G386" s="6">
        <v>1956</v>
      </c>
      <c r="H386" s="6">
        <v>346</v>
      </c>
      <c r="I386" s="6">
        <v>10.250999999999999</v>
      </c>
      <c r="J386" s="6">
        <v>384.57100000000003</v>
      </c>
      <c r="K386" s="6">
        <v>23</v>
      </c>
    </row>
    <row r="387" spans="1:11" ht="12" customHeight="1">
      <c r="A387" s="6">
        <v>12031</v>
      </c>
      <c r="B387" s="6" t="s">
        <v>928</v>
      </c>
      <c r="C387" s="6" t="s">
        <v>929</v>
      </c>
      <c r="D387" s="6" t="s">
        <v>316</v>
      </c>
      <c r="E387" s="6" t="s">
        <v>488</v>
      </c>
      <c r="F387" s="6">
        <v>73</v>
      </c>
      <c r="G387" s="6">
        <v>1940</v>
      </c>
      <c r="H387" s="6">
        <v>484</v>
      </c>
      <c r="I387" s="6">
        <v>2.8769999999999998</v>
      </c>
      <c r="J387" s="6">
        <v>155.68199999999999</v>
      </c>
      <c r="K387" s="6">
        <v>18</v>
      </c>
    </row>
    <row r="388" spans="1:11" ht="12" customHeight="1">
      <c r="A388" s="6">
        <v>18070</v>
      </c>
      <c r="B388" s="6" t="s">
        <v>928</v>
      </c>
      <c r="C388" s="6" t="s">
        <v>930</v>
      </c>
      <c r="D388" s="6" t="s">
        <v>316</v>
      </c>
      <c r="E388" s="6" t="s">
        <v>199</v>
      </c>
      <c r="F388" s="6">
        <v>88</v>
      </c>
      <c r="G388" s="6">
        <v>1957</v>
      </c>
      <c r="H388" s="6">
        <v>304</v>
      </c>
      <c r="I388" s="6">
        <v>13.22</v>
      </c>
      <c r="J388" s="6">
        <v>506.9</v>
      </c>
      <c r="K388" s="6">
        <v>48</v>
      </c>
    </row>
    <row r="389" spans="1:11" ht="12" customHeight="1">
      <c r="A389" s="6">
        <v>22150</v>
      </c>
      <c r="B389" s="6" t="s">
        <v>931</v>
      </c>
      <c r="C389" s="6" t="s">
        <v>422</v>
      </c>
      <c r="E389" s="6" t="s">
        <v>765</v>
      </c>
      <c r="F389" s="6">
        <v>98</v>
      </c>
      <c r="G389" s="6">
        <v>1979</v>
      </c>
      <c r="H389" s="6">
        <v>456</v>
      </c>
      <c r="I389" s="6">
        <v>5.5650000000000004</v>
      </c>
      <c r="J389" s="6">
        <v>180.411</v>
      </c>
      <c r="K389" s="6">
        <v>0</v>
      </c>
    </row>
    <row r="390" spans="1:11" ht="12" customHeight="1">
      <c r="A390" s="6">
        <v>22151</v>
      </c>
      <c r="B390" s="6" t="s">
        <v>932</v>
      </c>
      <c r="C390" s="6" t="s">
        <v>550</v>
      </c>
      <c r="D390" s="6" t="s">
        <v>316</v>
      </c>
      <c r="E390" s="6" t="s">
        <v>765</v>
      </c>
      <c r="F390" s="6">
        <v>98</v>
      </c>
      <c r="G390" s="6">
        <v>1976</v>
      </c>
      <c r="H390" s="6">
        <v>481</v>
      </c>
      <c r="I390" s="6">
        <v>4.9400000000000004</v>
      </c>
      <c r="J390" s="6">
        <v>159.35300000000001</v>
      </c>
      <c r="K390" s="6">
        <v>0</v>
      </c>
    </row>
    <row r="391" spans="1:11" ht="12" customHeight="1">
      <c r="A391" s="6">
        <v>26039</v>
      </c>
      <c r="B391" s="6" t="s">
        <v>933</v>
      </c>
      <c r="C391" s="6" t="s">
        <v>424</v>
      </c>
      <c r="E391" s="6" t="s">
        <v>515</v>
      </c>
      <c r="F391" s="6">
        <v>28</v>
      </c>
      <c r="G391" s="6">
        <v>1984</v>
      </c>
      <c r="H391" s="6">
        <v>759</v>
      </c>
      <c r="I391" s="6">
        <v>0</v>
      </c>
      <c r="J391" s="6">
        <v>0</v>
      </c>
      <c r="K391" s="6">
        <v>0</v>
      </c>
    </row>
    <row r="392" spans="1:11" ht="12" customHeight="1">
      <c r="A392" s="6">
        <v>22155</v>
      </c>
      <c r="B392" s="6" t="s">
        <v>934</v>
      </c>
      <c r="C392" s="6" t="s">
        <v>422</v>
      </c>
      <c r="E392" s="6" t="s">
        <v>572</v>
      </c>
      <c r="F392" s="6">
        <v>87</v>
      </c>
      <c r="G392" s="6">
        <v>1961</v>
      </c>
      <c r="H392" s="6">
        <v>760</v>
      </c>
      <c r="I392" s="6">
        <v>0</v>
      </c>
      <c r="J392" s="6">
        <v>0</v>
      </c>
      <c r="K392" s="6">
        <v>0</v>
      </c>
    </row>
    <row r="393" spans="1:11" ht="12" customHeight="1">
      <c r="A393" s="6">
        <v>21076</v>
      </c>
      <c r="B393" s="6" t="s">
        <v>935</v>
      </c>
      <c r="C393" s="6" t="s">
        <v>536</v>
      </c>
      <c r="D393" s="6" t="s">
        <v>316</v>
      </c>
      <c r="E393" s="6" t="s">
        <v>253</v>
      </c>
      <c r="F393" s="6">
        <v>86</v>
      </c>
      <c r="G393" s="6">
        <v>1997</v>
      </c>
      <c r="H393" s="6">
        <v>531</v>
      </c>
      <c r="I393" s="6">
        <v>2.75</v>
      </c>
      <c r="J393" s="6">
        <v>107.09099999999999</v>
      </c>
      <c r="K393" s="6">
        <v>0</v>
      </c>
    </row>
    <row r="394" spans="1:11" ht="12" customHeight="1">
      <c r="A394" s="6">
        <v>20517</v>
      </c>
      <c r="B394" s="6" t="s">
        <v>936</v>
      </c>
      <c r="C394" s="6" t="s">
        <v>648</v>
      </c>
      <c r="E394" s="6" t="s">
        <v>456</v>
      </c>
      <c r="F394" s="6">
        <v>70</v>
      </c>
      <c r="G394" s="6">
        <v>1943</v>
      </c>
      <c r="H394" s="6">
        <v>321</v>
      </c>
      <c r="I394" s="6">
        <v>6.1260000000000003</v>
      </c>
      <c r="J394" s="6">
        <v>453.27800000000002</v>
      </c>
      <c r="K394" s="6">
        <v>196</v>
      </c>
    </row>
    <row r="395" spans="1:11" ht="12" customHeight="1">
      <c r="A395" s="6">
        <v>15072</v>
      </c>
      <c r="B395" s="6" t="s">
        <v>937</v>
      </c>
      <c r="C395" s="6" t="s">
        <v>467</v>
      </c>
      <c r="D395" s="6" t="s">
        <v>434</v>
      </c>
      <c r="E395" s="6" t="s">
        <v>452</v>
      </c>
      <c r="F395" s="6">
        <v>74</v>
      </c>
      <c r="G395" s="6">
        <v>2006</v>
      </c>
      <c r="H395" s="6">
        <v>761</v>
      </c>
      <c r="I395" s="6">
        <v>0</v>
      </c>
      <c r="J395" s="6">
        <v>0</v>
      </c>
      <c r="K395" s="6">
        <v>0</v>
      </c>
    </row>
    <row r="396" spans="1:11" ht="12" customHeight="1">
      <c r="A396" s="6">
        <v>15045</v>
      </c>
      <c r="B396" s="6" t="s">
        <v>938</v>
      </c>
      <c r="C396" s="6" t="s">
        <v>627</v>
      </c>
      <c r="D396" s="6" t="s">
        <v>316</v>
      </c>
      <c r="E396" s="6" t="s">
        <v>456</v>
      </c>
      <c r="F396" s="6">
        <v>70</v>
      </c>
      <c r="G396" s="6">
        <v>1939</v>
      </c>
      <c r="H396" s="6">
        <v>762</v>
      </c>
      <c r="I396" s="6">
        <v>0</v>
      </c>
      <c r="J396" s="6">
        <v>0</v>
      </c>
      <c r="K396" s="6">
        <v>0</v>
      </c>
    </row>
    <row r="397" spans="1:11" ht="12" customHeight="1">
      <c r="A397" s="6">
        <v>19006</v>
      </c>
      <c r="B397" s="6" t="s">
        <v>939</v>
      </c>
      <c r="C397" s="6" t="s">
        <v>443</v>
      </c>
      <c r="D397" s="6" t="s">
        <v>316</v>
      </c>
      <c r="E397" s="6" t="s">
        <v>572</v>
      </c>
      <c r="F397" s="6">
        <v>87</v>
      </c>
      <c r="G397" s="6">
        <v>1941</v>
      </c>
      <c r="H397" s="6">
        <v>563</v>
      </c>
      <c r="I397" s="6">
        <v>0.96899999999999997</v>
      </c>
      <c r="J397" s="6">
        <v>78.944000000000003</v>
      </c>
      <c r="K397" s="6">
        <v>30</v>
      </c>
    </row>
    <row r="398" spans="1:11" ht="12" customHeight="1">
      <c r="A398" s="6">
        <v>18075</v>
      </c>
      <c r="B398" s="6" t="s">
        <v>940</v>
      </c>
      <c r="C398" s="6" t="s">
        <v>430</v>
      </c>
      <c r="D398" s="6" t="s">
        <v>316</v>
      </c>
      <c r="E398" s="6" t="s">
        <v>193</v>
      </c>
      <c r="F398" s="6">
        <v>89</v>
      </c>
      <c r="G398" s="6">
        <v>1997</v>
      </c>
      <c r="H398" s="6">
        <v>337</v>
      </c>
      <c r="I398" s="6">
        <v>7.75</v>
      </c>
      <c r="J398" s="6">
        <v>409.48399999999998</v>
      </c>
      <c r="K398" s="6">
        <v>121</v>
      </c>
    </row>
    <row r="399" spans="1:11" ht="12" customHeight="1">
      <c r="A399" s="6">
        <v>10082</v>
      </c>
      <c r="B399" s="6" t="s">
        <v>941</v>
      </c>
      <c r="C399" s="6" t="s">
        <v>543</v>
      </c>
      <c r="E399" s="6" t="s">
        <v>169</v>
      </c>
      <c r="F399" s="6">
        <v>69</v>
      </c>
      <c r="G399" s="6">
        <v>1961</v>
      </c>
      <c r="H399" s="6">
        <v>249</v>
      </c>
      <c r="I399" s="6">
        <v>12.343999999999999</v>
      </c>
      <c r="J399" s="6">
        <v>727.42200000000003</v>
      </c>
      <c r="K399" s="6">
        <v>287</v>
      </c>
    </row>
    <row r="400" spans="1:11" ht="12" customHeight="1">
      <c r="A400" s="6">
        <v>22122</v>
      </c>
      <c r="B400" s="6" t="s">
        <v>942</v>
      </c>
      <c r="C400" s="6" t="s">
        <v>768</v>
      </c>
      <c r="E400" s="6" t="s">
        <v>193</v>
      </c>
      <c r="F400" s="6">
        <v>89</v>
      </c>
      <c r="G400" s="6">
        <v>1988</v>
      </c>
      <c r="H400" s="6">
        <v>763</v>
      </c>
      <c r="I400" s="6">
        <v>0</v>
      </c>
      <c r="J400" s="6">
        <v>0</v>
      </c>
      <c r="K400" s="6">
        <v>0</v>
      </c>
    </row>
    <row r="401" spans="1:11" ht="12" customHeight="1">
      <c r="A401" s="6">
        <v>22979</v>
      </c>
      <c r="B401" s="6" t="s">
        <v>942</v>
      </c>
      <c r="C401" s="6" t="s">
        <v>943</v>
      </c>
      <c r="E401" s="6" t="s">
        <v>232</v>
      </c>
      <c r="F401" s="6">
        <v>19</v>
      </c>
      <c r="G401" s="6">
        <v>1977</v>
      </c>
      <c r="H401" s="6">
        <v>764</v>
      </c>
      <c r="I401" s="6">
        <v>0</v>
      </c>
      <c r="J401" s="6">
        <v>0</v>
      </c>
      <c r="K401" s="6">
        <v>0</v>
      </c>
    </row>
    <row r="402" spans="1:11" ht="12" customHeight="1">
      <c r="A402" s="6">
        <v>21066</v>
      </c>
      <c r="B402" s="6" t="s">
        <v>944</v>
      </c>
      <c r="C402" s="6" t="s">
        <v>945</v>
      </c>
      <c r="D402" s="6" t="s">
        <v>451</v>
      </c>
      <c r="E402" s="6" t="s">
        <v>193</v>
      </c>
      <c r="F402" s="6">
        <v>89</v>
      </c>
      <c r="G402" s="6">
        <v>2018</v>
      </c>
      <c r="H402" s="6">
        <v>765</v>
      </c>
      <c r="I402" s="6">
        <v>0</v>
      </c>
      <c r="J402" s="6">
        <v>0</v>
      </c>
      <c r="K402" s="6">
        <v>0</v>
      </c>
    </row>
    <row r="403" spans="1:11" ht="12" customHeight="1">
      <c r="A403" s="6">
        <v>12038</v>
      </c>
      <c r="B403" s="6" t="s">
        <v>946</v>
      </c>
      <c r="C403" s="6" t="s">
        <v>947</v>
      </c>
      <c r="E403" s="6" t="s">
        <v>488</v>
      </c>
      <c r="F403" s="6">
        <v>73</v>
      </c>
      <c r="G403" s="6">
        <v>1955</v>
      </c>
      <c r="H403" s="6">
        <v>53</v>
      </c>
      <c r="I403" s="6">
        <v>32.125</v>
      </c>
      <c r="J403" s="6">
        <v>2401.4119999999998</v>
      </c>
      <c r="K403" s="6">
        <v>1229</v>
      </c>
    </row>
    <row r="404" spans="1:11" ht="12" customHeight="1">
      <c r="A404" s="6">
        <v>12037</v>
      </c>
      <c r="B404" s="6" t="s">
        <v>948</v>
      </c>
      <c r="C404" s="6" t="s">
        <v>745</v>
      </c>
      <c r="D404" s="6" t="s">
        <v>316</v>
      </c>
      <c r="E404" s="6" t="s">
        <v>488</v>
      </c>
      <c r="F404" s="6">
        <v>73</v>
      </c>
      <c r="G404" s="6">
        <v>1951</v>
      </c>
      <c r="H404" s="6">
        <v>40</v>
      </c>
      <c r="I404" s="6">
        <v>37.125</v>
      </c>
      <c r="J404" s="6">
        <v>2672.66</v>
      </c>
      <c r="K404" s="6">
        <v>1342</v>
      </c>
    </row>
    <row r="405" spans="1:11" ht="12" customHeight="1">
      <c r="A405" s="6">
        <v>22117</v>
      </c>
      <c r="B405" s="6" t="s">
        <v>949</v>
      </c>
      <c r="C405" s="6" t="s">
        <v>482</v>
      </c>
      <c r="E405" s="6" t="s">
        <v>802</v>
      </c>
      <c r="F405" s="6">
        <v>83</v>
      </c>
      <c r="G405" s="6">
        <v>1974</v>
      </c>
      <c r="H405" s="6">
        <v>529</v>
      </c>
      <c r="I405" s="6">
        <v>2.2189999999999999</v>
      </c>
      <c r="J405" s="6">
        <v>108.428</v>
      </c>
      <c r="K405" s="6">
        <v>0</v>
      </c>
    </row>
    <row r="406" spans="1:11" ht="12" customHeight="1">
      <c r="A406" s="6">
        <v>16060</v>
      </c>
      <c r="B406" s="6" t="s">
        <v>949</v>
      </c>
      <c r="C406" s="6" t="s">
        <v>440</v>
      </c>
      <c r="E406" s="6" t="s">
        <v>802</v>
      </c>
      <c r="F406" s="6">
        <v>83</v>
      </c>
      <c r="G406" s="6">
        <v>1972</v>
      </c>
      <c r="H406" s="6">
        <v>267</v>
      </c>
      <c r="I406" s="6">
        <v>12.32</v>
      </c>
      <c r="J406" s="6">
        <v>638.255</v>
      </c>
      <c r="K406" s="6">
        <v>111</v>
      </c>
    </row>
    <row r="407" spans="1:11" ht="12" customHeight="1">
      <c r="A407" s="6">
        <v>23215</v>
      </c>
      <c r="B407" s="6" t="s">
        <v>950</v>
      </c>
      <c r="C407" s="6" t="s">
        <v>951</v>
      </c>
      <c r="D407" s="6" t="s">
        <v>316</v>
      </c>
      <c r="E407" s="6" t="s">
        <v>488</v>
      </c>
      <c r="F407" s="6">
        <v>73</v>
      </c>
      <c r="G407" s="6">
        <v>1956</v>
      </c>
      <c r="H407" s="6">
        <v>499</v>
      </c>
      <c r="I407" s="6">
        <v>2.9380000000000002</v>
      </c>
      <c r="J407" s="6">
        <v>137.196</v>
      </c>
      <c r="K407" s="6">
        <v>0</v>
      </c>
    </row>
    <row r="408" spans="1:11" ht="12" customHeight="1">
      <c r="A408" s="6">
        <v>29039</v>
      </c>
      <c r="B408" s="6" t="s">
        <v>952</v>
      </c>
      <c r="C408" s="6" t="s">
        <v>537</v>
      </c>
      <c r="D408" s="6" t="s">
        <v>316</v>
      </c>
      <c r="E408" s="6" t="s">
        <v>239</v>
      </c>
      <c r="F408" s="6">
        <v>14</v>
      </c>
      <c r="G408" s="6">
        <v>1956</v>
      </c>
      <c r="H408" s="6">
        <v>54</v>
      </c>
      <c r="I408" s="6">
        <v>34.000999999999998</v>
      </c>
      <c r="J408" s="6">
        <v>2396.9839999999999</v>
      </c>
      <c r="K408" s="6">
        <v>940</v>
      </c>
    </row>
    <row r="409" spans="1:11" ht="12" customHeight="1">
      <c r="A409" s="6">
        <v>16105</v>
      </c>
      <c r="B409" s="6" t="s">
        <v>953</v>
      </c>
      <c r="C409" s="6" t="s">
        <v>648</v>
      </c>
      <c r="E409" s="6" t="s">
        <v>239</v>
      </c>
      <c r="F409" s="6">
        <v>14</v>
      </c>
      <c r="G409" s="6">
        <v>1959</v>
      </c>
      <c r="H409" s="6">
        <v>103</v>
      </c>
      <c r="I409" s="6">
        <v>34</v>
      </c>
      <c r="J409" s="6">
        <v>1800.7950000000001</v>
      </c>
      <c r="K409" s="6">
        <v>603</v>
      </c>
    </row>
    <row r="410" spans="1:11" ht="12" customHeight="1">
      <c r="A410" s="6">
        <v>29040</v>
      </c>
      <c r="B410" s="6" t="s">
        <v>953</v>
      </c>
      <c r="C410" s="6" t="s">
        <v>440</v>
      </c>
      <c r="E410" s="6" t="s">
        <v>239</v>
      </c>
      <c r="F410" s="6">
        <v>14</v>
      </c>
      <c r="G410" s="6">
        <v>1961</v>
      </c>
      <c r="H410" s="6">
        <v>27</v>
      </c>
      <c r="I410" s="6">
        <v>40.438000000000002</v>
      </c>
      <c r="J410" s="6">
        <v>2958.0819999999999</v>
      </c>
      <c r="K410" s="6">
        <v>1177</v>
      </c>
    </row>
    <row r="411" spans="1:11" ht="12" customHeight="1">
      <c r="A411" s="6">
        <v>11045</v>
      </c>
      <c r="B411" s="6" t="s">
        <v>954</v>
      </c>
      <c r="C411" s="6" t="s">
        <v>482</v>
      </c>
      <c r="E411" s="6" t="s">
        <v>476</v>
      </c>
      <c r="F411" s="6">
        <v>2</v>
      </c>
      <c r="G411" s="6">
        <v>1954</v>
      </c>
      <c r="H411" s="6">
        <v>226</v>
      </c>
      <c r="I411" s="6">
        <v>14.72</v>
      </c>
      <c r="J411" s="6">
        <v>844.18399999999997</v>
      </c>
      <c r="K411" s="6">
        <v>239</v>
      </c>
    </row>
    <row r="412" spans="1:11" ht="12" customHeight="1">
      <c r="A412" s="6">
        <v>21776</v>
      </c>
      <c r="B412" s="6" t="s">
        <v>955</v>
      </c>
      <c r="C412" s="6" t="s">
        <v>702</v>
      </c>
      <c r="E412" s="6" t="s">
        <v>221</v>
      </c>
      <c r="F412" s="6">
        <v>17</v>
      </c>
      <c r="G412" s="6">
        <v>1971</v>
      </c>
      <c r="H412" s="6">
        <v>517</v>
      </c>
      <c r="I412" s="6">
        <v>3.75</v>
      </c>
      <c r="J412" s="6">
        <v>115.447</v>
      </c>
      <c r="K412" s="6">
        <v>0</v>
      </c>
    </row>
    <row r="413" spans="1:11" ht="12" customHeight="1">
      <c r="A413" s="6">
        <v>15013</v>
      </c>
      <c r="B413" s="6" t="s">
        <v>956</v>
      </c>
      <c r="C413" s="6" t="s">
        <v>957</v>
      </c>
      <c r="D413" s="6" t="s">
        <v>316</v>
      </c>
      <c r="E413" s="6" t="s">
        <v>221</v>
      </c>
      <c r="F413" s="6">
        <v>17</v>
      </c>
      <c r="G413" s="6">
        <v>1972</v>
      </c>
      <c r="H413" s="6">
        <v>593</v>
      </c>
      <c r="I413" s="6">
        <v>1.75</v>
      </c>
      <c r="J413" s="6">
        <v>52.829000000000001</v>
      </c>
      <c r="K413" s="6">
        <v>0</v>
      </c>
    </row>
    <row r="414" spans="1:11" ht="12" customHeight="1">
      <c r="A414" s="6">
        <v>15050</v>
      </c>
      <c r="B414" s="6" t="s">
        <v>958</v>
      </c>
      <c r="C414" s="6" t="s">
        <v>485</v>
      </c>
      <c r="D414" s="6" t="s">
        <v>316</v>
      </c>
      <c r="E414" s="6" t="s">
        <v>156</v>
      </c>
      <c r="F414" s="6">
        <v>33</v>
      </c>
      <c r="G414" s="6">
        <v>1949</v>
      </c>
      <c r="H414" s="6">
        <v>256</v>
      </c>
      <c r="I414" s="6">
        <v>16.440000000000001</v>
      </c>
      <c r="J414" s="6">
        <v>690.00099999999998</v>
      </c>
      <c r="K414" s="6">
        <v>121</v>
      </c>
    </row>
    <row r="415" spans="1:11" ht="12" customHeight="1">
      <c r="A415" s="6">
        <v>17006</v>
      </c>
      <c r="B415" s="6" t="s">
        <v>959</v>
      </c>
      <c r="C415" s="6" t="s">
        <v>492</v>
      </c>
      <c r="D415" s="6" t="s">
        <v>434</v>
      </c>
      <c r="E415" s="6" t="s">
        <v>714</v>
      </c>
      <c r="F415" s="6">
        <v>85</v>
      </c>
      <c r="G415" s="6">
        <v>2009</v>
      </c>
      <c r="H415" s="6">
        <v>768</v>
      </c>
      <c r="I415" s="6">
        <v>0</v>
      </c>
      <c r="J415" s="6">
        <v>0</v>
      </c>
      <c r="K415" s="6">
        <v>0</v>
      </c>
    </row>
    <row r="416" spans="1:11" ht="12" customHeight="1">
      <c r="A416" s="6">
        <v>17005</v>
      </c>
      <c r="B416" s="6" t="s">
        <v>959</v>
      </c>
      <c r="C416" s="6" t="s">
        <v>482</v>
      </c>
      <c r="D416" s="6" t="s">
        <v>434</v>
      </c>
      <c r="E416" s="6" t="s">
        <v>714</v>
      </c>
      <c r="F416" s="6">
        <v>85</v>
      </c>
      <c r="G416" s="6">
        <v>2008</v>
      </c>
      <c r="H416" s="6">
        <v>767</v>
      </c>
      <c r="I416" s="6">
        <v>0</v>
      </c>
      <c r="J416" s="6">
        <v>0</v>
      </c>
      <c r="K416" s="6">
        <v>0</v>
      </c>
    </row>
    <row r="417" spans="1:11" ht="12" customHeight="1">
      <c r="A417" s="6">
        <v>26043</v>
      </c>
      <c r="B417" s="6" t="s">
        <v>959</v>
      </c>
      <c r="C417" s="6" t="s">
        <v>532</v>
      </c>
      <c r="E417" s="6" t="s">
        <v>704</v>
      </c>
      <c r="F417" s="6">
        <v>45</v>
      </c>
      <c r="G417" s="6">
        <v>1969</v>
      </c>
      <c r="H417" s="6">
        <v>100</v>
      </c>
      <c r="I417" s="6">
        <v>29.22</v>
      </c>
      <c r="J417" s="6">
        <v>1810.867</v>
      </c>
      <c r="K417" s="6">
        <v>688</v>
      </c>
    </row>
    <row r="418" spans="1:11" ht="12" customHeight="1">
      <c r="A418" s="6">
        <v>17004</v>
      </c>
      <c r="B418" s="6" t="s">
        <v>959</v>
      </c>
      <c r="C418" s="6" t="s">
        <v>624</v>
      </c>
      <c r="D418" s="6" t="s">
        <v>434</v>
      </c>
      <c r="E418" s="6" t="s">
        <v>714</v>
      </c>
      <c r="F418" s="6">
        <v>85</v>
      </c>
      <c r="G418" s="6">
        <v>2006</v>
      </c>
      <c r="H418" s="6">
        <v>766</v>
      </c>
      <c r="I418" s="6">
        <v>0</v>
      </c>
      <c r="J418" s="6">
        <v>0</v>
      </c>
      <c r="K418" s="6">
        <v>0</v>
      </c>
    </row>
    <row r="419" spans="1:11" ht="12" customHeight="1">
      <c r="A419" s="6">
        <v>17003</v>
      </c>
      <c r="B419" s="6" t="s">
        <v>960</v>
      </c>
      <c r="C419" s="6" t="s">
        <v>485</v>
      </c>
      <c r="D419" s="6" t="s">
        <v>316</v>
      </c>
      <c r="E419" s="6" t="s">
        <v>714</v>
      </c>
      <c r="F419" s="6">
        <v>85</v>
      </c>
      <c r="G419" s="6">
        <v>1979</v>
      </c>
      <c r="H419" s="6">
        <v>769</v>
      </c>
      <c r="I419" s="6">
        <v>0</v>
      </c>
      <c r="J419" s="6">
        <v>0</v>
      </c>
      <c r="K419" s="6">
        <v>0</v>
      </c>
    </row>
    <row r="420" spans="1:11" ht="12" customHeight="1">
      <c r="A420" s="6">
        <v>20605</v>
      </c>
      <c r="B420" s="6" t="s">
        <v>961</v>
      </c>
      <c r="C420" s="6" t="s">
        <v>514</v>
      </c>
      <c r="E420" s="6" t="s">
        <v>460</v>
      </c>
      <c r="F420" s="6">
        <v>95</v>
      </c>
      <c r="G420" s="6">
        <v>1982</v>
      </c>
      <c r="H420" s="6">
        <v>614</v>
      </c>
      <c r="I420" s="6">
        <v>1.0309999999999999</v>
      </c>
      <c r="J420" s="6">
        <v>40.158999999999999</v>
      </c>
      <c r="K420" s="6">
        <v>0</v>
      </c>
    </row>
    <row r="421" spans="1:11" ht="12" customHeight="1">
      <c r="A421" s="6">
        <v>26025</v>
      </c>
      <c r="B421" s="6" t="s">
        <v>962</v>
      </c>
      <c r="C421" s="6" t="s">
        <v>455</v>
      </c>
      <c r="D421" s="6" t="s">
        <v>316</v>
      </c>
      <c r="E421" s="6" t="s">
        <v>144</v>
      </c>
      <c r="F421" s="6">
        <v>63</v>
      </c>
      <c r="G421" s="6">
        <v>1971</v>
      </c>
      <c r="H421" s="6">
        <v>770</v>
      </c>
      <c r="I421" s="6">
        <v>0</v>
      </c>
      <c r="J421" s="6">
        <v>0</v>
      </c>
      <c r="K421" s="6">
        <v>0</v>
      </c>
    </row>
    <row r="422" spans="1:11" ht="12" customHeight="1">
      <c r="A422" s="6">
        <v>24236</v>
      </c>
      <c r="B422" s="6" t="s">
        <v>963</v>
      </c>
      <c r="C422" s="6" t="s">
        <v>681</v>
      </c>
      <c r="E422" s="6" t="s">
        <v>232</v>
      </c>
      <c r="F422" s="6">
        <v>19</v>
      </c>
      <c r="G422" s="6">
        <v>1959</v>
      </c>
      <c r="H422" s="6">
        <v>338</v>
      </c>
      <c r="I422" s="6">
        <v>6.032</v>
      </c>
      <c r="J422" s="6">
        <v>407.59899999999999</v>
      </c>
      <c r="K422" s="6">
        <v>188</v>
      </c>
    </row>
    <row r="423" spans="1:11" ht="12" customHeight="1">
      <c r="A423" s="6">
        <v>20564</v>
      </c>
      <c r="B423" s="6" t="s">
        <v>964</v>
      </c>
      <c r="C423" s="6" t="s">
        <v>422</v>
      </c>
      <c r="E423" s="6" t="s">
        <v>425</v>
      </c>
      <c r="F423" s="6">
        <v>79</v>
      </c>
      <c r="G423" s="6">
        <v>1964</v>
      </c>
      <c r="H423" s="6">
        <v>512</v>
      </c>
      <c r="I423" s="6">
        <v>2.516</v>
      </c>
      <c r="J423" s="6">
        <v>122.035</v>
      </c>
      <c r="K423" s="6">
        <v>25</v>
      </c>
    </row>
    <row r="424" spans="1:11" ht="12" customHeight="1">
      <c r="A424" s="6">
        <v>17078</v>
      </c>
      <c r="B424" s="6" t="s">
        <v>965</v>
      </c>
      <c r="C424" s="6" t="s">
        <v>609</v>
      </c>
      <c r="E424" s="6" t="s">
        <v>253</v>
      </c>
      <c r="F424" s="6">
        <v>86</v>
      </c>
      <c r="G424" s="6">
        <v>1991</v>
      </c>
      <c r="H424" s="6">
        <v>556</v>
      </c>
      <c r="I424" s="6">
        <v>1.8129999999999999</v>
      </c>
      <c r="J424" s="6">
        <v>83.85</v>
      </c>
      <c r="K424" s="6">
        <v>0</v>
      </c>
    </row>
    <row r="425" spans="1:11" ht="12" customHeight="1">
      <c r="A425" s="6">
        <v>23220</v>
      </c>
      <c r="B425" s="6" t="s">
        <v>966</v>
      </c>
      <c r="C425" s="6" t="s">
        <v>427</v>
      </c>
      <c r="E425" s="6" t="s">
        <v>456</v>
      </c>
      <c r="F425" s="6">
        <v>70</v>
      </c>
      <c r="G425" s="6">
        <v>1938</v>
      </c>
      <c r="H425" s="6">
        <v>771</v>
      </c>
      <c r="I425" s="6">
        <v>0</v>
      </c>
      <c r="J425" s="6">
        <v>0</v>
      </c>
      <c r="K425" s="6">
        <v>0</v>
      </c>
    </row>
    <row r="426" spans="1:11" ht="12" customHeight="1">
      <c r="A426" s="6">
        <v>13018</v>
      </c>
      <c r="B426" s="6" t="s">
        <v>967</v>
      </c>
      <c r="C426" s="6" t="s">
        <v>492</v>
      </c>
      <c r="E426" s="6" t="s">
        <v>533</v>
      </c>
      <c r="F426" s="6">
        <v>75</v>
      </c>
      <c r="G426" s="6">
        <v>1965</v>
      </c>
      <c r="H426" s="6">
        <v>772</v>
      </c>
      <c r="I426" s="6">
        <v>0</v>
      </c>
      <c r="J426" s="6">
        <v>0</v>
      </c>
      <c r="K426" s="6">
        <v>0</v>
      </c>
    </row>
    <row r="427" spans="1:11" ht="12" customHeight="1">
      <c r="A427" s="6">
        <v>19029</v>
      </c>
      <c r="B427" s="6" t="s">
        <v>968</v>
      </c>
      <c r="C427" s="6" t="s">
        <v>822</v>
      </c>
      <c r="D427" s="6" t="s">
        <v>316</v>
      </c>
      <c r="E427" s="6" t="s">
        <v>235</v>
      </c>
      <c r="F427" s="6">
        <v>27</v>
      </c>
      <c r="G427" s="6">
        <v>1954</v>
      </c>
      <c r="H427" s="6">
        <v>303</v>
      </c>
      <c r="I427" s="6">
        <v>13.656000000000001</v>
      </c>
      <c r="J427" s="6">
        <v>509.976</v>
      </c>
      <c r="K427" s="6">
        <v>71</v>
      </c>
    </row>
    <row r="428" spans="1:11" ht="12" customHeight="1">
      <c r="A428" s="6">
        <v>23221</v>
      </c>
      <c r="B428" s="6" t="s">
        <v>969</v>
      </c>
      <c r="C428" s="6" t="s">
        <v>443</v>
      </c>
      <c r="D428" s="6" t="s">
        <v>316</v>
      </c>
      <c r="E428" s="6" t="s">
        <v>456</v>
      </c>
      <c r="F428" s="6">
        <v>70</v>
      </c>
      <c r="G428" s="6">
        <v>1946</v>
      </c>
      <c r="H428" s="6">
        <v>773</v>
      </c>
      <c r="I428" s="6">
        <v>0</v>
      </c>
      <c r="J428" s="6">
        <v>0</v>
      </c>
      <c r="K428" s="6">
        <v>0</v>
      </c>
    </row>
    <row r="429" spans="1:11" ht="12" customHeight="1">
      <c r="A429" s="6">
        <v>23231</v>
      </c>
      <c r="B429" s="6" t="s">
        <v>970</v>
      </c>
      <c r="C429" s="6" t="s">
        <v>441</v>
      </c>
      <c r="E429" s="6" t="s">
        <v>318</v>
      </c>
      <c r="F429" s="6">
        <v>6</v>
      </c>
      <c r="G429" s="6">
        <v>1990</v>
      </c>
      <c r="H429" s="6">
        <v>774</v>
      </c>
      <c r="I429" s="6">
        <v>0</v>
      </c>
      <c r="J429" s="6">
        <v>0</v>
      </c>
      <c r="K429" s="6">
        <v>0</v>
      </c>
    </row>
    <row r="430" spans="1:11" ht="12" customHeight="1">
      <c r="A430" s="6">
        <v>11006</v>
      </c>
      <c r="B430" s="6" t="s">
        <v>971</v>
      </c>
      <c r="C430" s="6" t="s">
        <v>437</v>
      </c>
      <c r="E430" s="6" t="s">
        <v>120</v>
      </c>
      <c r="F430" s="6">
        <v>54</v>
      </c>
      <c r="G430" s="6">
        <v>1957</v>
      </c>
      <c r="H430" s="6">
        <v>66</v>
      </c>
      <c r="I430" s="6">
        <v>25.75</v>
      </c>
      <c r="J430" s="6">
        <v>2174.087</v>
      </c>
      <c r="K430" s="6">
        <v>1091</v>
      </c>
    </row>
    <row r="431" spans="1:11" ht="12" customHeight="1">
      <c r="A431" s="6">
        <v>19039</v>
      </c>
      <c r="B431" s="6" t="s">
        <v>972</v>
      </c>
      <c r="C431" s="6" t="s">
        <v>532</v>
      </c>
      <c r="E431" s="6" t="s">
        <v>685</v>
      </c>
      <c r="F431" s="6">
        <v>82</v>
      </c>
      <c r="G431" s="6">
        <v>1974</v>
      </c>
      <c r="H431" s="6">
        <v>631</v>
      </c>
      <c r="I431" s="6">
        <v>1</v>
      </c>
      <c r="J431" s="6">
        <v>30.52</v>
      </c>
      <c r="K431" s="6">
        <v>0</v>
      </c>
    </row>
    <row r="432" spans="1:11" ht="12" customHeight="1">
      <c r="A432" s="6">
        <v>11047</v>
      </c>
      <c r="B432" s="6" t="s">
        <v>973</v>
      </c>
      <c r="C432" s="6" t="s">
        <v>441</v>
      </c>
      <c r="E432" s="6" t="s">
        <v>676</v>
      </c>
      <c r="F432" s="6">
        <v>68</v>
      </c>
      <c r="G432" s="6">
        <v>1979</v>
      </c>
      <c r="H432" s="6">
        <v>775</v>
      </c>
      <c r="I432" s="6">
        <v>0</v>
      </c>
      <c r="J432" s="6">
        <v>0</v>
      </c>
      <c r="K432" s="6">
        <v>0</v>
      </c>
    </row>
    <row r="433" spans="1:11" ht="12" customHeight="1">
      <c r="A433" s="6">
        <v>15086</v>
      </c>
      <c r="B433" s="6" t="s">
        <v>974</v>
      </c>
      <c r="C433" s="6" t="s">
        <v>445</v>
      </c>
      <c r="E433" s="6" t="s">
        <v>299</v>
      </c>
      <c r="F433" s="6">
        <v>42</v>
      </c>
      <c r="G433" s="6">
        <v>1951</v>
      </c>
      <c r="H433" s="6">
        <v>349</v>
      </c>
      <c r="I433" s="6">
        <v>5.97</v>
      </c>
      <c r="J433" s="6">
        <v>373.01499999999999</v>
      </c>
      <c r="K433" s="6">
        <v>90</v>
      </c>
    </row>
    <row r="434" spans="1:11" ht="12" customHeight="1">
      <c r="A434" s="6">
        <v>21072</v>
      </c>
      <c r="B434" s="6" t="s">
        <v>975</v>
      </c>
      <c r="C434" s="6" t="s">
        <v>976</v>
      </c>
      <c r="E434" s="6" t="s">
        <v>476</v>
      </c>
      <c r="F434" s="6">
        <v>2</v>
      </c>
      <c r="G434" s="6">
        <v>1983</v>
      </c>
      <c r="H434" s="6">
        <v>352</v>
      </c>
      <c r="I434" s="6">
        <v>9.0950000000000006</v>
      </c>
      <c r="J434" s="6">
        <v>367.03</v>
      </c>
      <c r="K434" s="6">
        <v>48</v>
      </c>
    </row>
    <row r="435" spans="1:11" ht="12" customHeight="1">
      <c r="A435" s="6">
        <v>27030</v>
      </c>
      <c r="B435" s="6" t="s">
        <v>977</v>
      </c>
      <c r="C435" s="6" t="s">
        <v>978</v>
      </c>
      <c r="D435" s="6" t="s">
        <v>316</v>
      </c>
      <c r="E435" s="6" t="s">
        <v>174</v>
      </c>
      <c r="F435" s="6">
        <v>56</v>
      </c>
      <c r="G435" s="6">
        <v>1962</v>
      </c>
      <c r="H435" s="6">
        <v>22</v>
      </c>
      <c r="I435" s="6">
        <v>40.375</v>
      </c>
      <c r="J435" s="6">
        <v>3058.8020000000001</v>
      </c>
      <c r="K435" s="6">
        <v>1418</v>
      </c>
    </row>
    <row r="436" spans="1:11" ht="12" customHeight="1">
      <c r="A436" s="6">
        <v>25061</v>
      </c>
      <c r="B436" s="6" t="s">
        <v>979</v>
      </c>
      <c r="C436" s="6" t="s">
        <v>441</v>
      </c>
      <c r="E436" s="6" t="s">
        <v>174</v>
      </c>
      <c r="F436" s="6">
        <v>56</v>
      </c>
      <c r="G436" s="6">
        <v>1988</v>
      </c>
      <c r="H436" s="6">
        <v>137</v>
      </c>
      <c r="I436" s="6">
        <v>24.015999999999998</v>
      </c>
      <c r="J436" s="6">
        <v>1485.1130000000001</v>
      </c>
      <c r="K436" s="6">
        <v>505</v>
      </c>
    </row>
    <row r="437" spans="1:11" ht="12" customHeight="1">
      <c r="A437" s="6">
        <v>27083</v>
      </c>
      <c r="B437" s="6" t="s">
        <v>980</v>
      </c>
      <c r="C437" s="6" t="s">
        <v>981</v>
      </c>
      <c r="E437" s="6" t="s">
        <v>502</v>
      </c>
      <c r="F437" s="6">
        <v>24</v>
      </c>
      <c r="G437" s="6">
        <v>1966</v>
      </c>
      <c r="H437" s="6">
        <v>777</v>
      </c>
      <c r="I437" s="6">
        <v>0</v>
      </c>
      <c r="J437" s="6">
        <v>0</v>
      </c>
      <c r="K437" s="6">
        <v>0</v>
      </c>
    </row>
    <row r="438" spans="1:11" ht="12" customHeight="1">
      <c r="A438" s="6">
        <v>17016</v>
      </c>
      <c r="B438" s="6" t="s">
        <v>980</v>
      </c>
      <c r="C438" s="6" t="s">
        <v>424</v>
      </c>
      <c r="E438" s="6" t="s">
        <v>163</v>
      </c>
      <c r="F438" s="6">
        <v>30</v>
      </c>
      <c r="G438" s="6">
        <v>1965</v>
      </c>
      <c r="H438" s="6">
        <v>776</v>
      </c>
      <c r="I438" s="6">
        <v>0</v>
      </c>
      <c r="J438" s="6">
        <v>0</v>
      </c>
      <c r="K438" s="6">
        <v>0</v>
      </c>
    </row>
    <row r="439" spans="1:11" ht="12" customHeight="1">
      <c r="A439" s="6">
        <v>17015</v>
      </c>
      <c r="B439" s="6" t="s">
        <v>982</v>
      </c>
      <c r="C439" s="6" t="s">
        <v>537</v>
      </c>
      <c r="D439" s="6" t="s">
        <v>316</v>
      </c>
      <c r="E439" s="6" t="s">
        <v>163</v>
      </c>
      <c r="F439" s="6">
        <v>30</v>
      </c>
      <c r="G439" s="6">
        <v>1965</v>
      </c>
      <c r="H439" s="6">
        <v>779</v>
      </c>
      <c r="I439" s="6">
        <v>0</v>
      </c>
      <c r="J439" s="6">
        <v>0</v>
      </c>
      <c r="K439" s="6">
        <v>0</v>
      </c>
    </row>
    <row r="440" spans="1:11" ht="12" customHeight="1">
      <c r="A440" s="6">
        <v>12025</v>
      </c>
      <c r="B440" s="6" t="s">
        <v>982</v>
      </c>
      <c r="C440" s="6" t="s">
        <v>480</v>
      </c>
      <c r="D440" s="6" t="s">
        <v>316</v>
      </c>
      <c r="E440" s="6" t="s">
        <v>456</v>
      </c>
      <c r="F440" s="6">
        <v>70</v>
      </c>
      <c r="G440" s="6">
        <v>1946</v>
      </c>
      <c r="H440" s="6">
        <v>778</v>
      </c>
      <c r="I440" s="6">
        <v>0</v>
      </c>
      <c r="J440" s="6">
        <v>0</v>
      </c>
      <c r="K440" s="6">
        <v>0</v>
      </c>
    </row>
    <row r="441" spans="1:11" ht="12" customHeight="1">
      <c r="A441" s="6">
        <v>18060</v>
      </c>
      <c r="B441" s="6" t="s">
        <v>983</v>
      </c>
      <c r="C441" s="6" t="s">
        <v>984</v>
      </c>
      <c r="E441" s="6" t="s">
        <v>685</v>
      </c>
      <c r="F441" s="6">
        <v>82</v>
      </c>
      <c r="G441" s="6">
        <v>1980</v>
      </c>
      <c r="H441" s="6">
        <v>195</v>
      </c>
      <c r="I441" s="6">
        <v>28</v>
      </c>
      <c r="J441" s="6">
        <v>1051.1300000000001</v>
      </c>
      <c r="K441" s="6">
        <v>114</v>
      </c>
    </row>
    <row r="442" spans="1:11" ht="12" customHeight="1">
      <c r="A442" s="6">
        <v>23241</v>
      </c>
      <c r="B442" s="6" t="s">
        <v>985</v>
      </c>
      <c r="C442" s="6" t="s">
        <v>422</v>
      </c>
      <c r="E442" s="6" t="s">
        <v>229</v>
      </c>
      <c r="F442" s="6">
        <v>1</v>
      </c>
      <c r="G442" s="6">
        <v>1963</v>
      </c>
      <c r="H442" s="6">
        <v>780</v>
      </c>
      <c r="I442" s="6">
        <v>0</v>
      </c>
      <c r="J442" s="6">
        <v>0</v>
      </c>
      <c r="K442" s="6">
        <v>0</v>
      </c>
    </row>
    <row r="443" spans="1:11" ht="12" customHeight="1">
      <c r="A443" s="6">
        <v>22980</v>
      </c>
      <c r="B443" s="6" t="s">
        <v>986</v>
      </c>
      <c r="C443" s="6" t="s">
        <v>422</v>
      </c>
      <c r="E443" s="6" t="s">
        <v>232</v>
      </c>
      <c r="F443" s="6">
        <v>19</v>
      </c>
      <c r="G443" s="6">
        <v>1972</v>
      </c>
      <c r="H443" s="6">
        <v>617</v>
      </c>
      <c r="I443" s="6">
        <v>1.125</v>
      </c>
      <c r="J443" s="6">
        <v>38.673999999999999</v>
      </c>
      <c r="K443" s="6">
        <v>0</v>
      </c>
    </row>
    <row r="444" spans="1:11" ht="12" customHeight="1">
      <c r="A444" s="6">
        <v>16151</v>
      </c>
      <c r="B444" s="6" t="s">
        <v>987</v>
      </c>
      <c r="C444" s="6" t="s">
        <v>492</v>
      </c>
      <c r="E444" s="6" t="s">
        <v>253</v>
      </c>
      <c r="F444" s="6">
        <v>86</v>
      </c>
      <c r="G444" s="6">
        <v>1991</v>
      </c>
      <c r="H444" s="6">
        <v>111</v>
      </c>
      <c r="I444" s="6">
        <v>18.408000000000001</v>
      </c>
      <c r="J444" s="6">
        <v>1739.076</v>
      </c>
      <c r="K444" s="6">
        <v>878</v>
      </c>
    </row>
    <row r="445" spans="1:11" ht="12" customHeight="1">
      <c r="A445" s="6">
        <v>20532</v>
      </c>
      <c r="B445" s="6" t="s">
        <v>988</v>
      </c>
      <c r="C445" s="6" t="s">
        <v>989</v>
      </c>
      <c r="E445" s="6" t="s">
        <v>438</v>
      </c>
      <c r="F445" s="6">
        <v>51</v>
      </c>
      <c r="G445" s="6">
        <v>1951</v>
      </c>
      <c r="H445" s="6">
        <v>185</v>
      </c>
      <c r="I445" s="6">
        <v>20.689</v>
      </c>
      <c r="J445" s="6">
        <v>1116.0719999999999</v>
      </c>
      <c r="K445" s="6">
        <v>407</v>
      </c>
    </row>
    <row r="446" spans="1:11" ht="12" customHeight="1">
      <c r="A446" s="6">
        <v>19043</v>
      </c>
      <c r="B446" s="6" t="s">
        <v>990</v>
      </c>
      <c r="C446" s="6" t="s">
        <v>427</v>
      </c>
      <c r="D446" s="6" t="s">
        <v>434</v>
      </c>
      <c r="E446" s="6" t="s">
        <v>229</v>
      </c>
      <c r="F446" s="6">
        <v>1</v>
      </c>
      <c r="G446" s="6">
        <v>2006</v>
      </c>
      <c r="H446" s="6">
        <v>573</v>
      </c>
      <c r="I446" s="6">
        <v>2</v>
      </c>
      <c r="J446" s="6">
        <v>66.736000000000004</v>
      </c>
      <c r="K446" s="6">
        <v>0</v>
      </c>
    </row>
    <row r="447" spans="1:11" ht="12" customHeight="1">
      <c r="A447" s="6">
        <v>99540</v>
      </c>
      <c r="B447" s="6" t="s">
        <v>991</v>
      </c>
      <c r="C447" s="6" t="s">
        <v>826</v>
      </c>
      <c r="E447" s="6" t="s">
        <v>120</v>
      </c>
      <c r="F447" s="6">
        <v>54</v>
      </c>
      <c r="G447" s="6">
        <v>1974</v>
      </c>
      <c r="H447" s="6">
        <v>457</v>
      </c>
      <c r="I447" s="6">
        <v>2.391</v>
      </c>
      <c r="J447" s="6">
        <v>179.67</v>
      </c>
      <c r="K447" s="6">
        <v>70</v>
      </c>
    </row>
    <row r="448" spans="1:11" ht="12" customHeight="1">
      <c r="A448" s="6">
        <v>99539</v>
      </c>
      <c r="B448" s="6" t="s">
        <v>992</v>
      </c>
      <c r="C448" s="6" t="s">
        <v>437</v>
      </c>
      <c r="E448" s="6" t="s">
        <v>120</v>
      </c>
      <c r="F448" s="6">
        <v>54</v>
      </c>
      <c r="G448" s="6">
        <v>1974</v>
      </c>
      <c r="H448" s="6">
        <v>381</v>
      </c>
      <c r="I448" s="6">
        <v>3.5</v>
      </c>
      <c r="J448" s="6">
        <v>312.68599999999998</v>
      </c>
      <c r="K448" s="6">
        <v>142</v>
      </c>
    </row>
    <row r="449" spans="1:11" ht="12" customHeight="1">
      <c r="A449" s="6">
        <v>20730</v>
      </c>
      <c r="B449" s="6" t="s">
        <v>993</v>
      </c>
      <c r="C449" s="6" t="s">
        <v>437</v>
      </c>
      <c r="E449" s="6" t="s">
        <v>120</v>
      </c>
      <c r="F449" s="6">
        <v>54</v>
      </c>
      <c r="G449" s="6">
        <v>1952</v>
      </c>
      <c r="H449" s="6">
        <v>781</v>
      </c>
      <c r="I449" s="6">
        <v>0</v>
      </c>
      <c r="J449" s="6">
        <v>0</v>
      </c>
      <c r="K449" s="6">
        <v>0</v>
      </c>
    </row>
    <row r="450" spans="1:11" ht="12" customHeight="1">
      <c r="A450" s="6">
        <v>19052</v>
      </c>
      <c r="B450" s="6" t="s">
        <v>994</v>
      </c>
      <c r="C450" s="6" t="s">
        <v>550</v>
      </c>
      <c r="D450" s="6" t="s">
        <v>316</v>
      </c>
      <c r="E450" s="6" t="s">
        <v>186</v>
      </c>
      <c r="F450" s="6">
        <v>91</v>
      </c>
      <c r="G450" s="6">
        <v>1955</v>
      </c>
      <c r="H450" s="6">
        <v>523</v>
      </c>
      <c r="I450" s="6">
        <v>4.0309999999999997</v>
      </c>
      <c r="J450" s="6">
        <v>112.80200000000001</v>
      </c>
      <c r="K450" s="6">
        <v>0</v>
      </c>
    </row>
    <row r="451" spans="1:11" ht="12" customHeight="1">
      <c r="A451" s="6">
        <v>96216</v>
      </c>
      <c r="B451" s="6" t="s">
        <v>995</v>
      </c>
      <c r="C451" s="6" t="s">
        <v>996</v>
      </c>
      <c r="E451" s="6" t="s">
        <v>130</v>
      </c>
      <c r="F451" s="6">
        <v>5</v>
      </c>
      <c r="G451" s="6">
        <v>1951</v>
      </c>
      <c r="H451" s="6">
        <v>570</v>
      </c>
      <c r="I451" s="6">
        <v>1.5629999999999999</v>
      </c>
      <c r="J451" s="6">
        <v>75.138000000000005</v>
      </c>
      <c r="K451" s="6">
        <v>0</v>
      </c>
    </row>
    <row r="452" spans="1:11" ht="12" customHeight="1">
      <c r="A452" s="6">
        <v>16030</v>
      </c>
      <c r="B452" s="6" t="s">
        <v>997</v>
      </c>
      <c r="C452" s="6" t="s">
        <v>998</v>
      </c>
      <c r="E452" s="6" t="s">
        <v>151</v>
      </c>
      <c r="F452" s="6">
        <v>21</v>
      </c>
      <c r="G452" s="6">
        <v>1941</v>
      </c>
      <c r="H452" s="6">
        <v>782</v>
      </c>
      <c r="I452" s="6">
        <v>0</v>
      </c>
      <c r="J452" s="6">
        <v>0</v>
      </c>
      <c r="K452" s="6">
        <v>0</v>
      </c>
    </row>
    <row r="453" spans="1:11" ht="12" customHeight="1">
      <c r="A453" s="6">
        <v>17007</v>
      </c>
      <c r="B453" s="6" t="s">
        <v>999</v>
      </c>
      <c r="C453" s="6" t="s">
        <v>422</v>
      </c>
      <c r="E453" s="6" t="s">
        <v>714</v>
      </c>
      <c r="F453" s="6">
        <v>85</v>
      </c>
      <c r="G453" s="6">
        <v>1952</v>
      </c>
      <c r="H453" s="6">
        <v>783</v>
      </c>
      <c r="I453" s="6">
        <v>0</v>
      </c>
      <c r="J453" s="6">
        <v>0</v>
      </c>
      <c r="K453" s="6">
        <v>0</v>
      </c>
    </row>
    <row r="454" spans="1:11" ht="12" customHeight="1">
      <c r="A454" s="6">
        <v>21040</v>
      </c>
      <c r="B454" s="6" t="s">
        <v>1000</v>
      </c>
      <c r="C454" s="6" t="s">
        <v>1001</v>
      </c>
      <c r="E454" s="6" t="s">
        <v>721</v>
      </c>
      <c r="F454" s="6">
        <v>90</v>
      </c>
      <c r="G454" s="6">
        <v>1979</v>
      </c>
      <c r="H454" s="6">
        <v>194</v>
      </c>
      <c r="I454" s="6">
        <v>18.062999999999999</v>
      </c>
      <c r="J454" s="6">
        <v>1054.431</v>
      </c>
      <c r="K454" s="6">
        <v>238</v>
      </c>
    </row>
    <row r="455" spans="1:11" ht="12" customHeight="1">
      <c r="A455" s="6">
        <v>20601</v>
      </c>
      <c r="B455" s="6" t="s">
        <v>1002</v>
      </c>
      <c r="C455" s="6" t="s">
        <v>1003</v>
      </c>
      <c r="E455" s="6" t="s">
        <v>460</v>
      </c>
      <c r="F455" s="6">
        <v>95</v>
      </c>
      <c r="G455" s="6">
        <v>1977</v>
      </c>
      <c r="H455" s="6">
        <v>460</v>
      </c>
      <c r="I455" s="6">
        <v>4.8760000000000003</v>
      </c>
      <c r="J455" s="6">
        <v>176.53100000000001</v>
      </c>
      <c r="K455" s="6">
        <v>0</v>
      </c>
    </row>
    <row r="456" spans="1:11" ht="12" customHeight="1">
      <c r="A456" s="6">
        <v>17057</v>
      </c>
      <c r="B456" s="6" t="s">
        <v>1004</v>
      </c>
      <c r="C456" s="6" t="s">
        <v>638</v>
      </c>
      <c r="E456" s="6" t="s">
        <v>253</v>
      </c>
      <c r="F456" s="6">
        <v>86</v>
      </c>
      <c r="G456" s="6">
        <v>2000</v>
      </c>
      <c r="H456" s="6">
        <v>350</v>
      </c>
      <c r="I456" s="6">
        <v>4.1180000000000003</v>
      </c>
      <c r="J456" s="6">
        <v>369.39699999999999</v>
      </c>
      <c r="K456" s="6">
        <v>176</v>
      </c>
    </row>
    <row r="457" spans="1:11" ht="12" customHeight="1">
      <c r="A457" s="6">
        <v>20587</v>
      </c>
      <c r="B457" s="6" t="s">
        <v>1005</v>
      </c>
      <c r="C457" s="6" t="s">
        <v>586</v>
      </c>
      <c r="D457" s="6" t="s">
        <v>434</v>
      </c>
      <c r="E457" s="6" t="s">
        <v>460</v>
      </c>
      <c r="F457" s="6">
        <v>95</v>
      </c>
      <c r="G457" s="6">
        <v>2008</v>
      </c>
      <c r="H457" s="6">
        <v>606</v>
      </c>
      <c r="I457" s="6">
        <v>1.1879999999999999</v>
      </c>
      <c r="J457" s="6">
        <v>46.244</v>
      </c>
      <c r="K457" s="6">
        <v>0</v>
      </c>
    </row>
    <row r="458" spans="1:11" ht="12" customHeight="1">
      <c r="A458" s="6">
        <v>20570</v>
      </c>
      <c r="B458" s="6" t="s">
        <v>1006</v>
      </c>
      <c r="C458" s="6" t="s">
        <v>526</v>
      </c>
      <c r="E458" s="6" t="s">
        <v>541</v>
      </c>
      <c r="F458" s="6">
        <v>92</v>
      </c>
      <c r="G458" s="6">
        <v>1959</v>
      </c>
      <c r="H458" s="6">
        <v>231</v>
      </c>
      <c r="I458" s="6">
        <v>9.7520000000000007</v>
      </c>
      <c r="J458" s="6">
        <v>816.06600000000003</v>
      </c>
      <c r="K458" s="6">
        <v>353</v>
      </c>
    </row>
    <row r="459" spans="1:11" ht="12" customHeight="1">
      <c r="A459" s="6">
        <v>18063</v>
      </c>
      <c r="B459" s="6" t="s">
        <v>1007</v>
      </c>
      <c r="C459" s="6" t="s">
        <v>445</v>
      </c>
      <c r="E459" s="6" t="s">
        <v>138</v>
      </c>
      <c r="F459" s="6">
        <v>20</v>
      </c>
      <c r="G459" s="6">
        <v>1988</v>
      </c>
      <c r="H459" s="6">
        <v>784</v>
      </c>
      <c r="I459" s="6">
        <v>0</v>
      </c>
      <c r="J459" s="6">
        <v>0</v>
      </c>
      <c r="K459" s="6">
        <v>0</v>
      </c>
    </row>
    <row r="460" spans="1:11" ht="12" customHeight="1">
      <c r="A460" s="6">
        <v>21796</v>
      </c>
      <c r="B460" s="6" t="s">
        <v>1008</v>
      </c>
      <c r="C460" s="6" t="s">
        <v>612</v>
      </c>
      <c r="D460" s="6" t="s">
        <v>316</v>
      </c>
      <c r="E460" s="6" t="s">
        <v>235</v>
      </c>
      <c r="F460" s="6">
        <v>27</v>
      </c>
      <c r="G460" s="6">
        <v>1992</v>
      </c>
      <c r="H460" s="6">
        <v>521</v>
      </c>
      <c r="I460" s="6">
        <v>3</v>
      </c>
      <c r="J460" s="6">
        <v>113.514</v>
      </c>
      <c r="K460" s="6">
        <v>0</v>
      </c>
    </row>
    <row r="461" spans="1:11" ht="12" customHeight="1">
      <c r="A461" s="6">
        <v>19015</v>
      </c>
      <c r="B461" s="6" t="s">
        <v>1009</v>
      </c>
      <c r="C461" s="6" t="s">
        <v>492</v>
      </c>
      <c r="E461" s="6" t="s">
        <v>253</v>
      </c>
      <c r="F461" s="6">
        <v>86</v>
      </c>
      <c r="G461" s="6">
        <v>1991</v>
      </c>
      <c r="H461" s="6">
        <v>463</v>
      </c>
      <c r="I461" s="6">
        <v>1.984</v>
      </c>
      <c r="J461" s="6">
        <v>172.452</v>
      </c>
      <c r="K461" s="6">
        <v>80</v>
      </c>
    </row>
    <row r="462" spans="1:11" ht="12" customHeight="1">
      <c r="A462" s="6">
        <v>18074</v>
      </c>
      <c r="B462" s="6" t="s">
        <v>1010</v>
      </c>
      <c r="C462" s="6" t="s">
        <v>576</v>
      </c>
      <c r="D462" s="6" t="s">
        <v>434</v>
      </c>
      <c r="E462" s="6" t="s">
        <v>229</v>
      </c>
      <c r="F462" s="6">
        <v>1</v>
      </c>
      <c r="G462" s="6">
        <v>2006</v>
      </c>
      <c r="H462" s="6">
        <v>18</v>
      </c>
      <c r="I462" s="6">
        <v>41.5</v>
      </c>
      <c r="J462" s="6">
        <v>3207.2440000000001</v>
      </c>
      <c r="K462" s="6">
        <v>1501</v>
      </c>
    </row>
    <row r="463" spans="1:11" ht="12" customHeight="1">
      <c r="A463" s="6">
        <v>22125</v>
      </c>
      <c r="B463" s="6" t="s">
        <v>1010</v>
      </c>
      <c r="C463" s="6" t="s">
        <v>482</v>
      </c>
      <c r="E463" s="6" t="s">
        <v>460</v>
      </c>
      <c r="F463" s="6">
        <v>95</v>
      </c>
      <c r="G463" s="6">
        <v>1952</v>
      </c>
      <c r="H463" s="6">
        <v>785</v>
      </c>
      <c r="I463" s="6">
        <v>0</v>
      </c>
      <c r="J463" s="6">
        <v>0</v>
      </c>
      <c r="K463" s="6">
        <v>0</v>
      </c>
    </row>
    <row r="464" spans="1:11" ht="12" customHeight="1">
      <c r="A464" s="6">
        <v>11001</v>
      </c>
      <c r="B464" s="6" t="s">
        <v>418</v>
      </c>
      <c r="C464" s="6" t="s">
        <v>422</v>
      </c>
      <c r="E464" s="6" t="s">
        <v>1011</v>
      </c>
      <c r="F464" s="6">
        <v>80</v>
      </c>
      <c r="G464" s="6">
        <v>1954</v>
      </c>
      <c r="H464" s="6">
        <v>34</v>
      </c>
      <c r="I464" s="6">
        <v>35.813000000000002</v>
      </c>
      <c r="J464" s="6">
        <v>2798.72</v>
      </c>
      <c r="K464" s="6">
        <v>1203</v>
      </c>
    </row>
    <row r="465" spans="1:11" ht="12" customHeight="1">
      <c r="A465" s="6">
        <v>11039</v>
      </c>
      <c r="B465" s="6" t="s">
        <v>418</v>
      </c>
      <c r="C465" s="6" t="s">
        <v>548</v>
      </c>
      <c r="E465" s="6" t="s">
        <v>1011</v>
      </c>
      <c r="F465" s="6">
        <v>80</v>
      </c>
      <c r="G465" s="6">
        <v>1980</v>
      </c>
      <c r="H465" s="6">
        <v>5</v>
      </c>
      <c r="I465" s="6">
        <v>61.5</v>
      </c>
      <c r="J465" s="6">
        <v>4103.0450000000001</v>
      </c>
      <c r="K465" s="6">
        <v>1351</v>
      </c>
    </row>
    <row r="466" spans="1:11" ht="12" customHeight="1">
      <c r="A466" s="6">
        <v>15002</v>
      </c>
      <c r="B466" s="6" t="s">
        <v>418</v>
      </c>
      <c r="C466" s="6" t="s">
        <v>1012</v>
      </c>
      <c r="E466" s="6" t="s">
        <v>1011</v>
      </c>
      <c r="F466" s="6">
        <v>80</v>
      </c>
      <c r="G466" s="6">
        <v>1978</v>
      </c>
      <c r="H466" s="6">
        <v>786</v>
      </c>
      <c r="I466" s="6">
        <v>0</v>
      </c>
      <c r="J466" s="6">
        <v>0</v>
      </c>
      <c r="K466" s="6">
        <v>0</v>
      </c>
    </row>
    <row r="467" spans="1:11" ht="12" customHeight="1">
      <c r="A467" s="6">
        <v>11002</v>
      </c>
      <c r="B467" s="6" t="s">
        <v>1013</v>
      </c>
      <c r="C467" s="6" t="s">
        <v>537</v>
      </c>
      <c r="D467" s="6" t="s">
        <v>316</v>
      </c>
      <c r="E467" s="6" t="s">
        <v>1011</v>
      </c>
      <c r="F467" s="6">
        <v>80</v>
      </c>
      <c r="G467" s="6">
        <v>1956</v>
      </c>
      <c r="H467" s="6">
        <v>46</v>
      </c>
      <c r="I467" s="6">
        <v>29.064</v>
      </c>
      <c r="J467" s="6">
        <v>2525.3040000000001</v>
      </c>
      <c r="K467" s="6">
        <v>1162</v>
      </c>
    </row>
    <row r="468" spans="1:11" ht="12" customHeight="1">
      <c r="A468" s="6">
        <v>21063</v>
      </c>
      <c r="B468" s="6" t="s">
        <v>1013</v>
      </c>
      <c r="C468" s="6" t="s">
        <v>627</v>
      </c>
      <c r="D468" s="6" t="s">
        <v>316</v>
      </c>
      <c r="E468" s="6" t="s">
        <v>186</v>
      </c>
      <c r="F468" s="6">
        <v>91</v>
      </c>
      <c r="G468" s="6">
        <v>1958</v>
      </c>
      <c r="H468" s="6">
        <v>480</v>
      </c>
      <c r="I468" s="6">
        <v>6.0309999999999997</v>
      </c>
      <c r="J468" s="6">
        <v>162.36199999999999</v>
      </c>
      <c r="K468" s="6">
        <v>0</v>
      </c>
    </row>
    <row r="469" spans="1:11" ht="12" customHeight="1">
      <c r="A469" s="6">
        <v>21823</v>
      </c>
      <c r="B469" s="6" t="s">
        <v>1014</v>
      </c>
      <c r="C469" s="6" t="s">
        <v>543</v>
      </c>
      <c r="E469" s="6" t="s">
        <v>361</v>
      </c>
      <c r="F469" s="6">
        <v>36</v>
      </c>
      <c r="G469" s="6">
        <v>1970</v>
      </c>
      <c r="H469" s="6">
        <v>787</v>
      </c>
      <c r="I469" s="6">
        <v>0</v>
      </c>
      <c r="J469" s="6">
        <v>0</v>
      </c>
      <c r="K469" s="6">
        <v>0</v>
      </c>
    </row>
    <row r="470" spans="1:11" ht="12" customHeight="1">
      <c r="A470" s="6">
        <v>20511</v>
      </c>
      <c r="B470" s="6" t="s">
        <v>1015</v>
      </c>
      <c r="C470" s="6" t="s">
        <v>648</v>
      </c>
      <c r="E470" s="6" t="s">
        <v>625</v>
      </c>
      <c r="F470" s="6">
        <v>66</v>
      </c>
      <c r="G470" s="6">
        <v>1969</v>
      </c>
      <c r="H470" s="6">
        <v>301</v>
      </c>
      <c r="I470" s="6">
        <v>8.36</v>
      </c>
      <c r="J470" s="6">
        <v>511.15</v>
      </c>
      <c r="K470" s="6">
        <v>127</v>
      </c>
    </row>
    <row r="471" spans="1:11" ht="12" customHeight="1">
      <c r="A471" s="6">
        <v>13056</v>
      </c>
      <c r="B471" s="6" t="s">
        <v>1016</v>
      </c>
      <c r="C471" s="6" t="s">
        <v>448</v>
      </c>
      <c r="E471" s="6" t="s">
        <v>163</v>
      </c>
      <c r="F471" s="6">
        <v>30</v>
      </c>
      <c r="G471" s="6">
        <v>1978</v>
      </c>
      <c r="H471" s="6">
        <v>422</v>
      </c>
      <c r="I471" s="6">
        <v>7.4379999999999997</v>
      </c>
      <c r="J471" s="6">
        <v>235.78800000000001</v>
      </c>
      <c r="K471" s="6">
        <v>0</v>
      </c>
    </row>
    <row r="472" spans="1:11" ht="12" customHeight="1">
      <c r="A472" s="6">
        <v>10071</v>
      </c>
      <c r="B472" s="6" t="s">
        <v>1017</v>
      </c>
      <c r="C472" s="6" t="s">
        <v>517</v>
      </c>
      <c r="E472" s="6" t="s">
        <v>151</v>
      </c>
      <c r="F472" s="6">
        <v>21</v>
      </c>
      <c r="G472" s="6">
        <v>1958</v>
      </c>
      <c r="H472" s="6">
        <v>224</v>
      </c>
      <c r="I472" s="6">
        <v>15.891</v>
      </c>
      <c r="J472" s="6">
        <v>854.61599999999999</v>
      </c>
      <c r="K472" s="6">
        <v>231</v>
      </c>
    </row>
    <row r="473" spans="1:11" ht="12" customHeight="1">
      <c r="A473" s="6">
        <v>23056</v>
      </c>
      <c r="B473" s="6" t="s">
        <v>1018</v>
      </c>
      <c r="C473" s="6" t="s">
        <v>1019</v>
      </c>
      <c r="D473" s="6" t="s">
        <v>316</v>
      </c>
      <c r="E473" s="6" t="s">
        <v>375</v>
      </c>
      <c r="F473" s="6">
        <v>43</v>
      </c>
      <c r="G473" s="6">
        <v>1981</v>
      </c>
      <c r="H473" s="6">
        <v>120</v>
      </c>
      <c r="I473" s="6">
        <v>23.312999999999999</v>
      </c>
      <c r="J473" s="6">
        <v>1617.4760000000001</v>
      </c>
      <c r="K473" s="6">
        <v>514</v>
      </c>
    </row>
    <row r="474" spans="1:11" ht="12" customHeight="1">
      <c r="A474" s="6">
        <v>16124</v>
      </c>
      <c r="B474" s="6" t="s">
        <v>1018</v>
      </c>
      <c r="C474" s="6" t="s">
        <v>431</v>
      </c>
      <c r="D474" s="6" t="s">
        <v>316</v>
      </c>
      <c r="E474" s="6" t="s">
        <v>721</v>
      </c>
      <c r="F474" s="6">
        <v>90</v>
      </c>
      <c r="G474" s="6">
        <v>1987</v>
      </c>
      <c r="H474" s="6">
        <v>83</v>
      </c>
      <c r="I474" s="6">
        <v>25.719000000000001</v>
      </c>
      <c r="J474" s="6">
        <v>2027.0219999999999</v>
      </c>
      <c r="K474" s="6">
        <v>912</v>
      </c>
    </row>
    <row r="475" spans="1:11" ht="12" customHeight="1">
      <c r="A475" s="6">
        <v>12058</v>
      </c>
      <c r="B475" s="6" t="s">
        <v>1020</v>
      </c>
      <c r="C475" s="6" t="s">
        <v>509</v>
      </c>
      <c r="D475" s="6" t="s">
        <v>316</v>
      </c>
      <c r="E475" s="6" t="s">
        <v>229</v>
      </c>
      <c r="F475" s="6">
        <v>1</v>
      </c>
      <c r="G475" s="6">
        <v>1979</v>
      </c>
      <c r="H475" s="6">
        <v>547</v>
      </c>
      <c r="I475" s="6">
        <v>0.93799999999999994</v>
      </c>
      <c r="J475" s="6">
        <v>90.563000000000002</v>
      </c>
      <c r="K475" s="6">
        <v>39</v>
      </c>
    </row>
    <row r="476" spans="1:11" ht="12" customHeight="1">
      <c r="A476" s="6">
        <v>16122</v>
      </c>
      <c r="B476" s="6" t="s">
        <v>1021</v>
      </c>
      <c r="C476" s="6" t="s">
        <v>441</v>
      </c>
      <c r="E476" s="6" t="s">
        <v>393</v>
      </c>
      <c r="F476" s="6">
        <v>52</v>
      </c>
      <c r="G476" s="6">
        <v>1982</v>
      </c>
      <c r="H476" s="6">
        <v>251</v>
      </c>
      <c r="I476" s="6">
        <v>10.641999999999999</v>
      </c>
      <c r="J476" s="6">
        <v>725.66600000000005</v>
      </c>
      <c r="K476" s="6">
        <v>229</v>
      </c>
    </row>
    <row r="477" spans="1:11" ht="12" customHeight="1">
      <c r="A477" s="6">
        <v>27088</v>
      </c>
      <c r="B477" s="6" t="s">
        <v>1022</v>
      </c>
      <c r="C477" s="6" t="s">
        <v>1023</v>
      </c>
      <c r="D477" s="6" t="s">
        <v>316</v>
      </c>
      <c r="E477" s="6" t="s">
        <v>138</v>
      </c>
      <c r="F477" s="6">
        <v>20</v>
      </c>
      <c r="G477" s="6">
        <v>1970</v>
      </c>
      <c r="H477" s="6">
        <v>179</v>
      </c>
      <c r="I477" s="6">
        <v>17.782</v>
      </c>
      <c r="J477" s="6">
        <v>1157.2049999999999</v>
      </c>
      <c r="K477" s="6">
        <v>325</v>
      </c>
    </row>
    <row r="478" spans="1:11" ht="12" customHeight="1">
      <c r="A478" s="6">
        <v>20565</v>
      </c>
      <c r="B478" s="6" t="s">
        <v>1024</v>
      </c>
      <c r="C478" s="6" t="s">
        <v>1025</v>
      </c>
      <c r="E478" s="6" t="s">
        <v>476</v>
      </c>
      <c r="F478" s="6">
        <v>2</v>
      </c>
      <c r="G478" s="6">
        <v>1980</v>
      </c>
      <c r="H478" s="6">
        <v>243</v>
      </c>
      <c r="I478" s="6">
        <v>17.094999999999999</v>
      </c>
      <c r="J478" s="6">
        <v>750.53</v>
      </c>
      <c r="K478" s="6">
        <v>181</v>
      </c>
    </row>
    <row r="479" spans="1:11" ht="12" customHeight="1">
      <c r="A479" s="6">
        <v>98482</v>
      </c>
      <c r="B479" s="6" t="s">
        <v>1026</v>
      </c>
      <c r="C479" s="6" t="s">
        <v>445</v>
      </c>
      <c r="E479" s="6" t="s">
        <v>239</v>
      </c>
      <c r="F479" s="6">
        <v>14</v>
      </c>
      <c r="G479" s="6">
        <v>1970</v>
      </c>
      <c r="H479" s="6">
        <v>164</v>
      </c>
      <c r="I479" s="6">
        <v>17.251000000000001</v>
      </c>
      <c r="J479" s="6">
        <v>1287.731</v>
      </c>
      <c r="K479" s="6">
        <v>542</v>
      </c>
    </row>
    <row r="480" spans="1:11" ht="12" customHeight="1">
      <c r="A480" s="6">
        <v>22129</v>
      </c>
      <c r="B480" s="6" t="s">
        <v>1027</v>
      </c>
      <c r="C480" s="6" t="s">
        <v>480</v>
      </c>
      <c r="D480" s="6" t="s">
        <v>316</v>
      </c>
      <c r="E480" s="6" t="s">
        <v>460</v>
      </c>
      <c r="F480" s="6">
        <v>95</v>
      </c>
      <c r="G480" s="6">
        <v>1969</v>
      </c>
      <c r="H480" s="6">
        <v>599</v>
      </c>
      <c r="I480" s="6">
        <v>0.59399999999999997</v>
      </c>
      <c r="J480" s="6">
        <v>47.948</v>
      </c>
      <c r="K480" s="6">
        <v>18</v>
      </c>
    </row>
    <row r="481" spans="1:11" ht="12" customHeight="1">
      <c r="A481" s="6">
        <v>18131</v>
      </c>
      <c r="B481" s="6" t="s">
        <v>1028</v>
      </c>
      <c r="C481" s="6" t="s">
        <v>1029</v>
      </c>
      <c r="D481" s="6" t="s">
        <v>316</v>
      </c>
      <c r="E481" s="6" t="s">
        <v>685</v>
      </c>
      <c r="F481" s="6">
        <v>82</v>
      </c>
      <c r="G481" s="6">
        <v>1968</v>
      </c>
      <c r="H481" s="6">
        <v>171</v>
      </c>
      <c r="I481" s="6">
        <v>24.5</v>
      </c>
      <c r="J481" s="6">
        <v>1249.7170000000001</v>
      </c>
      <c r="K481" s="6">
        <v>369</v>
      </c>
    </row>
    <row r="482" spans="1:11" ht="12" customHeight="1">
      <c r="A482" s="6">
        <v>29049</v>
      </c>
      <c r="B482" s="6" t="s">
        <v>1030</v>
      </c>
      <c r="C482" s="6" t="s">
        <v>492</v>
      </c>
      <c r="E482" s="6" t="s">
        <v>134</v>
      </c>
      <c r="F482" s="6">
        <v>64</v>
      </c>
      <c r="G482" s="6">
        <v>1987</v>
      </c>
      <c r="H482" s="6">
        <v>16</v>
      </c>
      <c r="I482" s="6">
        <v>50.5</v>
      </c>
      <c r="J482" s="6">
        <v>3318.087</v>
      </c>
      <c r="K482" s="6">
        <v>1032</v>
      </c>
    </row>
    <row r="483" spans="1:11" ht="12" customHeight="1">
      <c r="A483" s="6">
        <v>17031</v>
      </c>
      <c r="B483" s="6" t="s">
        <v>1031</v>
      </c>
      <c r="C483" s="6" t="s">
        <v>576</v>
      </c>
      <c r="E483" s="6" t="s">
        <v>229</v>
      </c>
      <c r="F483" s="6">
        <v>1</v>
      </c>
      <c r="G483" s="6">
        <v>2004</v>
      </c>
      <c r="H483" s="6">
        <v>416</v>
      </c>
      <c r="I483" s="6">
        <v>5.5</v>
      </c>
      <c r="J483" s="6">
        <v>246.57499999999999</v>
      </c>
      <c r="K483" s="6">
        <v>0</v>
      </c>
    </row>
    <row r="484" spans="1:11" ht="12" customHeight="1">
      <c r="A484" s="6">
        <v>14046</v>
      </c>
      <c r="B484" s="6" t="s">
        <v>1032</v>
      </c>
      <c r="C484" s="6" t="s">
        <v>445</v>
      </c>
      <c r="E484" s="6" t="s">
        <v>229</v>
      </c>
      <c r="F484" s="6">
        <v>1</v>
      </c>
      <c r="G484" s="6">
        <v>1953</v>
      </c>
      <c r="H484" s="6">
        <v>550</v>
      </c>
      <c r="I484" s="6">
        <v>2.4380000000000002</v>
      </c>
      <c r="J484" s="6">
        <v>89.311999999999998</v>
      </c>
      <c r="K484" s="6">
        <v>0</v>
      </c>
    </row>
    <row r="485" spans="1:11" ht="12" customHeight="1">
      <c r="A485" s="6">
        <v>18001</v>
      </c>
      <c r="B485" s="6" t="s">
        <v>1033</v>
      </c>
      <c r="C485" s="6" t="s">
        <v>445</v>
      </c>
      <c r="E485" s="6" t="s">
        <v>685</v>
      </c>
      <c r="F485" s="6">
        <v>82</v>
      </c>
      <c r="G485" s="6">
        <v>1988</v>
      </c>
      <c r="H485" s="6">
        <v>146</v>
      </c>
      <c r="I485" s="6">
        <v>33.25</v>
      </c>
      <c r="J485" s="6">
        <v>1409.4829999999999</v>
      </c>
      <c r="K485" s="6">
        <v>239</v>
      </c>
    </row>
    <row r="486" spans="1:11" ht="12" customHeight="1">
      <c r="A486" s="6">
        <v>13004</v>
      </c>
      <c r="B486" s="6" t="s">
        <v>1034</v>
      </c>
      <c r="C486" s="6" t="s">
        <v>532</v>
      </c>
      <c r="E486" s="6" t="s">
        <v>138</v>
      </c>
      <c r="F486" s="6">
        <v>20</v>
      </c>
      <c r="G486" s="6">
        <v>1965</v>
      </c>
      <c r="H486" s="6">
        <v>184</v>
      </c>
      <c r="I486" s="6">
        <v>15.798</v>
      </c>
      <c r="J486" s="6">
        <v>1116.3520000000001</v>
      </c>
      <c r="K486" s="6">
        <v>343</v>
      </c>
    </row>
    <row r="487" spans="1:11" ht="12" customHeight="1">
      <c r="A487" s="6">
        <v>13001</v>
      </c>
      <c r="B487" s="6" t="s">
        <v>1035</v>
      </c>
      <c r="C487" s="6" t="s">
        <v>1036</v>
      </c>
      <c r="D487" s="6" t="s">
        <v>316</v>
      </c>
      <c r="E487" s="6" t="s">
        <v>138</v>
      </c>
      <c r="F487" s="6">
        <v>20</v>
      </c>
      <c r="G487" s="6">
        <v>1970</v>
      </c>
      <c r="H487" s="6">
        <v>91</v>
      </c>
      <c r="I487" s="6">
        <v>18.033000000000001</v>
      </c>
      <c r="J487" s="6">
        <v>1928.6489999999999</v>
      </c>
      <c r="K487" s="6">
        <v>1023</v>
      </c>
    </row>
    <row r="488" spans="1:11" ht="12" customHeight="1">
      <c r="A488" s="6">
        <v>21821</v>
      </c>
      <c r="B488" s="6" t="s">
        <v>1037</v>
      </c>
      <c r="C488" s="6" t="s">
        <v>514</v>
      </c>
      <c r="E488" s="6" t="s">
        <v>361</v>
      </c>
      <c r="F488" s="6">
        <v>36</v>
      </c>
      <c r="G488" s="6">
        <v>1960</v>
      </c>
      <c r="H488" s="6">
        <v>788</v>
      </c>
      <c r="I488" s="6">
        <v>0</v>
      </c>
      <c r="J488" s="6">
        <v>0</v>
      </c>
      <c r="K488" s="6">
        <v>0</v>
      </c>
    </row>
    <row r="489" spans="1:11" ht="12" customHeight="1">
      <c r="A489" s="6">
        <v>19041</v>
      </c>
      <c r="B489" s="6" t="s">
        <v>1037</v>
      </c>
      <c r="C489" s="6" t="s">
        <v>437</v>
      </c>
      <c r="E489" s="6" t="s">
        <v>229</v>
      </c>
      <c r="F489" s="6">
        <v>1</v>
      </c>
      <c r="G489" s="6">
        <v>1969</v>
      </c>
      <c r="H489" s="6">
        <v>306</v>
      </c>
      <c r="I489" s="6">
        <v>6.7510000000000003</v>
      </c>
      <c r="J489" s="6">
        <v>504.94400000000002</v>
      </c>
      <c r="K489" s="6">
        <v>203</v>
      </c>
    </row>
    <row r="490" spans="1:11" ht="12" customHeight="1">
      <c r="A490" s="6">
        <v>23054</v>
      </c>
      <c r="B490" s="6" t="s">
        <v>1037</v>
      </c>
      <c r="C490" s="6" t="s">
        <v>532</v>
      </c>
      <c r="E490" s="6" t="s">
        <v>229</v>
      </c>
      <c r="F490" s="6">
        <v>1</v>
      </c>
      <c r="G490" s="6">
        <v>1978</v>
      </c>
      <c r="H490" s="6">
        <v>375</v>
      </c>
      <c r="I490" s="6">
        <v>3.6880000000000002</v>
      </c>
      <c r="J490" s="6">
        <v>324.83199999999999</v>
      </c>
      <c r="K490" s="6">
        <v>153</v>
      </c>
    </row>
    <row r="491" spans="1:11" ht="12" customHeight="1">
      <c r="A491" s="6">
        <v>18097</v>
      </c>
      <c r="B491" s="6" t="s">
        <v>1038</v>
      </c>
      <c r="C491" s="6" t="s">
        <v>1039</v>
      </c>
      <c r="D491" s="6" t="s">
        <v>451</v>
      </c>
      <c r="E491" s="6" t="s">
        <v>229</v>
      </c>
      <c r="F491" s="6">
        <v>1</v>
      </c>
      <c r="G491" s="6">
        <v>2008</v>
      </c>
      <c r="H491" s="6">
        <v>789</v>
      </c>
      <c r="I491" s="6">
        <v>0</v>
      </c>
      <c r="J491" s="6">
        <v>0</v>
      </c>
      <c r="K491" s="6">
        <v>0</v>
      </c>
    </row>
    <row r="492" spans="1:11" ht="12" customHeight="1">
      <c r="A492" s="6">
        <v>19025</v>
      </c>
      <c r="B492" s="6" t="s">
        <v>1040</v>
      </c>
      <c r="C492" s="6" t="s">
        <v>492</v>
      </c>
      <c r="E492" s="6" t="s">
        <v>425</v>
      </c>
      <c r="F492" s="6">
        <v>79</v>
      </c>
      <c r="G492" s="6">
        <v>1967</v>
      </c>
      <c r="H492" s="6">
        <v>76</v>
      </c>
      <c r="I492" s="6">
        <v>27.312999999999999</v>
      </c>
      <c r="J492" s="6">
        <v>2082.1909999999998</v>
      </c>
      <c r="K492" s="6">
        <v>921</v>
      </c>
    </row>
    <row r="493" spans="1:11" ht="12" customHeight="1">
      <c r="A493" s="6">
        <v>18076</v>
      </c>
      <c r="B493" s="6" t="s">
        <v>1041</v>
      </c>
      <c r="C493" s="6" t="s">
        <v>1042</v>
      </c>
      <c r="E493" s="6" t="s">
        <v>193</v>
      </c>
      <c r="F493" s="6">
        <v>89</v>
      </c>
      <c r="G493" s="6">
        <v>1960</v>
      </c>
      <c r="H493" s="6">
        <v>272</v>
      </c>
      <c r="I493" s="6">
        <v>15.25</v>
      </c>
      <c r="J493" s="6">
        <v>616.50099999999998</v>
      </c>
      <c r="K493" s="6">
        <v>121</v>
      </c>
    </row>
    <row r="494" spans="1:11" ht="12" customHeight="1">
      <c r="A494" s="6">
        <v>18077</v>
      </c>
      <c r="B494" s="6" t="s">
        <v>1043</v>
      </c>
      <c r="C494" s="6" t="s">
        <v>774</v>
      </c>
      <c r="D494" s="6" t="s">
        <v>316</v>
      </c>
      <c r="E494" s="6" t="s">
        <v>193</v>
      </c>
      <c r="F494" s="6">
        <v>89</v>
      </c>
      <c r="G494" s="6">
        <v>1965</v>
      </c>
      <c r="H494" s="6">
        <v>597</v>
      </c>
      <c r="I494" s="6">
        <v>1.2809999999999999</v>
      </c>
      <c r="J494" s="6">
        <v>49.893999999999998</v>
      </c>
      <c r="K494" s="6">
        <v>0</v>
      </c>
    </row>
    <row r="495" spans="1:11" ht="12" customHeight="1">
      <c r="A495" s="6">
        <v>16061</v>
      </c>
      <c r="B495" s="6" t="s">
        <v>1044</v>
      </c>
      <c r="C495" s="6" t="s">
        <v>499</v>
      </c>
      <c r="E495" s="6" t="s">
        <v>802</v>
      </c>
      <c r="F495" s="6">
        <v>83</v>
      </c>
      <c r="G495" s="6">
        <v>1969</v>
      </c>
      <c r="H495" s="6">
        <v>790</v>
      </c>
      <c r="I495" s="6">
        <v>0</v>
      </c>
      <c r="J495" s="6">
        <v>0</v>
      </c>
      <c r="K495" s="6">
        <v>0</v>
      </c>
    </row>
    <row r="496" spans="1:11" ht="12" customHeight="1">
      <c r="A496" s="6">
        <v>10012</v>
      </c>
      <c r="B496" s="6" t="s">
        <v>1045</v>
      </c>
      <c r="C496" s="6" t="s">
        <v>492</v>
      </c>
      <c r="E496" s="6" t="s">
        <v>625</v>
      </c>
      <c r="F496" s="6">
        <v>66</v>
      </c>
      <c r="G496" s="6">
        <v>1975</v>
      </c>
      <c r="H496" s="6">
        <v>145</v>
      </c>
      <c r="I496" s="6">
        <v>22.376999999999999</v>
      </c>
      <c r="J496" s="6">
        <v>1409.846</v>
      </c>
      <c r="K496" s="6">
        <v>485</v>
      </c>
    </row>
    <row r="497" spans="1:11" ht="12" customHeight="1">
      <c r="A497" s="6">
        <v>10011</v>
      </c>
      <c r="B497" s="6" t="s">
        <v>1045</v>
      </c>
      <c r="C497" s="6" t="s">
        <v>532</v>
      </c>
      <c r="E497" s="6" t="s">
        <v>625</v>
      </c>
      <c r="F497" s="6">
        <v>66</v>
      </c>
      <c r="G497" s="6">
        <v>1976</v>
      </c>
      <c r="H497" s="6">
        <v>136</v>
      </c>
      <c r="I497" s="6">
        <v>23.22</v>
      </c>
      <c r="J497" s="6">
        <v>1501.3530000000001</v>
      </c>
      <c r="K497" s="6">
        <v>614</v>
      </c>
    </row>
    <row r="498" spans="1:11" ht="12" customHeight="1">
      <c r="A498" s="6">
        <v>12076</v>
      </c>
      <c r="B498" s="6" t="s">
        <v>1046</v>
      </c>
      <c r="C498" s="6" t="s">
        <v>824</v>
      </c>
      <c r="D498" s="6" t="s">
        <v>316</v>
      </c>
      <c r="E498" s="6" t="s">
        <v>151</v>
      </c>
      <c r="F498" s="6">
        <v>21</v>
      </c>
      <c r="G498" s="6">
        <v>1991</v>
      </c>
      <c r="H498" s="6">
        <v>791</v>
      </c>
      <c r="I498" s="6">
        <v>0</v>
      </c>
      <c r="J498" s="6">
        <v>0</v>
      </c>
      <c r="K498" s="6">
        <v>0</v>
      </c>
    </row>
    <row r="499" spans="1:11" ht="12" customHeight="1">
      <c r="A499" s="6">
        <v>16128</v>
      </c>
      <c r="B499" s="6" t="s">
        <v>1047</v>
      </c>
      <c r="C499" s="6" t="s">
        <v>1048</v>
      </c>
      <c r="D499" s="6" t="s">
        <v>434</v>
      </c>
      <c r="E499" s="6" t="s">
        <v>476</v>
      </c>
      <c r="F499" s="6">
        <v>2</v>
      </c>
      <c r="G499" s="6">
        <v>2009</v>
      </c>
      <c r="H499" s="6">
        <v>347</v>
      </c>
      <c r="I499" s="6">
        <v>10.063000000000001</v>
      </c>
      <c r="J499" s="6">
        <v>383.27600000000001</v>
      </c>
      <c r="K499" s="6">
        <v>48</v>
      </c>
    </row>
    <row r="500" spans="1:11" ht="12" customHeight="1">
      <c r="A500" s="6">
        <v>18099</v>
      </c>
      <c r="B500" s="6" t="s">
        <v>1047</v>
      </c>
      <c r="C500" s="6" t="s">
        <v>418</v>
      </c>
      <c r="E500" s="6" t="s">
        <v>476</v>
      </c>
      <c r="F500" s="6">
        <v>2</v>
      </c>
      <c r="G500" s="6">
        <v>1974</v>
      </c>
      <c r="H500" s="6">
        <v>276</v>
      </c>
      <c r="I500" s="6">
        <v>16.376000000000001</v>
      </c>
      <c r="J500" s="6">
        <v>599.30799999999999</v>
      </c>
      <c r="K500" s="6">
        <v>48</v>
      </c>
    </row>
    <row r="501" spans="1:11" ht="12" customHeight="1">
      <c r="A501" s="6">
        <v>16129</v>
      </c>
      <c r="B501" s="6" t="s">
        <v>1049</v>
      </c>
      <c r="C501" s="6" t="s">
        <v>945</v>
      </c>
      <c r="D501" s="6" t="s">
        <v>451</v>
      </c>
      <c r="E501" s="6" t="s">
        <v>476</v>
      </c>
      <c r="F501" s="6">
        <v>2</v>
      </c>
      <c r="G501" s="6">
        <v>2007</v>
      </c>
      <c r="H501" s="6">
        <v>585</v>
      </c>
      <c r="I501" s="6">
        <v>2</v>
      </c>
      <c r="J501" s="6">
        <v>56.192</v>
      </c>
      <c r="K501" s="6">
        <v>0</v>
      </c>
    </row>
    <row r="502" spans="1:11" ht="12" customHeight="1">
      <c r="A502" s="6">
        <v>20567</v>
      </c>
      <c r="B502" s="6" t="s">
        <v>1049</v>
      </c>
      <c r="C502" s="6" t="s">
        <v>1050</v>
      </c>
      <c r="D502" s="6" t="s">
        <v>451</v>
      </c>
      <c r="E502" s="6" t="s">
        <v>476</v>
      </c>
      <c r="F502" s="6">
        <v>2</v>
      </c>
      <c r="G502" s="6">
        <v>2014</v>
      </c>
      <c r="H502" s="6">
        <v>792</v>
      </c>
      <c r="I502" s="6">
        <v>0</v>
      </c>
      <c r="J502" s="6">
        <v>0</v>
      </c>
      <c r="K502" s="6">
        <v>0</v>
      </c>
    </row>
    <row r="503" spans="1:11" ht="12" customHeight="1">
      <c r="A503" s="6">
        <v>20502</v>
      </c>
      <c r="B503" s="6" t="s">
        <v>1051</v>
      </c>
      <c r="C503" s="6" t="s">
        <v>492</v>
      </c>
      <c r="D503" s="6" t="s">
        <v>434</v>
      </c>
      <c r="E503" s="6" t="s">
        <v>229</v>
      </c>
      <c r="F503" s="6">
        <v>1</v>
      </c>
      <c r="G503" s="6">
        <v>2007</v>
      </c>
      <c r="H503" s="6">
        <v>404</v>
      </c>
      <c r="I503" s="6">
        <v>3.3130000000000002</v>
      </c>
      <c r="J503" s="6">
        <v>267.05500000000001</v>
      </c>
      <c r="K503" s="6">
        <v>112</v>
      </c>
    </row>
    <row r="504" spans="1:11" ht="12" customHeight="1">
      <c r="A504" s="6">
        <v>13064</v>
      </c>
      <c r="B504" s="6" t="s">
        <v>1051</v>
      </c>
      <c r="C504" s="6" t="s">
        <v>418</v>
      </c>
      <c r="E504" s="6" t="s">
        <v>229</v>
      </c>
      <c r="F504" s="6">
        <v>1</v>
      </c>
      <c r="G504" s="6">
        <v>1998</v>
      </c>
      <c r="H504" s="6">
        <v>10</v>
      </c>
      <c r="I504" s="6">
        <v>53.5</v>
      </c>
      <c r="J504" s="6">
        <v>3703.893</v>
      </c>
      <c r="K504" s="6">
        <v>1413</v>
      </c>
    </row>
    <row r="505" spans="1:11" ht="12" customHeight="1">
      <c r="A505" s="6">
        <v>28029</v>
      </c>
      <c r="B505" s="6" t="s">
        <v>1052</v>
      </c>
      <c r="C505" s="6" t="s">
        <v>537</v>
      </c>
      <c r="D505" s="6" t="s">
        <v>316</v>
      </c>
      <c r="E505" s="6" t="s">
        <v>180</v>
      </c>
      <c r="F505" s="6">
        <v>62</v>
      </c>
      <c r="G505" s="6">
        <v>1968</v>
      </c>
      <c r="H505" s="6">
        <v>483</v>
      </c>
      <c r="I505" s="6">
        <v>3.0939999999999999</v>
      </c>
      <c r="J505" s="6">
        <v>157.61600000000001</v>
      </c>
      <c r="K505" s="6">
        <v>73</v>
      </c>
    </row>
    <row r="506" spans="1:11" ht="12" customHeight="1">
      <c r="A506" s="6">
        <v>21013</v>
      </c>
      <c r="B506" s="6" t="s">
        <v>1052</v>
      </c>
      <c r="C506" s="6" t="s">
        <v>673</v>
      </c>
      <c r="D506" s="6" t="s">
        <v>316</v>
      </c>
      <c r="E506" s="6" t="s">
        <v>180</v>
      </c>
      <c r="F506" s="6">
        <v>62</v>
      </c>
      <c r="G506" s="6">
        <v>1997</v>
      </c>
      <c r="H506" s="6">
        <v>793</v>
      </c>
      <c r="I506" s="6">
        <v>0</v>
      </c>
      <c r="J506" s="6">
        <v>0</v>
      </c>
      <c r="K506" s="6">
        <v>0</v>
      </c>
    </row>
    <row r="507" spans="1:11" ht="12" customHeight="1">
      <c r="A507" s="6">
        <v>13069</v>
      </c>
      <c r="B507" s="6" t="s">
        <v>1053</v>
      </c>
      <c r="C507" s="6" t="s">
        <v>482</v>
      </c>
      <c r="E507" s="6" t="s">
        <v>180</v>
      </c>
      <c r="F507" s="6">
        <v>62</v>
      </c>
      <c r="G507" s="6">
        <v>2003</v>
      </c>
      <c r="H507" s="6">
        <v>391</v>
      </c>
      <c r="I507" s="6">
        <v>8.4380000000000006</v>
      </c>
      <c r="J507" s="6">
        <v>291.37</v>
      </c>
      <c r="K507" s="6">
        <v>0</v>
      </c>
    </row>
    <row r="508" spans="1:11" ht="12" customHeight="1">
      <c r="A508" s="6">
        <v>28030</v>
      </c>
      <c r="B508" s="6" t="s">
        <v>1054</v>
      </c>
      <c r="C508" s="6" t="s">
        <v>482</v>
      </c>
      <c r="E508" s="6" t="s">
        <v>180</v>
      </c>
      <c r="F508" s="6">
        <v>62</v>
      </c>
      <c r="G508" s="6">
        <v>1967</v>
      </c>
      <c r="H508" s="6">
        <v>129</v>
      </c>
      <c r="I508" s="6">
        <v>24.032</v>
      </c>
      <c r="J508" s="6">
        <v>1575.0160000000001</v>
      </c>
      <c r="K508" s="6">
        <v>594</v>
      </c>
    </row>
    <row r="509" spans="1:11" ht="12" customHeight="1">
      <c r="A509" s="6">
        <v>99532</v>
      </c>
      <c r="B509" s="6" t="s">
        <v>1055</v>
      </c>
      <c r="C509" s="6" t="s">
        <v>563</v>
      </c>
      <c r="E509" s="6" t="s">
        <v>221</v>
      </c>
      <c r="F509" s="6">
        <v>17</v>
      </c>
      <c r="G509" s="6">
        <v>1965</v>
      </c>
      <c r="H509" s="6">
        <v>2</v>
      </c>
      <c r="I509" s="6">
        <v>55.375</v>
      </c>
      <c r="J509" s="6">
        <v>4589.9129999999996</v>
      </c>
      <c r="K509" s="6">
        <v>1922</v>
      </c>
    </row>
    <row r="510" spans="1:11" ht="12" customHeight="1">
      <c r="A510" s="6">
        <v>21775</v>
      </c>
      <c r="B510" s="6" t="s">
        <v>1055</v>
      </c>
      <c r="C510" s="6" t="s">
        <v>492</v>
      </c>
      <c r="E510" s="6" t="s">
        <v>221</v>
      </c>
      <c r="F510" s="6">
        <v>17</v>
      </c>
      <c r="G510" s="6">
        <v>1991</v>
      </c>
      <c r="H510" s="6">
        <v>20</v>
      </c>
      <c r="I510" s="6">
        <v>37.5</v>
      </c>
      <c r="J510" s="6">
        <v>3147.3209999999999</v>
      </c>
      <c r="K510" s="6">
        <v>1267</v>
      </c>
    </row>
    <row r="511" spans="1:11" ht="12" customHeight="1">
      <c r="A511" s="6">
        <v>21774</v>
      </c>
      <c r="B511" s="6" t="s">
        <v>1055</v>
      </c>
      <c r="C511" s="6" t="s">
        <v>441</v>
      </c>
      <c r="E511" s="6" t="s">
        <v>221</v>
      </c>
      <c r="F511" s="6">
        <v>17</v>
      </c>
      <c r="G511" s="6">
        <v>1994</v>
      </c>
      <c r="H511" s="6">
        <v>8</v>
      </c>
      <c r="I511" s="6">
        <v>57.5</v>
      </c>
      <c r="J511" s="6">
        <v>3760.3679999999999</v>
      </c>
      <c r="K511" s="6">
        <v>1335</v>
      </c>
    </row>
    <row r="512" spans="1:11" ht="12" customHeight="1">
      <c r="A512" s="6">
        <v>24235</v>
      </c>
      <c r="B512" s="6" t="s">
        <v>1056</v>
      </c>
      <c r="C512" s="6" t="s">
        <v>537</v>
      </c>
      <c r="D512" s="6" t="s">
        <v>316</v>
      </c>
      <c r="E512" s="6" t="s">
        <v>141</v>
      </c>
      <c r="F512" s="6">
        <v>15</v>
      </c>
      <c r="G512" s="6">
        <v>1995</v>
      </c>
      <c r="H512" s="6">
        <v>115</v>
      </c>
      <c r="I512" s="6">
        <v>28.939</v>
      </c>
      <c r="J512" s="6">
        <v>1697.932</v>
      </c>
      <c r="K512" s="6">
        <v>385</v>
      </c>
    </row>
    <row r="513" spans="1:11" ht="12" customHeight="1">
      <c r="A513" s="6">
        <v>20702</v>
      </c>
      <c r="B513" s="6" t="s">
        <v>1056</v>
      </c>
      <c r="C513" s="6" t="s">
        <v>869</v>
      </c>
      <c r="D513" s="6" t="s">
        <v>316</v>
      </c>
      <c r="E513" s="6" t="s">
        <v>221</v>
      </c>
      <c r="F513" s="6">
        <v>17</v>
      </c>
      <c r="G513" s="6">
        <v>1969</v>
      </c>
      <c r="H513" s="6">
        <v>323</v>
      </c>
      <c r="I513" s="6">
        <v>6.3129999999999997</v>
      </c>
      <c r="J513" s="6">
        <v>444.56200000000001</v>
      </c>
      <c r="K513" s="6">
        <v>142</v>
      </c>
    </row>
    <row r="514" spans="1:11" ht="12" customHeight="1">
      <c r="A514" s="6">
        <v>15076</v>
      </c>
      <c r="B514" s="6" t="s">
        <v>1057</v>
      </c>
      <c r="C514" s="6" t="s">
        <v>433</v>
      </c>
      <c r="E514" s="6" t="s">
        <v>556</v>
      </c>
      <c r="F514" s="6">
        <v>13</v>
      </c>
      <c r="G514" s="6">
        <v>1984</v>
      </c>
      <c r="H514" s="6">
        <v>794</v>
      </c>
      <c r="I514" s="6">
        <v>0</v>
      </c>
      <c r="J514" s="6">
        <v>0</v>
      </c>
      <c r="K514" s="6">
        <v>0</v>
      </c>
    </row>
    <row r="515" spans="1:11" ht="12" customHeight="1">
      <c r="A515" s="6">
        <v>26060</v>
      </c>
      <c r="B515" s="6" t="s">
        <v>1058</v>
      </c>
      <c r="C515" s="6" t="s">
        <v>492</v>
      </c>
      <c r="E515" s="6" t="s">
        <v>235</v>
      </c>
      <c r="F515" s="6">
        <v>27</v>
      </c>
      <c r="G515" s="6">
        <v>1953</v>
      </c>
      <c r="H515" s="6">
        <v>420</v>
      </c>
      <c r="I515" s="6">
        <v>8.75</v>
      </c>
      <c r="J515" s="6">
        <v>238.489</v>
      </c>
      <c r="K515" s="6">
        <v>0</v>
      </c>
    </row>
    <row r="516" spans="1:11" ht="12" customHeight="1">
      <c r="A516" s="6">
        <v>18126</v>
      </c>
      <c r="B516" s="6" t="s">
        <v>1059</v>
      </c>
      <c r="C516" s="6" t="s">
        <v>448</v>
      </c>
      <c r="E516" s="6" t="s">
        <v>253</v>
      </c>
      <c r="F516" s="6">
        <v>86</v>
      </c>
      <c r="G516" s="6">
        <v>1992</v>
      </c>
      <c r="H516" s="6">
        <v>795</v>
      </c>
      <c r="I516" s="6">
        <v>0</v>
      </c>
      <c r="J516" s="6">
        <v>0</v>
      </c>
      <c r="K516" s="6">
        <v>0</v>
      </c>
    </row>
    <row r="517" spans="1:11" ht="12" customHeight="1">
      <c r="A517" s="6">
        <v>23212</v>
      </c>
      <c r="B517" s="6" t="s">
        <v>1060</v>
      </c>
      <c r="C517" s="6" t="s">
        <v>737</v>
      </c>
      <c r="D517" s="6" t="s">
        <v>316</v>
      </c>
      <c r="E517" s="6" t="s">
        <v>810</v>
      </c>
      <c r="F517" s="6">
        <v>78</v>
      </c>
      <c r="G517" s="6">
        <v>1955</v>
      </c>
      <c r="H517" s="6">
        <v>796</v>
      </c>
      <c r="I517" s="6">
        <v>0</v>
      </c>
      <c r="J517" s="6">
        <v>0</v>
      </c>
      <c r="K517" s="6">
        <v>0</v>
      </c>
    </row>
    <row r="518" spans="1:11" ht="12" customHeight="1">
      <c r="A518" s="6">
        <v>15047</v>
      </c>
      <c r="B518" s="6" t="s">
        <v>1061</v>
      </c>
      <c r="C518" s="6" t="s">
        <v>437</v>
      </c>
      <c r="E518" s="6" t="s">
        <v>120</v>
      </c>
      <c r="F518" s="6">
        <v>54</v>
      </c>
      <c r="G518" s="6">
        <v>1978</v>
      </c>
      <c r="H518" s="6">
        <v>55</v>
      </c>
      <c r="I518" s="6">
        <v>33.625</v>
      </c>
      <c r="J518" s="6">
        <v>2381.1930000000002</v>
      </c>
      <c r="K518" s="6">
        <v>936</v>
      </c>
    </row>
    <row r="519" spans="1:11" ht="12" customHeight="1">
      <c r="A519" s="6">
        <v>16137</v>
      </c>
      <c r="B519" s="6" t="s">
        <v>1062</v>
      </c>
      <c r="C519" s="6" t="s">
        <v>1063</v>
      </c>
      <c r="D519" s="6" t="s">
        <v>316</v>
      </c>
      <c r="E519" s="6" t="s">
        <v>425</v>
      </c>
      <c r="F519" s="6">
        <v>79</v>
      </c>
      <c r="G519" s="6">
        <v>1986</v>
      </c>
      <c r="H519" s="6">
        <v>639</v>
      </c>
      <c r="I519" s="6">
        <v>0.5</v>
      </c>
      <c r="J519" s="6">
        <v>20.125</v>
      </c>
      <c r="K519" s="6">
        <v>0</v>
      </c>
    </row>
    <row r="520" spans="1:11" ht="12" customHeight="1">
      <c r="A520" s="6">
        <v>24225</v>
      </c>
      <c r="B520" s="6" t="s">
        <v>1064</v>
      </c>
      <c r="C520" s="6" t="s">
        <v>437</v>
      </c>
      <c r="E520" s="6" t="s">
        <v>438</v>
      </c>
      <c r="F520" s="6">
        <v>51</v>
      </c>
      <c r="G520" s="6">
        <v>1945</v>
      </c>
      <c r="H520" s="6">
        <v>797</v>
      </c>
      <c r="I520" s="6">
        <v>0</v>
      </c>
      <c r="J520" s="6">
        <v>0</v>
      </c>
      <c r="K520" s="6">
        <v>0</v>
      </c>
    </row>
    <row r="521" spans="1:11" ht="12" customHeight="1">
      <c r="A521" s="6">
        <v>23239</v>
      </c>
      <c r="B521" s="6" t="s">
        <v>1065</v>
      </c>
      <c r="C521" s="6" t="s">
        <v>550</v>
      </c>
      <c r="D521" s="6" t="s">
        <v>316</v>
      </c>
      <c r="E521" s="6" t="s">
        <v>446</v>
      </c>
      <c r="F521" s="6">
        <v>81</v>
      </c>
      <c r="G521" s="6">
        <v>1961</v>
      </c>
      <c r="H521" s="6">
        <v>590</v>
      </c>
      <c r="I521" s="6">
        <v>1.1559999999999999</v>
      </c>
      <c r="J521" s="6">
        <v>53.715000000000003</v>
      </c>
      <c r="K521" s="6">
        <v>0</v>
      </c>
    </row>
    <row r="522" spans="1:11" ht="12" customHeight="1">
      <c r="A522" s="6">
        <v>12085</v>
      </c>
      <c r="B522" s="6" t="s">
        <v>1066</v>
      </c>
      <c r="C522" s="6" t="s">
        <v>443</v>
      </c>
      <c r="D522" s="6" t="s">
        <v>316</v>
      </c>
      <c r="E522" s="6" t="s">
        <v>488</v>
      </c>
      <c r="F522" s="6">
        <v>73</v>
      </c>
      <c r="G522" s="6">
        <v>1949</v>
      </c>
      <c r="H522" s="6">
        <v>626</v>
      </c>
      <c r="I522" s="6">
        <v>0.68799999999999994</v>
      </c>
      <c r="J522" s="6">
        <v>32.57</v>
      </c>
      <c r="K522" s="6">
        <v>0</v>
      </c>
    </row>
    <row r="523" spans="1:11" ht="12" customHeight="1">
      <c r="A523" s="6">
        <v>23211</v>
      </c>
      <c r="B523" s="6" t="s">
        <v>1067</v>
      </c>
      <c r="C523" s="6" t="s">
        <v>548</v>
      </c>
      <c r="E523" s="6" t="s">
        <v>144</v>
      </c>
      <c r="F523" s="6">
        <v>63</v>
      </c>
      <c r="G523" s="6">
        <v>2001</v>
      </c>
      <c r="H523" s="6">
        <v>623</v>
      </c>
      <c r="I523" s="6">
        <v>1</v>
      </c>
      <c r="J523" s="6">
        <v>34.866999999999997</v>
      </c>
      <c r="K523" s="6">
        <v>0</v>
      </c>
    </row>
    <row r="524" spans="1:11" ht="12" customHeight="1">
      <c r="A524" s="6">
        <v>29037</v>
      </c>
      <c r="B524" s="6" t="s">
        <v>1068</v>
      </c>
      <c r="C524" s="6" t="s">
        <v>1069</v>
      </c>
      <c r="E524" s="6" t="s">
        <v>221</v>
      </c>
      <c r="F524" s="6">
        <v>17</v>
      </c>
      <c r="G524" s="6">
        <v>1974</v>
      </c>
      <c r="H524" s="6">
        <v>798</v>
      </c>
      <c r="I524" s="6">
        <v>0</v>
      </c>
      <c r="J524" s="6">
        <v>0</v>
      </c>
      <c r="K524" s="6">
        <v>0</v>
      </c>
    </row>
    <row r="525" spans="1:11" ht="12" customHeight="1">
      <c r="A525" s="6">
        <v>15014</v>
      </c>
      <c r="B525" s="6" t="s">
        <v>1070</v>
      </c>
      <c r="C525" s="6" t="s">
        <v>781</v>
      </c>
      <c r="D525" s="6" t="s">
        <v>451</v>
      </c>
      <c r="E525" s="6" t="s">
        <v>221</v>
      </c>
      <c r="F525" s="6">
        <v>17</v>
      </c>
      <c r="G525" s="6">
        <v>2006</v>
      </c>
      <c r="H525" s="6">
        <v>799</v>
      </c>
      <c r="I525" s="6">
        <v>0</v>
      </c>
      <c r="J525" s="6">
        <v>0</v>
      </c>
      <c r="K525" s="6">
        <v>0</v>
      </c>
    </row>
    <row r="526" spans="1:11" ht="12" customHeight="1">
      <c r="A526" s="6">
        <v>98446</v>
      </c>
      <c r="B526" s="6" t="s">
        <v>1071</v>
      </c>
      <c r="C526" s="6" t="s">
        <v>422</v>
      </c>
      <c r="E526" s="6" t="s">
        <v>138</v>
      </c>
      <c r="F526" s="6">
        <v>20</v>
      </c>
      <c r="G526" s="6">
        <v>1969</v>
      </c>
      <c r="H526" s="6">
        <v>12</v>
      </c>
      <c r="I526" s="6">
        <v>46.5</v>
      </c>
      <c r="J526" s="6">
        <v>3613.0419999999999</v>
      </c>
      <c r="K526" s="6">
        <v>1566</v>
      </c>
    </row>
    <row r="527" spans="1:11" ht="12" customHeight="1">
      <c r="A527" s="6">
        <v>19019</v>
      </c>
      <c r="B527" s="6" t="s">
        <v>1072</v>
      </c>
      <c r="C527" s="6" t="s">
        <v>998</v>
      </c>
      <c r="E527" s="6" t="s">
        <v>239</v>
      </c>
      <c r="F527" s="6">
        <v>14</v>
      </c>
      <c r="G527" s="6">
        <v>1986</v>
      </c>
      <c r="H527" s="6">
        <v>87</v>
      </c>
      <c r="I527" s="6">
        <v>33.000999999999998</v>
      </c>
      <c r="J527" s="6">
        <v>1961.36</v>
      </c>
      <c r="K527" s="6">
        <v>674</v>
      </c>
    </row>
    <row r="528" spans="1:11" ht="12" customHeight="1">
      <c r="A528" s="6">
        <v>22178</v>
      </c>
      <c r="B528" s="6" t="s">
        <v>1073</v>
      </c>
      <c r="C528" s="6" t="s">
        <v>911</v>
      </c>
      <c r="D528" s="6" t="s">
        <v>316</v>
      </c>
      <c r="E528" s="6" t="s">
        <v>239</v>
      </c>
      <c r="F528" s="6">
        <v>14</v>
      </c>
      <c r="G528" s="6">
        <v>1975</v>
      </c>
      <c r="H528" s="6">
        <v>800</v>
      </c>
      <c r="I528" s="6">
        <v>0</v>
      </c>
      <c r="J528" s="6">
        <v>0</v>
      </c>
      <c r="K528" s="6">
        <v>0</v>
      </c>
    </row>
    <row r="529" spans="1:11" ht="12" customHeight="1">
      <c r="A529" s="6">
        <v>16001</v>
      </c>
      <c r="B529" s="6" t="s">
        <v>1074</v>
      </c>
      <c r="C529" s="6" t="s">
        <v>552</v>
      </c>
      <c r="E529" s="6" t="s">
        <v>299</v>
      </c>
      <c r="F529" s="6">
        <v>42</v>
      </c>
      <c r="G529" s="6">
        <v>1981</v>
      </c>
      <c r="H529" s="6">
        <v>193</v>
      </c>
      <c r="I529" s="6">
        <v>14.532999999999999</v>
      </c>
      <c r="J529" s="6">
        <v>1057.9580000000001</v>
      </c>
      <c r="K529" s="6">
        <v>392</v>
      </c>
    </row>
    <row r="530" spans="1:11" ht="12" customHeight="1">
      <c r="A530" s="6">
        <v>27062</v>
      </c>
      <c r="B530" s="6" t="s">
        <v>1075</v>
      </c>
      <c r="C530" s="6" t="s">
        <v>514</v>
      </c>
      <c r="E530" s="6" t="s">
        <v>704</v>
      </c>
      <c r="F530" s="6">
        <v>45</v>
      </c>
      <c r="G530" s="6">
        <v>1954</v>
      </c>
      <c r="H530" s="6">
        <v>166</v>
      </c>
      <c r="I530" s="6">
        <v>21.157</v>
      </c>
      <c r="J530" s="6">
        <v>1277.7</v>
      </c>
      <c r="K530" s="6">
        <v>529</v>
      </c>
    </row>
    <row r="531" spans="1:11" ht="12" customHeight="1">
      <c r="A531" s="6">
        <v>25014</v>
      </c>
      <c r="B531" s="6" t="s">
        <v>1076</v>
      </c>
      <c r="C531" s="6" t="s">
        <v>624</v>
      </c>
      <c r="E531" s="6" t="s">
        <v>520</v>
      </c>
      <c r="F531" s="6">
        <v>55</v>
      </c>
      <c r="G531" s="6">
        <v>1959</v>
      </c>
      <c r="H531" s="6">
        <v>144</v>
      </c>
      <c r="I531" s="6">
        <v>16.149999999999999</v>
      </c>
      <c r="J531" s="6">
        <v>1421.1179999999999</v>
      </c>
      <c r="K531" s="6">
        <v>683</v>
      </c>
    </row>
    <row r="532" spans="1:11" ht="12" customHeight="1">
      <c r="A532" s="6">
        <v>12073</v>
      </c>
      <c r="B532" s="6" t="s">
        <v>1077</v>
      </c>
      <c r="C532" s="6" t="s">
        <v>1078</v>
      </c>
      <c r="D532" s="6" t="s">
        <v>316</v>
      </c>
      <c r="E532" s="6" t="s">
        <v>520</v>
      </c>
      <c r="F532" s="6">
        <v>55</v>
      </c>
      <c r="G532" s="6">
        <v>1975</v>
      </c>
      <c r="H532" s="6">
        <v>202</v>
      </c>
      <c r="I532" s="6">
        <v>8.907</v>
      </c>
      <c r="J532" s="6">
        <v>1007.528</v>
      </c>
      <c r="K532" s="6">
        <v>581</v>
      </c>
    </row>
    <row r="533" spans="1:11" ht="12" customHeight="1">
      <c r="A533" s="6">
        <v>25015</v>
      </c>
      <c r="B533" s="6" t="s">
        <v>1077</v>
      </c>
      <c r="C533" s="6" t="s">
        <v>478</v>
      </c>
      <c r="D533" s="6" t="s">
        <v>316</v>
      </c>
      <c r="E533" s="6" t="s">
        <v>520</v>
      </c>
      <c r="F533" s="6">
        <v>55</v>
      </c>
      <c r="G533" s="6">
        <v>1960</v>
      </c>
      <c r="H533" s="6">
        <v>218</v>
      </c>
      <c r="I533" s="6">
        <v>10.750999999999999</v>
      </c>
      <c r="J533" s="6">
        <v>926.95799999999997</v>
      </c>
      <c r="K533" s="6">
        <v>493</v>
      </c>
    </row>
    <row r="534" spans="1:11" ht="12" customHeight="1">
      <c r="A534" s="6">
        <v>21080</v>
      </c>
      <c r="B534" s="6" t="s">
        <v>1079</v>
      </c>
      <c r="C534" s="6" t="s">
        <v>482</v>
      </c>
      <c r="E534" s="6" t="s">
        <v>714</v>
      </c>
      <c r="F534" s="6">
        <v>85</v>
      </c>
      <c r="G534" s="6">
        <v>1991</v>
      </c>
      <c r="H534" s="6">
        <v>801</v>
      </c>
      <c r="I534" s="6">
        <v>0</v>
      </c>
      <c r="J534" s="6">
        <v>0</v>
      </c>
      <c r="K534" s="6">
        <v>0</v>
      </c>
    </row>
    <row r="535" spans="1:11" ht="12" customHeight="1">
      <c r="A535" s="6">
        <v>22138</v>
      </c>
      <c r="B535" s="6" t="s">
        <v>1080</v>
      </c>
      <c r="C535" s="6" t="s">
        <v>1081</v>
      </c>
      <c r="E535" s="6" t="s">
        <v>474</v>
      </c>
      <c r="F535" s="6">
        <v>96</v>
      </c>
      <c r="G535" s="6">
        <v>1953</v>
      </c>
      <c r="H535" s="6">
        <v>646</v>
      </c>
      <c r="I535" s="6">
        <v>0.68799999999999994</v>
      </c>
      <c r="J535" s="6">
        <v>13.381</v>
      </c>
      <c r="K535" s="6">
        <v>0</v>
      </c>
    </row>
    <row r="536" spans="1:11" ht="12" customHeight="1">
      <c r="A536" s="6">
        <v>18087</v>
      </c>
      <c r="B536" s="6" t="s">
        <v>1080</v>
      </c>
      <c r="C536" s="6" t="s">
        <v>427</v>
      </c>
      <c r="E536" s="6" t="s">
        <v>721</v>
      </c>
      <c r="F536" s="6">
        <v>90</v>
      </c>
      <c r="G536" s="6">
        <v>1960</v>
      </c>
      <c r="H536" s="6">
        <v>262</v>
      </c>
      <c r="I536" s="6">
        <v>7.3129999999999997</v>
      </c>
      <c r="J536" s="6">
        <v>659.65300000000002</v>
      </c>
      <c r="K536" s="6">
        <v>329</v>
      </c>
    </row>
    <row r="537" spans="1:11" ht="12" customHeight="1">
      <c r="A537" s="6">
        <v>22139</v>
      </c>
      <c r="B537" s="6" t="s">
        <v>1082</v>
      </c>
      <c r="C537" s="6" t="s">
        <v>1083</v>
      </c>
      <c r="D537" s="6" t="s">
        <v>316</v>
      </c>
      <c r="E537" s="6" t="s">
        <v>474</v>
      </c>
      <c r="F537" s="6">
        <v>96</v>
      </c>
      <c r="G537" s="6">
        <v>1966</v>
      </c>
      <c r="H537" s="6">
        <v>644</v>
      </c>
      <c r="I537" s="6">
        <v>0.81299999999999994</v>
      </c>
      <c r="J537" s="6">
        <v>15.814</v>
      </c>
      <c r="K537" s="6">
        <v>0</v>
      </c>
    </row>
    <row r="538" spans="1:11" ht="12" customHeight="1">
      <c r="A538" s="6">
        <v>18088</v>
      </c>
      <c r="B538" s="6" t="s">
        <v>1082</v>
      </c>
      <c r="C538" s="6" t="s">
        <v>529</v>
      </c>
      <c r="D538" s="6" t="s">
        <v>316</v>
      </c>
      <c r="E538" s="6" t="s">
        <v>721</v>
      </c>
      <c r="F538" s="6">
        <v>90</v>
      </c>
      <c r="G538" s="6">
        <v>1965</v>
      </c>
      <c r="H538" s="6">
        <v>802</v>
      </c>
      <c r="I538" s="6">
        <v>0</v>
      </c>
      <c r="J538" s="6">
        <v>0</v>
      </c>
      <c r="K538" s="6">
        <v>0</v>
      </c>
    </row>
    <row r="539" spans="1:11" ht="12" customHeight="1">
      <c r="A539" s="6">
        <v>98457</v>
      </c>
      <c r="B539" s="6" t="s">
        <v>1084</v>
      </c>
      <c r="C539" s="6" t="s">
        <v>499</v>
      </c>
      <c r="E539" s="6" t="s">
        <v>138</v>
      </c>
      <c r="F539" s="6">
        <v>20</v>
      </c>
      <c r="G539" s="6">
        <v>1960</v>
      </c>
      <c r="H539" s="6">
        <v>283</v>
      </c>
      <c r="I539" s="6">
        <v>14.188000000000001</v>
      </c>
      <c r="J539" s="6">
        <v>576.976</v>
      </c>
      <c r="K539" s="6">
        <v>0</v>
      </c>
    </row>
    <row r="540" spans="1:11" ht="12" customHeight="1">
      <c r="A540" s="6">
        <v>21757</v>
      </c>
      <c r="B540" s="6" t="s">
        <v>1085</v>
      </c>
      <c r="C540" s="6" t="s">
        <v>440</v>
      </c>
      <c r="E540" s="6" t="s">
        <v>189</v>
      </c>
      <c r="F540" s="6">
        <v>31</v>
      </c>
      <c r="G540" s="6">
        <v>1973</v>
      </c>
      <c r="H540" s="6">
        <v>803</v>
      </c>
      <c r="I540" s="6">
        <v>0</v>
      </c>
      <c r="J540" s="6">
        <v>0</v>
      </c>
      <c r="K540" s="6">
        <v>0</v>
      </c>
    </row>
    <row r="541" spans="1:11" ht="12" customHeight="1">
      <c r="A541" s="6">
        <v>23069</v>
      </c>
      <c r="B541" s="6" t="s">
        <v>1086</v>
      </c>
      <c r="C541" s="6" t="s">
        <v>424</v>
      </c>
      <c r="E541" s="6" t="s">
        <v>232</v>
      </c>
      <c r="F541" s="6">
        <v>19</v>
      </c>
      <c r="G541" s="6">
        <v>1969</v>
      </c>
      <c r="H541" s="6">
        <v>804</v>
      </c>
      <c r="I541" s="6">
        <v>0</v>
      </c>
      <c r="J541" s="6">
        <v>0</v>
      </c>
      <c r="K541" s="6">
        <v>0</v>
      </c>
    </row>
    <row r="542" spans="1:11" ht="12" customHeight="1">
      <c r="A542" s="6">
        <v>18045</v>
      </c>
      <c r="B542" s="6" t="s">
        <v>1087</v>
      </c>
      <c r="C542" s="6" t="s">
        <v>1088</v>
      </c>
      <c r="D542" s="6" t="s">
        <v>316</v>
      </c>
      <c r="E542" s="6" t="s">
        <v>163</v>
      </c>
      <c r="F542" s="6">
        <v>30</v>
      </c>
      <c r="G542" s="6">
        <v>1977</v>
      </c>
      <c r="H542" s="6">
        <v>595</v>
      </c>
      <c r="I542" s="6">
        <v>1.5</v>
      </c>
      <c r="J542" s="6">
        <v>52.478999999999999</v>
      </c>
      <c r="K542" s="6">
        <v>0</v>
      </c>
    </row>
    <row r="543" spans="1:11" ht="12" customHeight="1">
      <c r="A543" s="6">
        <v>16110</v>
      </c>
      <c r="B543" s="6" t="s">
        <v>1089</v>
      </c>
      <c r="C543" s="6" t="s">
        <v>492</v>
      </c>
      <c r="E543" s="6" t="s">
        <v>253</v>
      </c>
      <c r="F543" s="6">
        <v>86</v>
      </c>
      <c r="G543" s="6">
        <v>1989</v>
      </c>
      <c r="H543" s="6">
        <v>578</v>
      </c>
      <c r="I543" s="6">
        <v>1.375</v>
      </c>
      <c r="J543" s="6">
        <v>64.147000000000006</v>
      </c>
      <c r="K543" s="6">
        <v>0</v>
      </c>
    </row>
    <row r="544" spans="1:11" ht="12" customHeight="1">
      <c r="A544" s="6">
        <v>20614</v>
      </c>
      <c r="B544" s="6" t="s">
        <v>1090</v>
      </c>
      <c r="C544" s="6" t="s">
        <v>592</v>
      </c>
      <c r="D544" s="6" t="s">
        <v>316</v>
      </c>
      <c r="E544" s="6" t="s">
        <v>572</v>
      </c>
      <c r="F544" s="6">
        <v>87</v>
      </c>
      <c r="G544" s="6">
        <v>1950</v>
      </c>
      <c r="H544" s="6">
        <v>212</v>
      </c>
      <c r="I544" s="6">
        <v>14.188000000000001</v>
      </c>
      <c r="J544" s="6">
        <v>979.05200000000002</v>
      </c>
      <c r="K544" s="6">
        <v>397</v>
      </c>
    </row>
    <row r="545" spans="1:11" ht="12" customHeight="1">
      <c r="A545" s="6">
        <v>12053</v>
      </c>
      <c r="B545" s="6" t="s">
        <v>1091</v>
      </c>
      <c r="C545" s="6" t="s">
        <v>563</v>
      </c>
      <c r="E545" s="6" t="s">
        <v>174</v>
      </c>
      <c r="F545" s="6">
        <v>56</v>
      </c>
      <c r="G545" s="6">
        <v>1970</v>
      </c>
      <c r="H545" s="6">
        <v>432</v>
      </c>
      <c r="I545" s="6">
        <v>2.625</v>
      </c>
      <c r="J545" s="6">
        <v>211.916</v>
      </c>
      <c r="K545" s="6">
        <v>98</v>
      </c>
    </row>
    <row r="546" spans="1:11" ht="12" customHeight="1">
      <c r="A546" s="6">
        <v>22108</v>
      </c>
      <c r="B546" s="6" t="s">
        <v>1092</v>
      </c>
      <c r="C546" s="6" t="s">
        <v>768</v>
      </c>
      <c r="E546" s="6" t="s">
        <v>156</v>
      </c>
      <c r="F546" s="6">
        <v>33</v>
      </c>
      <c r="G546" s="6">
        <v>1979</v>
      </c>
      <c r="H546" s="6">
        <v>455</v>
      </c>
      <c r="I546" s="6">
        <v>6.125</v>
      </c>
      <c r="J546" s="6">
        <v>180.654</v>
      </c>
      <c r="K546" s="6">
        <v>0</v>
      </c>
    </row>
    <row r="547" spans="1:11" ht="12" customHeight="1">
      <c r="A547" s="6">
        <v>12026</v>
      </c>
      <c r="B547" s="6" t="s">
        <v>1092</v>
      </c>
      <c r="C547" s="6" t="s">
        <v>437</v>
      </c>
      <c r="E547" s="6" t="s">
        <v>456</v>
      </c>
      <c r="F547" s="6">
        <v>70</v>
      </c>
      <c r="G547" s="6">
        <v>1945</v>
      </c>
      <c r="H547" s="6">
        <v>805</v>
      </c>
      <c r="I547" s="6">
        <v>0</v>
      </c>
      <c r="J547" s="6">
        <v>0</v>
      </c>
      <c r="K547" s="6">
        <v>0</v>
      </c>
    </row>
    <row r="548" spans="1:11" ht="12" customHeight="1">
      <c r="A548" s="6">
        <v>13011</v>
      </c>
      <c r="B548" s="6" t="s">
        <v>1092</v>
      </c>
      <c r="C548" s="6" t="s">
        <v>422</v>
      </c>
      <c r="E548" s="6" t="s">
        <v>533</v>
      </c>
      <c r="F548" s="6">
        <v>75</v>
      </c>
      <c r="G548" s="6">
        <v>1958</v>
      </c>
      <c r="H548" s="6">
        <v>466</v>
      </c>
      <c r="I548" s="6">
        <v>5.282</v>
      </c>
      <c r="J548" s="6">
        <v>170.262</v>
      </c>
      <c r="K548" s="6">
        <v>0</v>
      </c>
    </row>
    <row r="549" spans="1:11" ht="12" customHeight="1">
      <c r="A549" s="6">
        <v>16009</v>
      </c>
      <c r="B549" s="6" t="s">
        <v>1093</v>
      </c>
      <c r="C549" s="6" t="s">
        <v>673</v>
      </c>
      <c r="D549" s="6" t="s">
        <v>316</v>
      </c>
      <c r="E549" s="6" t="s">
        <v>556</v>
      </c>
      <c r="F549" s="6">
        <v>13</v>
      </c>
      <c r="G549" s="6">
        <v>1989</v>
      </c>
      <c r="H549" s="6">
        <v>806</v>
      </c>
      <c r="I549" s="6">
        <v>0</v>
      </c>
      <c r="J549" s="6">
        <v>0</v>
      </c>
      <c r="K549" s="6">
        <v>0</v>
      </c>
    </row>
    <row r="550" spans="1:11" ht="12" customHeight="1">
      <c r="A550" s="6">
        <v>23224</v>
      </c>
      <c r="B550" s="6" t="s">
        <v>1093</v>
      </c>
      <c r="C550" s="6" t="s">
        <v>1036</v>
      </c>
      <c r="D550" s="6" t="s">
        <v>316</v>
      </c>
      <c r="E550" s="6" t="s">
        <v>572</v>
      </c>
      <c r="F550" s="6">
        <v>87</v>
      </c>
      <c r="G550" s="6">
        <v>1950</v>
      </c>
      <c r="H550" s="6">
        <v>640</v>
      </c>
      <c r="I550" s="6">
        <v>0.438</v>
      </c>
      <c r="J550" s="6">
        <v>19.472999999999999</v>
      </c>
      <c r="K550" s="6">
        <v>0</v>
      </c>
    </row>
    <row r="551" spans="1:11" ht="12" customHeight="1">
      <c r="A551" s="6">
        <v>16058</v>
      </c>
      <c r="B551" s="6" t="s">
        <v>1094</v>
      </c>
      <c r="C551" s="6" t="s">
        <v>499</v>
      </c>
      <c r="E551" s="6" t="s">
        <v>802</v>
      </c>
      <c r="F551" s="6">
        <v>83</v>
      </c>
      <c r="G551" s="6">
        <v>1975</v>
      </c>
      <c r="H551" s="6">
        <v>294</v>
      </c>
      <c r="I551" s="6">
        <v>7.75</v>
      </c>
      <c r="J551" s="6">
        <v>520.04</v>
      </c>
      <c r="K551" s="6">
        <v>147</v>
      </c>
    </row>
    <row r="552" spans="1:11" ht="12" customHeight="1">
      <c r="A552" s="6">
        <v>24310</v>
      </c>
      <c r="B552" s="6" t="s">
        <v>1095</v>
      </c>
      <c r="C552" s="6" t="s">
        <v>1001</v>
      </c>
      <c r="E552" s="6" t="s">
        <v>493</v>
      </c>
      <c r="F552" s="6">
        <v>16</v>
      </c>
      <c r="G552" s="6">
        <v>1990</v>
      </c>
      <c r="H552" s="6">
        <v>59</v>
      </c>
      <c r="I552" s="6">
        <v>26.189</v>
      </c>
      <c r="J552" s="6">
        <v>2309.6550000000002</v>
      </c>
      <c r="K552" s="6">
        <v>1108</v>
      </c>
    </row>
    <row r="553" spans="1:11" ht="12" customHeight="1">
      <c r="A553" s="6">
        <v>20576</v>
      </c>
      <c r="B553" s="6" t="s">
        <v>1096</v>
      </c>
      <c r="C553" s="6" t="s">
        <v>620</v>
      </c>
      <c r="D553" s="6" t="s">
        <v>451</v>
      </c>
      <c r="E553" s="6" t="s">
        <v>229</v>
      </c>
      <c r="F553" s="6">
        <v>1</v>
      </c>
      <c r="G553" s="6">
        <v>2012</v>
      </c>
      <c r="H553" s="6">
        <v>592</v>
      </c>
      <c r="I553" s="6">
        <v>1.75</v>
      </c>
      <c r="J553" s="6">
        <v>53.048000000000002</v>
      </c>
      <c r="K553" s="6">
        <v>0</v>
      </c>
    </row>
    <row r="554" spans="1:11" ht="12" customHeight="1">
      <c r="A554" s="6">
        <v>21039</v>
      </c>
      <c r="B554" s="6" t="s">
        <v>1097</v>
      </c>
      <c r="C554" s="6" t="s">
        <v>514</v>
      </c>
      <c r="E554" s="6" t="s">
        <v>721</v>
      </c>
      <c r="F554" s="6">
        <v>90</v>
      </c>
      <c r="G554" s="6">
        <v>1956</v>
      </c>
      <c r="H554" s="6">
        <v>205</v>
      </c>
      <c r="I554" s="6">
        <v>10.734999999999999</v>
      </c>
      <c r="J554" s="6">
        <v>1000.273</v>
      </c>
      <c r="K554" s="6">
        <v>500</v>
      </c>
    </row>
    <row r="555" spans="1:11" ht="12" customHeight="1">
      <c r="A555" s="6">
        <v>10026</v>
      </c>
      <c r="B555" s="6" t="s">
        <v>1097</v>
      </c>
      <c r="C555" s="6" t="s">
        <v>440</v>
      </c>
      <c r="E555" s="6" t="s">
        <v>242</v>
      </c>
      <c r="F555" s="6">
        <v>67</v>
      </c>
      <c r="G555" s="6">
        <v>1962</v>
      </c>
      <c r="H555" s="6">
        <v>473</v>
      </c>
      <c r="I555" s="6">
        <v>1.8129999999999999</v>
      </c>
      <c r="J555" s="6">
        <v>169.696</v>
      </c>
      <c r="K555" s="6">
        <v>89</v>
      </c>
    </row>
    <row r="556" spans="1:11" ht="12" customHeight="1">
      <c r="A556" s="6">
        <v>15093</v>
      </c>
      <c r="B556" s="6" t="s">
        <v>1097</v>
      </c>
      <c r="C556" s="6" t="s">
        <v>445</v>
      </c>
      <c r="E556" s="6" t="s">
        <v>138</v>
      </c>
      <c r="F556" s="6">
        <v>20</v>
      </c>
      <c r="G556" s="6">
        <v>1969</v>
      </c>
      <c r="H556" s="6">
        <v>807</v>
      </c>
      <c r="I556" s="6">
        <v>0</v>
      </c>
      <c r="J556" s="6">
        <v>0</v>
      </c>
      <c r="K556" s="6">
        <v>0</v>
      </c>
    </row>
    <row r="557" spans="1:11" ht="12" customHeight="1">
      <c r="A557" s="6">
        <v>17024</v>
      </c>
      <c r="B557" s="6" t="s">
        <v>1098</v>
      </c>
      <c r="C557" s="6" t="s">
        <v>1099</v>
      </c>
      <c r="E557" s="6" t="s">
        <v>685</v>
      </c>
      <c r="F557" s="6">
        <v>82</v>
      </c>
      <c r="G557" s="6">
        <v>1967</v>
      </c>
      <c r="H557" s="6">
        <v>635</v>
      </c>
      <c r="I557" s="6">
        <v>0.625</v>
      </c>
      <c r="J557" s="6">
        <v>23.649000000000001</v>
      </c>
      <c r="K557" s="6">
        <v>0</v>
      </c>
    </row>
    <row r="558" spans="1:11" ht="12" customHeight="1">
      <c r="A558" s="6">
        <v>21829</v>
      </c>
      <c r="B558" s="6" t="s">
        <v>1100</v>
      </c>
      <c r="C558" s="6" t="s">
        <v>1101</v>
      </c>
      <c r="D558" s="6" t="s">
        <v>316</v>
      </c>
      <c r="E558" s="6" t="s">
        <v>361</v>
      </c>
      <c r="F558" s="6">
        <v>36</v>
      </c>
      <c r="G558" s="6">
        <v>1954</v>
      </c>
      <c r="H558" s="6">
        <v>808</v>
      </c>
      <c r="I558" s="6">
        <v>0</v>
      </c>
      <c r="J558" s="6">
        <v>0</v>
      </c>
      <c r="K558" s="6">
        <v>0</v>
      </c>
    </row>
    <row r="559" spans="1:11" ht="12" customHeight="1">
      <c r="A559" s="6">
        <v>11018</v>
      </c>
      <c r="B559" s="6" t="s">
        <v>1102</v>
      </c>
      <c r="C559" s="6" t="s">
        <v>482</v>
      </c>
      <c r="E559" s="6" t="s">
        <v>704</v>
      </c>
      <c r="F559" s="6">
        <v>45</v>
      </c>
      <c r="G559" s="6">
        <v>1947</v>
      </c>
      <c r="H559" s="6">
        <v>327</v>
      </c>
      <c r="I559" s="6">
        <v>13.002000000000001</v>
      </c>
      <c r="J559" s="6">
        <v>439.14699999999999</v>
      </c>
      <c r="K559" s="6">
        <v>15</v>
      </c>
    </row>
    <row r="560" spans="1:11" ht="12" customHeight="1">
      <c r="A560" s="6">
        <v>18053</v>
      </c>
      <c r="B560" s="6" t="s">
        <v>1103</v>
      </c>
      <c r="C560" s="6" t="s">
        <v>1104</v>
      </c>
      <c r="D560" s="6" t="s">
        <v>316</v>
      </c>
      <c r="E560" s="6" t="s">
        <v>174</v>
      </c>
      <c r="F560" s="6">
        <v>56</v>
      </c>
      <c r="G560" s="6">
        <v>1967</v>
      </c>
      <c r="H560" s="6">
        <v>292</v>
      </c>
      <c r="I560" s="6">
        <v>11.093999999999999</v>
      </c>
      <c r="J560" s="6">
        <v>525.46900000000005</v>
      </c>
      <c r="K560" s="6">
        <v>131</v>
      </c>
    </row>
    <row r="561" spans="1:11" ht="12" customHeight="1">
      <c r="A561" s="6">
        <v>16125</v>
      </c>
      <c r="B561" s="6" t="s">
        <v>1105</v>
      </c>
      <c r="C561" s="6" t="s">
        <v>735</v>
      </c>
      <c r="E561" s="6" t="s">
        <v>229</v>
      </c>
      <c r="F561" s="6">
        <v>1</v>
      </c>
      <c r="G561" s="6">
        <v>1996</v>
      </c>
      <c r="H561" s="6">
        <v>319</v>
      </c>
      <c r="I561" s="6">
        <v>7.3140000000000001</v>
      </c>
      <c r="J561" s="6">
        <v>457.76400000000001</v>
      </c>
      <c r="K561" s="6">
        <v>130</v>
      </c>
    </row>
    <row r="562" spans="1:11" ht="12" customHeight="1">
      <c r="A562" s="6">
        <v>19040</v>
      </c>
      <c r="B562" s="6" t="s">
        <v>1106</v>
      </c>
      <c r="C562" s="6" t="s">
        <v>441</v>
      </c>
      <c r="E562" s="6" t="s">
        <v>685</v>
      </c>
      <c r="F562" s="6">
        <v>82</v>
      </c>
      <c r="G562" s="6">
        <v>1975</v>
      </c>
      <c r="H562" s="6">
        <v>397</v>
      </c>
      <c r="I562" s="6">
        <v>8.25</v>
      </c>
      <c r="J562" s="6">
        <v>279.423</v>
      </c>
      <c r="K562" s="6">
        <v>0</v>
      </c>
    </row>
    <row r="563" spans="1:11" ht="12" customHeight="1">
      <c r="A563" s="6">
        <v>10058</v>
      </c>
      <c r="B563" s="6" t="s">
        <v>1107</v>
      </c>
      <c r="C563" s="6" t="s">
        <v>1108</v>
      </c>
      <c r="E563" s="6" t="s">
        <v>163</v>
      </c>
      <c r="F563" s="6">
        <v>30</v>
      </c>
      <c r="G563" s="6">
        <v>1977</v>
      </c>
      <c r="H563" s="6">
        <v>42</v>
      </c>
      <c r="I563" s="6">
        <v>36.125</v>
      </c>
      <c r="J563" s="6">
        <v>2615.7109999999998</v>
      </c>
      <c r="K563" s="6">
        <v>1150</v>
      </c>
    </row>
    <row r="564" spans="1:11" ht="12" customHeight="1">
      <c r="A564" s="6">
        <v>13066</v>
      </c>
      <c r="B564" s="6" t="s">
        <v>1109</v>
      </c>
      <c r="C564" s="6" t="s">
        <v>532</v>
      </c>
      <c r="E564" s="6" t="s">
        <v>174</v>
      </c>
      <c r="F564" s="6">
        <v>56</v>
      </c>
      <c r="G564" s="6">
        <v>1967</v>
      </c>
      <c r="H564" s="6">
        <v>324</v>
      </c>
      <c r="I564" s="6">
        <v>8.657</v>
      </c>
      <c r="J564" s="6">
        <v>443.42599999999999</v>
      </c>
      <c r="K564" s="6">
        <v>131</v>
      </c>
    </row>
    <row r="565" spans="1:11" ht="12" customHeight="1">
      <c r="A565" s="6">
        <v>18066</v>
      </c>
      <c r="B565" s="6" t="s">
        <v>1110</v>
      </c>
      <c r="C565" s="6" t="s">
        <v>427</v>
      </c>
      <c r="E565" s="6" t="s">
        <v>199</v>
      </c>
      <c r="F565" s="6">
        <v>88</v>
      </c>
      <c r="G565" s="6">
        <v>1969</v>
      </c>
      <c r="H565" s="6">
        <v>154</v>
      </c>
      <c r="I565" s="6">
        <v>27.187999999999999</v>
      </c>
      <c r="J565" s="6">
        <v>1355.9280000000001</v>
      </c>
      <c r="K565" s="6">
        <v>401</v>
      </c>
    </row>
    <row r="566" spans="1:11" ht="12" customHeight="1">
      <c r="A566" s="6">
        <v>18072</v>
      </c>
      <c r="B566" s="6" t="s">
        <v>1110</v>
      </c>
      <c r="C566" s="6" t="s">
        <v>418</v>
      </c>
      <c r="D566" s="6" t="s">
        <v>434</v>
      </c>
      <c r="E566" s="6" t="s">
        <v>199</v>
      </c>
      <c r="F566" s="6">
        <v>88</v>
      </c>
      <c r="G566" s="6">
        <v>2005</v>
      </c>
      <c r="H566" s="6">
        <v>140</v>
      </c>
      <c r="I566" s="6">
        <v>25.75</v>
      </c>
      <c r="J566" s="6">
        <v>1464.1210000000001</v>
      </c>
      <c r="K566" s="6">
        <v>539</v>
      </c>
    </row>
    <row r="567" spans="1:11" ht="12" customHeight="1">
      <c r="A567" s="6">
        <v>22156</v>
      </c>
      <c r="B567" s="6" t="s">
        <v>1111</v>
      </c>
      <c r="C567" s="6" t="s">
        <v>537</v>
      </c>
      <c r="D567" s="6" t="s">
        <v>316</v>
      </c>
      <c r="E567" s="6" t="s">
        <v>199</v>
      </c>
      <c r="F567" s="6">
        <v>88</v>
      </c>
      <c r="G567" s="6">
        <v>1969</v>
      </c>
      <c r="H567" s="6">
        <v>543</v>
      </c>
      <c r="I567" s="6">
        <v>2.875</v>
      </c>
      <c r="J567" s="6">
        <v>94.448999999999998</v>
      </c>
      <c r="K567" s="6">
        <v>0</v>
      </c>
    </row>
    <row r="568" spans="1:11" ht="12" customHeight="1">
      <c r="A568" s="6">
        <v>23021</v>
      </c>
      <c r="B568" s="6" t="s">
        <v>1112</v>
      </c>
      <c r="C568" s="6" t="s">
        <v>482</v>
      </c>
      <c r="E568" s="6" t="s">
        <v>375</v>
      </c>
      <c r="F568" s="6">
        <v>43</v>
      </c>
      <c r="G568" s="6">
        <v>1958</v>
      </c>
      <c r="H568" s="6">
        <v>79</v>
      </c>
      <c r="I568" s="6">
        <v>25.094000000000001</v>
      </c>
      <c r="J568" s="6">
        <v>2075.0920000000001</v>
      </c>
      <c r="K568" s="6">
        <v>892</v>
      </c>
    </row>
    <row r="569" spans="1:11" ht="12" customHeight="1">
      <c r="A569" s="6">
        <v>23240</v>
      </c>
      <c r="B569" s="6" t="s">
        <v>1113</v>
      </c>
      <c r="C569" s="6" t="s">
        <v>440</v>
      </c>
      <c r="E569" s="6" t="s">
        <v>186</v>
      </c>
      <c r="F569" s="6">
        <v>91</v>
      </c>
      <c r="G569" s="6">
        <v>1956</v>
      </c>
      <c r="H569" s="6">
        <v>809</v>
      </c>
      <c r="I569" s="6">
        <v>0</v>
      </c>
      <c r="J569" s="6">
        <v>0</v>
      </c>
      <c r="K569" s="6">
        <v>0</v>
      </c>
    </row>
    <row r="570" spans="1:11" ht="12" customHeight="1">
      <c r="A570" s="6">
        <v>25073</v>
      </c>
      <c r="B570" s="6" t="s">
        <v>1114</v>
      </c>
      <c r="C570" s="6" t="s">
        <v>539</v>
      </c>
      <c r="E570" s="6" t="s">
        <v>232</v>
      </c>
      <c r="F570" s="6">
        <v>19</v>
      </c>
      <c r="G570" s="6">
        <v>1980</v>
      </c>
      <c r="H570" s="6">
        <v>810</v>
      </c>
      <c r="I570" s="6">
        <v>0</v>
      </c>
      <c r="J570" s="6">
        <v>0</v>
      </c>
      <c r="K570" s="6">
        <v>0</v>
      </c>
    </row>
    <row r="571" spans="1:11" ht="12" customHeight="1">
      <c r="A571" s="6">
        <v>15065</v>
      </c>
      <c r="B571" s="6" t="s">
        <v>1115</v>
      </c>
      <c r="C571" s="6" t="s">
        <v>532</v>
      </c>
      <c r="E571" s="6" t="s">
        <v>438</v>
      </c>
      <c r="F571" s="6">
        <v>51</v>
      </c>
      <c r="G571" s="6">
        <v>1963</v>
      </c>
      <c r="H571" s="6">
        <v>50</v>
      </c>
      <c r="I571" s="6">
        <v>35.563000000000002</v>
      </c>
      <c r="J571" s="6">
        <v>2468.1610000000001</v>
      </c>
      <c r="K571" s="6">
        <v>942</v>
      </c>
    </row>
    <row r="572" spans="1:11" ht="12" customHeight="1">
      <c r="A572" s="6">
        <v>14024</v>
      </c>
      <c r="B572" s="6" t="s">
        <v>1116</v>
      </c>
      <c r="C572" s="6" t="s">
        <v>1039</v>
      </c>
      <c r="D572" s="6" t="s">
        <v>316</v>
      </c>
      <c r="E572" s="6" t="s">
        <v>1011</v>
      </c>
      <c r="F572" s="6">
        <v>80</v>
      </c>
      <c r="G572" s="6">
        <v>1973</v>
      </c>
      <c r="H572" s="6">
        <v>242</v>
      </c>
      <c r="I572" s="6">
        <v>6.5010000000000003</v>
      </c>
      <c r="J572" s="6">
        <v>760.99300000000005</v>
      </c>
      <c r="K572" s="6">
        <v>437</v>
      </c>
    </row>
    <row r="573" spans="1:11" ht="12" customHeight="1">
      <c r="A573" s="6">
        <v>19046</v>
      </c>
      <c r="B573" s="6" t="s">
        <v>1117</v>
      </c>
      <c r="C573" s="6" t="s">
        <v>513</v>
      </c>
      <c r="E573" s="6" t="s">
        <v>174</v>
      </c>
      <c r="F573" s="6">
        <v>56</v>
      </c>
      <c r="G573" s="6">
        <v>1996</v>
      </c>
      <c r="H573" s="6">
        <v>811</v>
      </c>
      <c r="I573" s="6">
        <v>0</v>
      </c>
      <c r="J573" s="6">
        <v>0</v>
      </c>
      <c r="K573" s="6">
        <v>0</v>
      </c>
    </row>
    <row r="574" spans="1:11" ht="12" customHeight="1">
      <c r="A574" s="6">
        <v>16082</v>
      </c>
      <c r="B574" s="6" t="s">
        <v>1118</v>
      </c>
      <c r="C574" s="6" t="s">
        <v>499</v>
      </c>
      <c r="E574" s="6" t="s">
        <v>572</v>
      </c>
      <c r="F574" s="6">
        <v>87</v>
      </c>
      <c r="G574" s="6">
        <v>1946</v>
      </c>
      <c r="H574" s="6">
        <v>110</v>
      </c>
      <c r="I574" s="6">
        <v>28.625</v>
      </c>
      <c r="J574" s="6">
        <v>1739.549</v>
      </c>
      <c r="K574" s="6">
        <v>660</v>
      </c>
    </row>
    <row r="575" spans="1:11" ht="12" customHeight="1">
      <c r="A575" s="6">
        <v>18073</v>
      </c>
      <c r="B575" s="6" t="s">
        <v>1119</v>
      </c>
      <c r="C575" s="6" t="s">
        <v>448</v>
      </c>
      <c r="E575" s="6" t="s">
        <v>199</v>
      </c>
      <c r="F575" s="6">
        <v>88</v>
      </c>
      <c r="G575" s="6">
        <v>1982</v>
      </c>
      <c r="H575" s="6">
        <v>812</v>
      </c>
      <c r="I575" s="6">
        <v>0</v>
      </c>
      <c r="J575" s="6">
        <v>0</v>
      </c>
      <c r="K575" s="6">
        <v>0</v>
      </c>
    </row>
    <row r="576" spans="1:11" ht="12" customHeight="1">
      <c r="A576" s="6">
        <v>18101</v>
      </c>
      <c r="B576" s="6" t="s">
        <v>1120</v>
      </c>
      <c r="C576" s="6" t="s">
        <v>673</v>
      </c>
      <c r="D576" s="6" t="s">
        <v>316</v>
      </c>
      <c r="E576" s="6" t="s">
        <v>199</v>
      </c>
      <c r="F576" s="6">
        <v>88</v>
      </c>
      <c r="G576" s="6">
        <v>1984</v>
      </c>
      <c r="H576" s="6">
        <v>813</v>
      </c>
      <c r="I576" s="6">
        <v>0</v>
      </c>
      <c r="J576" s="6">
        <v>0</v>
      </c>
      <c r="K576" s="6">
        <v>0</v>
      </c>
    </row>
    <row r="577" spans="1:11" ht="12" customHeight="1">
      <c r="A577" s="6">
        <v>16044</v>
      </c>
      <c r="B577" s="6" t="s">
        <v>1121</v>
      </c>
      <c r="C577" s="6" t="s">
        <v>592</v>
      </c>
      <c r="D577" s="6" t="s">
        <v>316</v>
      </c>
      <c r="E577" s="6" t="s">
        <v>456</v>
      </c>
      <c r="F577" s="6">
        <v>70</v>
      </c>
      <c r="G577" s="6">
        <v>1947</v>
      </c>
      <c r="H577" s="6">
        <v>814</v>
      </c>
      <c r="I577" s="6">
        <v>0</v>
      </c>
      <c r="J577" s="6">
        <v>0</v>
      </c>
      <c r="K577" s="6">
        <v>0</v>
      </c>
    </row>
    <row r="578" spans="1:11" ht="12" customHeight="1">
      <c r="A578" s="6">
        <v>29052</v>
      </c>
      <c r="B578" s="6" t="s">
        <v>1122</v>
      </c>
      <c r="C578" s="6" t="s">
        <v>492</v>
      </c>
      <c r="E578" s="6" t="s">
        <v>134</v>
      </c>
      <c r="F578" s="6">
        <v>64</v>
      </c>
      <c r="G578" s="6">
        <v>1973</v>
      </c>
      <c r="H578" s="6">
        <v>641</v>
      </c>
      <c r="I578" s="6">
        <v>0.375</v>
      </c>
      <c r="J578" s="6">
        <v>17.173999999999999</v>
      </c>
      <c r="K578" s="6">
        <v>0</v>
      </c>
    </row>
    <row r="579" spans="1:11" ht="12" customHeight="1">
      <c r="A579" s="6">
        <v>21049</v>
      </c>
      <c r="B579" s="6" t="s">
        <v>1123</v>
      </c>
      <c r="C579" s="6" t="s">
        <v>826</v>
      </c>
      <c r="E579" s="6" t="s">
        <v>235</v>
      </c>
      <c r="F579" s="6">
        <v>27</v>
      </c>
      <c r="G579" s="6">
        <v>1973</v>
      </c>
      <c r="H579" s="6">
        <v>378</v>
      </c>
      <c r="I579" s="6">
        <v>10.063000000000001</v>
      </c>
      <c r="J579" s="6">
        <v>313.875</v>
      </c>
      <c r="K579" s="6">
        <v>0</v>
      </c>
    </row>
    <row r="580" spans="1:11" ht="12" customHeight="1">
      <c r="A580" s="6">
        <v>20598</v>
      </c>
      <c r="B580" s="6" t="s">
        <v>1124</v>
      </c>
      <c r="C580" s="6" t="s">
        <v>826</v>
      </c>
      <c r="E580" s="6" t="s">
        <v>460</v>
      </c>
      <c r="F580" s="6">
        <v>95</v>
      </c>
      <c r="G580" s="6">
        <v>1968</v>
      </c>
      <c r="H580" s="6">
        <v>815</v>
      </c>
      <c r="I580" s="6">
        <v>0</v>
      </c>
      <c r="J580" s="6">
        <v>0</v>
      </c>
      <c r="K580" s="6">
        <v>0</v>
      </c>
    </row>
    <row r="581" spans="1:11" ht="12" customHeight="1">
      <c r="A581" s="6">
        <v>20592</v>
      </c>
      <c r="B581" s="6" t="s">
        <v>1125</v>
      </c>
      <c r="C581" s="6" t="s">
        <v>480</v>
      </c>
      <c r="D581" s="6" t="s">
        <v>316</v>
      </c>
      <c r="E581" s="6" t="s">
        <v>460</v>
      </c>
      <c r="F581" s="6">
        <v>95</v>
      </c>
      <c r="G581" s="6">
        <v>1972</v>
      </c>
      <c r="H581" s="6">
        <v>816</v>
      </c>
      <c r="I581" s="6">
        <v>0</v>
      </c>
      <c r="J581" s="6">
        <v>0</v>
      </c>
      <c r="K581" s="6">
        <v>0</v>
      </c>
    </row>
    <row r="582" spans="1:11" ht="12" customHeight="1">
      <c r="A582" s="6">
        <v>22110</v>
      </c>
      <c r="B582" s="6" t="s">
        <v>1126</v>
      </c>
      <c r="C582" s="6" t="s">
        <v>427</v>
      </c>
      <c r="E582" s="6" t="s">
        <v>299</v>
      </c>
      <c r="F582" s="6">
        <v>42</v>
      </c>
      <c r="G582" s="6">
        <v>1950</v>
      </c>
      <c r="H582" s="6">
        <v>429</v>
      </c>
      <c r="I582" s="6">
        <v>4.1420000000000003</v>
      </c>
      <c r="J582" s="6">
        <v>214.10599999999999</v>
      </c>
      <c r="K582" s="6">
        <v>20</v>
      </c>
    </row>
    <row r="583" spans="1:11" ht="12" customHeight="1">
      <c r="A583" s="6">
        <v>98432</v>
      </c>
      <c r="B583" s="6" t="s">
        <v>1126</v>
      </c>
      <c r="C583" s="6" t="s">
        <v>532</v>
      </c>
      <c r="E583" s="6" t="s">
        <v>299</v>
      </c>
      <c r="F583" s="6">
        <v>42</v>
      </c>
      <c r="G583" s="6">
        <v>1946</v>
      </c>
      <c r="H583" s="6">
        <v>551</v>
      </c>
      <c r="I583" s="6">
        <v>2.375</v>
      </c>
      <c r="J583" s="6">
        <v>87.513000000000005</v>
      </c>
      <c r="K583" s="6">
        <v>0</v>
      </c>
    </row>
    <row r="584" spans="1:11" ht="12" customHeight="1">
      <c r="A584" s="6">
        <v>15074</v>
      </c>
      <c r="B584" s="6" t="s">
        <v>1127</v>
      </c>
      <c r="C584" s="6" t="s">
        <v>424</v>
      </c>
      <c r="E584" s="6" t="s">
        <v>169</v>
      </c>
      <c r="F584" s="6">
        <v>69</v>
      </c>
      <c r="G584" s="6">
        <v>1975</v>
      </c>
      <c r="H584" s="6">
        <v>305</v>
      </c>
      <c r="I584" s="6">
        <v>9.5630000000000006</v>
      </c>
      <c r="J584" s="6">
        <v>506.197</v>
      </c>
      <c r="K584" s="6">
        <v>162</v>
      </c>
    </row>
    <row r="585" spans="1:11" ht="12" customHeight="1">
      <c r="A585" s="6">
        <v>15079</v>
      </c>
      <c r="B585" s="6" t="s">
        <v>1128</v>
      </c>
      <c r="C585" s="6" t="s">
        <v>609</v>
      </c>
      <c r="E585" s="6" t="s">
        <v>556</v>
      </c>
      <c r="F585" s="6">
        <v>13</v>
      </c>
      <c r="G585" s="6">
        <v>1982</v>
      </c>
      <c r="H585" s="6">
        <v>602</v>
      </c>
      <c r="I585" s="6">
        <v>2</v>
      </c>
      <c r="J585" s="6">
        <v>47.088000000000001</v>
      </c>
      <c r="K585" s="6">
        <v>0</v>
      </c>
    </row>
    <row r="586" spans="1:11" ht="12" customHeight="1">
      <c r="A586" s="6">
        <v>23236</v>
      </c>
      <c r="B586" s="6" t="s">
        <v>1129</v>
      </c>
      <c r="C586" s="6" t="s">
        <v>1130</v>
      </c>
      <c r="E586" s="6" t="s">
        <v>221</v>
      </c>
      <c r="F586" s="6">
        <v>17</v>
      </c>
      <c r="G586" s="6">
        <v>1994</v>
      </c>
      <c r="H586" s="6">
        <v>535</v>
      </c>
      <c r="I586" s="6">
        <v>2.3439999999999999</v>
      </c>
      <c r="J586" s="6">
        <v>104.346</v>
      </c>
      <c r="K586" s="6">
        <v>0</v>
      </c>
    </row>
    <row r="587" spans="1:11" ht="12" customHeight="1">
      <c r="A587" s="6">
        <v>10060</v>
      </c>
      <c r="B587" s="6" t="s">
        <v>1131</v>
      </c>
      <c r="C587" s="6" t="s">
        <v>550</v>
      </c>
      <c r="D587" s="6" t="s">
        <v>316</v>
      </c>
      <c r="E587" s="6" t="s">
        <v>180</v>
      </c>
      <c r="F587" s="6">
        <v>62</v>
      </c>
      <c r="G587" s="6">
        <v>1979</v>
      </c>
      <c r="H587" s="6">
        <v>384</v>
      </c>
      <c r="I587" s="6">
        <v>2.75</v>
      </c>
      <c r="J587" s="6">
        <v>310.52800000000002</v>
      </c>
      <c r="K587" s="6">
        <v>190</v>
      </c>
    </row>
    <row r="588" spans="1:11" ht="12" customHeight="1">
      <c r="A588" s="6">
        <v>96056</v>
      </c>
      <c r="B588" s="6" t="s">
        <v>1132</v>
      </c>
      <c r="C588" s="6" t="s">
        <v>1133</v>
      </c>
      <c r="E588" s="6" t="s">
        <v>556</v>
      </c>
      <c r="F588" s="6">
        <v>13</v>
      </c>
      <c r="G588" s="6">
        <v>1952</v>
      </c>
      <c r="H588" s="6">
        <v>817</v>
      </c>
      <c r="I588" s="6">
        <v>0</v>
      </c>
      <c r="J588" s="6">
        <v>0</v>
      </c>
      <c r="K588" s="6">
        <v>0</v>
      </c>
    </row>
    <row r="589" spans="1:11" ht="12" customHeight="1">
      <c r="A589" s="6">
        <v>19067</v>
      </c>
      <c r="B589" s="6" t="s">
        <v>1134</v>
      </c>
      <c r="C589" s="6" t="s">
        <v>427</v>
      </c>
      <c r="E589" s="6" t="s">
        <v>476</v>
      </c>
      <c r="F589" s="6">
        <v>2</v>
      </c>
      <c r="G589" s="6">
        <v>1963</v>
      </c>
      <c r="H589" s="6">
        <v>237</v>
      </c>
      <c r="I589" s="6">
        <v>13.345000000000001</v>
      </c>
      <c r="J589" s="6">
        <v>786.774</v>
      </c>
      <c r="K589" s="6">
        <v>269</v>
      </c>
    </row>
    <row r="590" spans="1:11" ht="12" customHeight="1">
      <c r="A590" s="6">
        <v>24239</v>
      </c>
      <c r="B590" s="6" t="s">
        <v>1135</v>
      </c>
      <c r="C590" s="6" t="s">
        <v>633</v>
      </c>
      <c r="D590" s="6" t="s">
        <v>316</v>
      </c>
      <c r="E590" s="6" t="s">
        <v>221</v>
      </c>
      <c r="F590" s="6">
        <v>17</v>
      </c>
      <c r="G590" s="6">
        <v>1975</v>
      </c>
      <c r="H590" s="6">
        <v>630</v>
      </c>
      <c r="I590" s="6">
        <v>0.81299999999999994</v>
      </c>
      <c r="J590" s="6">
        <v>30.742999999999999</v>
      </c>
      <c r="K590" s="6">
        <v>0</v>
      </c>
    </row>
    <row r="591" spans="1:11" ht="12" customHeight="1">
      <c r="A591" s="6">
        <v>97240</v>
      </c>
      <c r="B591" s="6" t="s">
        <v>1136</v>
      </c>
      <c r="C591" s="6" t="s">
        <v>499</v>
      </c>
      <c r="E591" s="6" t="s">
        <v>476</v>
      </c>
      <c r="F591" s="6">
        <v>2</v>
      </c>
      <c r="G591" s="6">
        <v>1950</v>
      </c>
      <c r="H591" s="6">
        <v>610</v>
      </c>
      <c r="I591" s="6">
        <v>0.56299999999999994</v>
      </c>
      <c r="J591" s="6">
        <v>41.896000000000001</v>
      </c>
      <c r="K591" s="6">
        <v>15</v>
      </c>
    </row>
    <row r="592" spans="1:11" ht="12" customHeight="1">
      <c r="A592" s="6">
        <v>98480</v>
      </c>
      <c r="B592" s="6" t="s">
        <v>1137</v>
      </c>
      <c r="C592" s="6" t="s">
        <v>537</v>
      </c>
      <c r="D592" s="6" t="s">
        <v>316</v>
      </c>
      <c r="E592" s="6" t="s">
        <v>138</v>
      </c>
      <c r="F592" s="6">
        <v>20</v>
      </c>
      <c r="G592" s="6">
        <v>1958</v>
      </c>
      <c r="H592" s="6">
        <v>335</v>
      </c>
      <c r="I592" s="6">
        <v>7.3449999999999998</v>
      </c>
      <c r="J592" s="6">
        <v>416.78100000000001</v>
      </c>
      <c r="K592" s="6">
        <v>90</v>
      </c>
    </row>
    <row r="593" spans="1:11" ht="12" customHeight="1">
      <c r="A593" s="6">
        <v>22166</v>
      </c>
      <c r="B593" s="6" t="s">
        <v>1138</v>
      </c>
      <c r="C593" s="6" t="s">
        <v>422</v>
      </c>
      <c r="E593" s="6" t="s">
        <v>144</v>
      </c>
      <c r="F593" s="6">
        <v>63</v>
      </c>
      <c r="G593" s="6">
        <v>1986</v>
      </c>
      <c r="H593" s="6">
        <v>386</v>
      </c>
      <c r="I593" s="6">
        <v>9.5329999999999995</v>
      </c>
      <c r="J593" s="6">
        <v>306.18799999999999</v>
      </c>
      <c r="K593" s="6">
        <v>0</v>
      </c>
    </row>
    <row r="594" spans="1:11" ht="12" customHeight="1">
      <c r="A594" s="6">
        <v>10027</v>
      </c>
      <c r="B594" s="6" t="s">
        <v>1139</v>
      </c>
      <c r="C594" s="6" t="s">
        <v>440</v>
      </c>
      <c r="E594" s="6" t="s">
        <v>242</v>
      </c>
      <c r="F594" s="6">
        <v>67</v>
      </c>
      <c r="G594" s="6">
        <v>1954</v>
      </c>
      <c r="H594" s="6">
        <v>446</v>
      </c>
      <c r="I594" s="6">
        <v>2.125</v>
      </c>
      <c r="J594" s="6">
        <v>197.60900000000001</v>
      </c>
      <c r="K594" s="6">
        <v>103</v>
      </c>
    </row>
    <row r="595" spans="1:11" ht="12" customHeight="1">
      <c r="A595" s="6">
        <v>18054</v>
      </c>
      <c r="B595" s="6" t="s">
        <v>1140</v>
      </c>
      <c r="C595" s="6" t="s">
        <v>433</v>
      </c>
      <c r="E595" s="6" t="s">
        <v>425</v>
      </c>
      <c r="F595" s="6">
        <v>79</v>
      </c>
      <c r="G595" s="6">
        <v>1978</v>
      </c>
      <c r="H595" s="6">
        <v>818</v>
      </c>
      <c r="I595" s="6">
        <v>0</v>
      </c>
      <c r="J595" s="6">
        <v>0</v>
      </c>
      <c r="K595" s="6">
        <v>0</v>
      </c>
    </row>
    <row r="596" spans="1:11" ht="12" customHeight="1">
      <c r="A596" s="6">
        <v>15043</v>
      </c>
      <c r="B596" s="6" t="s">
        <v>1141</v>
      </c>
      <c r="C596" s="6" t="s">
        <v>1142</v>
      </c>
      <c r="D596" s="6" t="s">
        <v>316</v>
      </c>
      <c r="E596" s="6" t="s">
        <v>572</v>
      </c>
      <c r="F596" s="6">
        <v>87</v>
      </c>
      <c r="G596" s="6">
        <v>1948</v>
      </c>
      <c r="H596" s="6">
        <v>341</v>
      </c>
      <c r="I596" s="6">
        <v>5.734</v>
      </c>
      <c r="J596" s="6">
        <v>395.83499999999998</v>
      </c>
      <c r="K596" s="6">
        <v>130</v>
      </c>
    </row>
    <row r="597" spans="1:11" ht="12" customHeight="1">
      <c r="A597" s="6">
        <v>21836</v>
      </c>
      <c r="B597" s="6" t="s">
        <v>1143</v>
      </c>
      <c r="C597" s="6" t="s">
        <v>441</v>
      </c>
      <c r="E597" s="6" t="s">
        <v>120</v>
      </c>
      <c r="F597" s="6">
        <v>54</v>
      </c>
      <c r="G597" s="6">
        <v>1963</v>
      </c>
      <c r="H597" s="6">
        <v>198</v>
      </c>
      <c r="I597" s="6">
        <v>13.08</v>
      </c>
      <c r="J597" s="6">
        <v>1038.4670000000001</v>
      </c>
      <c r="K597" s="6">
        <v>414</v>
      </c>
    </row>
    <row r="598" spans="1:11" ht="12" customHeight="1">
      <c r="A598" s="6">
        <v>28001</v>
      </c>
      <c r="B598" s="6" t="s">
        <v>1144</v>
      </c>
      <c r="C598" s="6" t="s">
        <v>834</v>
      </c>
      <c r="D598" s="6" t="s">
        <v>316</v>
      </c>
      <c r="E598" s="6" t="s">
        <v>120</v>
      </c>
      <c r="F598" s="6">
        <v>54</v>
      </c>
      <c r="G598" s="6">
        <v>1965</v>
      </c>
      <c r="H598" s="6">
        <v>199</v>
      </c>
      <c r="I598" s="6">
        <v>13.08</v>
      </c>
      <c r="J598" s="6">
        <v>1038.4670000000001</v>
      </c>
      <c r="K598" s="6">
        <v>414</v>
      </c>
    </row>
    <row r="599" spans="1:11" ht="12" customHeight="1">
      <c r="A599" s="6">
        <v>12042</v>
      </c>
      <c r="B599" s="6" t="s">
        <v>1145</v>
      </c>
      <c r="C599" s="6" t="s">
        <v>422</v>
      </c>
      <c r="E599" s="6" t="s">
        <v>488</v>
      </c>
      <c r="F599" s="6">
        <v>73</v>
      </c>
      <c r="G599" s="6">
        <v>1945</v>
      </c>
      <c r="H599" s="6">
        <v>138</v>
      </c>
      <c r="I599" s="6">
        <v>30.125</v>
      </c>
      <c r="J599" s="6">
        <v>1480.9290000000001</v>
      </c>
      <c r="K599" s="6">
        <v>407</v>
      </c>
    </row>
    <row r="600" spans="1:11" ht="12" customHeight="1">
      <c r="A600" s="6">
        <v>10029</v>
      </c>
      <c r="B600" s="6" t="s">
        <v>1146</v>
      </c>
      <c r="C600" s="6" t="s">
        <v>492</v>
      </c>
      <c r="E600" s="6" t="s">
        <v>242</v>
      </c>
      <c r="F600" s="6">
        <v>67</v>
      </c>
      <c r="G600" s="6">
        <v>1954</v>
      </c>
      <c r="H600" s="6">
        <v>447</v>
      </c>
      <c r="I600" s="6">
        <v>2.125</v>
      </c>
      <c r="J600" s="6">
        <v>197.60900000000001</v>
      </c>
      <c r="K600" s="6">
        <v>103</v>
      </c>
    </row>
    <row r="601" spans="1:11" ht="12" customHeight="1">
      <c r="A601" s="6">
        <v>18003</v>
      </c>
      <c r="B601" s="6" t="s">
        <v>1147</v>
      </c>
      <c r="C601" s="6" t="s">
        <v>532</v>
      </c>
      <c r="E601" s="6" t="s">
        <v>253</v>
      </c>
      <c r="F601" s="6">
        <v>86</v>
      </c>
      <c r="G601" s="6">
        <v>1996</v>
      </c>
      <c r="H601" s="6">
        <v>819</v>
      </c>
      <c r="I601" s="6">
        <v>0</v>
      </c>
      <c r="J601" s="6">
        <v>0</v>
      </c>
      <c r="K601" s="6">
        <v>0</v>
      </c>
    </row>
    <row r="602" spans="1:11" ht="12" customHeight="1">
      <c r="A602" s="6">
        <v>17087</v>
      </c>
      <c r="B602" s="6" t="s">
        <v>1148</v>
      </c>
      <c r="C602" s="6" t="s">
        <v>660</v>
      </c>
      <c r="E602" s="6" t="s">
        <v>253</v>
      </c>
      <c r="F602" s="6">
        <v>86</v>
      </c>
      <c r="G602" s="6">
        <v>2000</v>
      </c>
      <c r="H602" s="6">
        <v>820</v>
      </c>
      <c r="I602" s="6">
        <v>0</v>
      </c>
      <c r="J602" s="6">
        <v>0</v>
      </c>
      <c r="K602" s="6">
        <v>0</v>
      </c>
    </row>
    <row r="603" spans="1:11" ht="12" customHeight="1">
      <c r="A603" s="6">
        <v>96229</v>
      </c>
      <c r="B603" s="6" t="s">
        <v>1149</v>
      </c>
      <c r="C603" s="6" t="s">
        <v>445</v>
      </c>
      <c r="E603" s="6" t="s">
        <v>515</v>
      </c>
      <c r="F603" s="6">
        <v>28</v>
      </c>
      <c r="G603" s="6">
        <v>1959</v>
      </c>
      <c r="H603" s="6">
        <v>426</v>
      </c>
      <c r="I603" s="6">
        <v>6.657</v>
      </c>
      <c r="J603" s="6">
        <v>221.85</v>
      </c>
      <c r="K603" s="6">
        <v>0</v>
      </c>
    </row>
    <row r="604" spans="1:11" ht="12" customHeight="1">
      <c r="A604" s="6">
        <v>21768</v>
      </c>
      <c r="B604" s="6" t="s">
        <v>1150</v>
      </c>
      <c r="C604" s="6" t="s">
        <v>422</v>
      </c>
      <c r="E604" s="6" t="s">
        <v>232</v>
      </c>
      <c r="F604" s="6">
        <v>19</v>
      </c>
      <c r="G604" s="6">
        <v>1963</v>
      </c>
      <c r="H604" s="6">
        <v>618</v>
      </c>
      <c r="I604" s="6">
        <v>1.125</v>
      </c>
      <c r="J604" s="6">
        <v>38.673999999999999</v>
      </c>
      <c r="K604" s="6">
        <v>0</v>
      </c>
    </row>
    <row r="605" spans="1:11" ht="12" customHeight="1">
      <c r="A605" s="6">
        <v>19055</v>
      </c>
      <c r="B605" s="6" t="s">
        <v>1151</v>
      </c>
      <c r="C605" s="6" t="s">
        <v>1152</v>
      </c>
      <c r="D605" s="6" t="s">
        <v>316</v>
      </c>
      <c r="E605" s="6" t="s">
        <v>138</v>
      </c>
      <c r="F605" s="6">
        <v>20</v>
      </c>
      <c r="G605" s="6">
        <v>1977</v>
      </c>
      <c r="H605" s="6">
        <v>619</v>
      </c>
      <c r="I605" s="6">
        <v>0.81299999999999994</v>
      </c>
      <c r="J605" s="6">
        <v>38.491999999999997</v>
      </c>
      <c r="K605" s="6">
        <v>0</v>
      </c>
    </row>
    <row r="606" spans="1:11" ht="12" customHeight="1">
      <c r="A606" s="6">
        <v>20555</v>
      </c>
      <c r="B606" s="6" t="s">
        <v>1153</v>
      </c>
      <c r="C606" s="6" t="s">
        <v>440</v>
      </c>
      <c r="E606" s="6" t="s">
        <v>151</v>
      </c>
      <c r="F606" s="6">
        <v>21</v>
      </c>
      <c r="G606" s="6">
        <v>1949</v>
      </c>
      <c r="H606" s="6">
        <v>821</v>
      </c>
      <c r="I606" s="6">
        <v>0</v>
      </c>
      <c r="J606" s="6">
        <v>0</v>
      </c>
      <c r="K606" s="6">
        <v>0</v>
      </c>
    </row>
    <row r="607" spans="1:11" ht="12" customHeight="1">
      <c r="A607" s="6">
        <v>20545</v>
      </c>
      <c r="B607" s="6" t="s">
        <v>1154</v>
      </c>
      <c r="C607" s="6" t="s">
        <v>487</v>
      </c>
      <c r="D607" s="6" t="s">
        <v>316</v>
      </c>
      <c r="E607" s="6" t="s">
        <v>435</v>
      </c>
      <c r="F607" s="6">
        <v>93</v>
      </c>
      <c r="G607" s="6">
        <v>1960</v>
      </c>
      <c r="H607" s="6">
        <v>440</v>
      </c>
      <c r="I607" s="6">
        <v>1.4059999999999999</v>
      </c>
      <c r="J607" s="6">
        <v>201.34399999999999</v>
      </c>
      <c r="K607" s="6">
        <v>124</v>
      </c>
    </row>
    <row r="608" spans="1:11" ht="12" customHeight="1">
      <c r="A608" s="6">
        <v>20503</v>
      </c>
      <c r="B608" s="6" t="s">
        <v>1154</v>
      </c>
      <c r="C608" s="6" t="s">
        <v>688</v>
      </c>
      <c r="D608" s="6" t="s">
        <v>316</v>
      </c>
      <c r="E608" s="6" t="s">
        <v>221</v>
      </c>
      <c r="F608" s="6">
        <v>17</v>
      </c>
      <c r="G608" s="6">
        <v>1996</v>
      </c>
      <c r="H608" s="6">
        <v>215</v>
      </c>
      <c r="I608" s="6">
        <v>15.407999999999999</v>
      </c>
      <c r="J608" s="6">
        <v>956.47199999999998</v>
      </c>
      <c r="K608" s="6">
        <v>283</v>
      </c>
    </row>
    <row r="609" spans="1:11" ht="12" customHeight="1">
      <c r="A609" s="6">
        <v>23223</v>
      </c>
      <c r="B609" s="6" t="s">
        <v>1155</v>
      </c>
      <c r="C609" s="6" t="s">
        <v>563</v>
      </c>
      <c r="E609" s="6" t="s">
        <v>572</v>
      </c>
      <c r="F609" s="6">
        <v>87</v>
      </c>
      <c r="G609" s="6">
        <v>1976</v>
      </c>
      <c r="H609" s="6">
        <v>823</v>
      </c>
      <c r="I609" s="6">
        <v>0</v>
      </c>
      <c r="J609" s="6">
        <v>0</v>
      </c>
      <c r="K609" s="6">
        <v>0</v>
      </c>
    </row>
    <row r="610" spans="1:11" ht="12" customHeight="1">
      <c r="A610" s="6">
        <v>20546</v>
      </c>
      <c r="B610" s="6" t="s">
        <v>1155</v>
      </c>
      <c r="C610" s="6" t="s">
        <v>422</v>
      </c>
      <c r="E610" s="6" t="s">
        <v>435</v>
      </c>
      <c r="F610" s="6">
        <v>93</v>
      </c>
      <c r="G610" s="6">
        <v>1988</v>
      </c>
      <c r="H610" s="6">
        <v>822</v>
      </c>
      <c r="I610" s="6">
        <v>0</v>
      </c>
      <c r="J610" s="6">
        <v>0</v>
      </c>
      <c r="K610" s="6">
        <v>0</v>
      </c>
    </row>
    <row r="611" spans="1:11" ht="12" customHeight="1">
      <c r="A611" s="6">
        <v>11005</v>
      </c>
      <c r="B611" s="6" t="s">
        <v>1156</v>
      </c>
      <c r="C611" s="6" t="s">
        <v>599</v>
      </c>
      <c r="E611" s="6" t="s">
        <v>144</v>
      </c>
      <c r="F611" s="6">
        <v>63</v>
      </c>
      <c r="G611" s="6">
        <v>2003</v>
      </c>
      <c r="H611" s="6">
        <v>540</v>
      </c>
      <c r="I611" s="6">
        <v>3.5640000000000001</v>
      </c>
      <c r="J611" s="6">
        <v>99.713999999999999</v>
      </c>
      <c r="K611" s="6">
        <v>0</v>
      </c>
    </row>
    <row r="612" spans="1:11" ht="12" customHeight="1">
      <c r="A612" s="6">
        <v>29042</v>
      </c>
      <c r="B612" s="6" t="s">
        <v>1156</v>
      </c>
      <c r="C612" s="6" t="s">
        <v>768</v>
      </c>
      <c r="E612" s="6" t="s">
        <v>144</v>
      </c>
      <c r="F612" s="6">
        <v>63</v>
      </c>
      <c r="G612" s="6">
        <v>1964</v>
      </c>
      <c r="H612" s="6">
        <v>411</v>
      </c>
      <c r="I612" s="6">
        <v>8.2509999999999994</v>
      </c>
      <c r="J612" s="6">
        <v>253.685</v>
      </c>
      <c r="K612" s="6">
        <v>0</v>
      </c>
    </row>
    <row r="613" spans="1:11" ht="12" customHeight="1">
      <c r="A613" s="6">
        <v>10046</v>
      </c>
      <c r="B613" s="6" t="s">
        <v>1157</v>
      </c>
      <c r="C613" s="6" t="s">
        <v>536</v>
      </c>
      <c r="D613" s="6" t="s">
        <v>316</v>
      </c>
      <c r="E613" s="6" t="s">
        <v>144</v>
      </c>
      <c r="F613" s="6">
        <v>63</v>
      </c>
      <c r="G613" s="6">
        <v>2001</v>
      </c>
      <c r="H613" s="6">
        <v>353</v>
      </c>
      <c r="I613" s="6">
        <v>8.5009999999999994</v>
      </c>
      <c r="J613" s="6">
        <v>366.69299999999998</v>
      </c>
      <c r="K613" s="6">
        <v>63</v>
      </c>
    </row>
    <row r="614" spans="1:11" ht="12" customHeight="1">
      <c r="A614" s="6">
        <v>23234</v>
      </c>
      <c r="B614" s="6" t="s">
        <v>1158</v>
      </c>
      <c r="C614" s="6" t="s">
        <v>536</v>
      </c>
      <c r="D614" s="6" t="s">
        <v>451</v>
      </c>
      <c r="E614" s="6" t="s">
        <v>452</v>
      </c>
      <c r="F614" s="6">
        <v>74</v>
      </c>
      <c r="G614" s="6">
        <v>2013</v>
      </c>
      <c r="H614" s="6">
        <v>824</v>
      </c>
      <c r="I614" s="6">
        <v>0</v>
      </c>
      <c r="J614" s="6">
        <v>0</v>
      </c>
      <c r="K614" s="6">
        <v>0</v>
      </c>
    </row>
    <row r="615" spans="1:11" ht="12" customHeight="1">
      <c r="A615" s="6">
        <v>21859</v>
      </c>
      <c r="B615" s="6" t="s">
        <v>1159</v>
      </c>
      <c r="C615" s="6" t="s">
        <v>427</v>
      </c>
      <c r="E615" s="6" t="s">
        <v>156</v>
      </c>
      <c r="F615" s="6">
        <v>33</v>
      </c>
      <c r="G615" s="6">
        <v>1958</v>
      </c>
      <c r="H615" s="6">
        <v>825</v>
      </c>
      <c r="I615" s="6">
        <v>0</v>
      </c>
      <c r="J615" s="6">
        <v>0</v>
      </c>
      <c r="K615" s="6">
        <v>0</v>
      </c>
    </row>
    <row r="616" spans="1:11" ht="12" customHeight="1">
      <c r="A616" s="6">
        <v>12060</v>
      </c>
      <c r="B616" s="6" t="s">
        <v>1160</v>
      </c>
      <c r="C616" s="6" t="s">
        <v>678</v>
      </c>
      <c r="D616" s="6" t="s">
        <v>316</v>
      </c>
      <c r="E616" s="6" t="s">
        <v>425</v>
      </c>
      <c r="F616" s="6">
        <v>79</v>
      </c>
      <c r="G616" s="6">
        <v>1991</v>
      </c>
      <c r="H616" s="6">
        <v>826</v>
      </c>
      <c r="I616" s="6">
        <v>0</v>
      </c>
      <c r="J616" s="6">
        <v>0</v>
      </c>
      <c r="K616" s="6">
        <v>0</v>
      </c>
    </row>
    <row r="617" spans="1:11" ht="12" customHeight="1">
      <c r="A617" s="6">
        <v>21807</v>
      </c>
      <c r="B617" s="6" t="s">
        <v>1161</v>
      </c>
      <c r="C617" s="6" t="s">
        <v>509</v>
      </c>
      <c r="D617" s="6" t="s">
        <v>316</v>
      </c>
      <c r="E617" s="6" t="s">
        <v>299</v>
      </c>
      <c r="F617" s="6">
        <v>42</v>
      </c>
      <c r="G617" s="6">
        <v>1968</v>
      </c>
      <c r="H617" s="6">
        <v>247</v>
      </c>
      <c r="I617" s="6">
        <v>10.218999999999999</v>
      </c>
      <c r="J617" s="6">
        <v>728.84500000000003</v>
      </c>
      <c r="K617" s="6">
        <v>247</v>
      </c>
    </row>
    <row r="618" spans="1:11" ht="12" customHeight="1">
      <c r="A618" s="6">
        <v>21006</v>
      </c>
      <c r="B618" s="6" t="s">
        <v>1162</v>
      </c>
      <c r="C618" s="6" t="s">
        <v>543</v>
      </c>
      <c r="E618" s="6" t="s">
        <v>299</v>
      </c>
      <c r="F618" s="6">
        <v>42</v>
      </c>
      <c r="G618" s="6">
        <v>1959</v>
      </c>
      <c r="H618" s="6">
        <v>248</v>
      </c>
      <c r="I618" s="6">
        <v>10.218999999999999</v>
      </c>
      <c r="J618" s="6">
        <v>728.84500000000003</v>
      </c>
      <c r="K618" s="6">
        <v>247</v>
      </c>
    </row>
    <row r="619" spans="1:11" ht="12" customHeight="1">
      <c r="A619" s="6">
        <v>20506</v>
      </c>
      <c r="B619" s="6" t="s">
        <v>1163</v>
      </c>
      <c r="C619" s="6" t="s">
        <v>526</v>
      </c>
      <c r="E619" s="6" t="s">
        <v>156</v>
      </c>
      <c r="F619" s="6">
        <v>33</v>
      </c>
      <c r="G619" s="6">
        <v>1955</v>
      </c>
      <c r="H619" s="6">
        <v>586</v>
      </c>
      <c r="I619" s="6">
        <v>1.4379999999999999</v>
      </c>
      <c r="J619" s="6">
        <v>54.71</v>
      </c>
      <c r="K619" s="6">
        <v>0</v>
      </c>
    </row>
    <row r="620" spans="1:11" ht="12" customHeight="1">
      <c r="A620" s="6">
        <v>10065</v>
      </c>
      <c r="B620" s="6" t="s">
        <v>1164</v>
      </c>
      <c r="C620" s="6" t="s">
        <v>735</v>
      </c>
      <c r="E620" s="6" t="s">
        <v>239</v>
      </c>
      <c r="F620" s="6">
        <v>14</v>
      </c>
      <c r="G620" s="6">
        <v>1992</v>
      </c>
      <c r="H620" s="6">
        <v>300</v>
      </c>
      <c r="I620" s="6">
        <v>11</v>
      </c>
      <c r="J620" s="6">
        <v>511.29399999999998</v>
      </c>
      <c r="K620" s="6">
        <v>123</v>
      </c>
    </row>
    <row r="621" spans="1:11" ht="12" customHeight="1">
      <c r="A621" s="6">
        <v>10064</v>
      </c>
      <c r="B621" s="6" t="s">
        <v>1164</v>
      </c>
      <c r="C621" s="6" t="s">
        <v>1165</v>
      </c>
      <c r="E621" s="6" t="s">
        <v>239</v>
      </c>
      <c r="F621" s="6">
        <v>14</v>
      </c>
      <c r="G621" s="6">
        <v>1987</v>
      </c>
      <c r="H621" s="6">
        <v>270</v>
      </c>
      <c r="I621" s="6">
        <v>9</v>
      </c>
      <c r="J621" s="6">
        <v>626.09100000000001</v>
      </c>
      <c r="K621" s="6">
        <v>238</v>
      </c>
    </row>
    <row r="622" spans="1:11" ht="12" customHeight="1">
      <c r="A622" s="6">
        <v>16121</v>
      </c>
      <c r="B622" s="6" t="s">
        <v>1166</v>
      </c>
      <c r="C622" s="6" t="s">
        <v>485</v>
      </c>
      <c r="D622" s="6" t="s">
        <v>316</v>
      </c>
      <c r="E622" s="6" t="s">
        <v>299</v>
      </c>
      <c r="F622" s="6">
        <v>42</v>
      </c>
      <c r="G622" s="6">
        <v>1933</v>
      </c>
      <c r="H622" s="6">
        <v>448</v>
      </c>
      <c r="I622" s="6">
        <v>4.8140000000000001</v>
      </c>
      <c r="J622" s="6">
        <v>196.852</v>
      </c>
      <c r="K622" s="6">
        <v>0</v>
      </c>
    </row>
    <row r="623" spans="1:11" ht="12" customHeight="1">
      <c r="A623" s="6">
        <v>23204</v>
      </c>
      <c r="B623" s="6" t="s">
        <v>1167</v>
      </c>
      <c r="C623" s="6" t="s">
        <v>824</v>
      </c>
      <c r="D623" s="6" t="s">
        <v>451</v>
      </c>
      <c r="E623" s="6" t="s">
        <v>435</v>
      </c>
      <c r="F623" s="6">
        <v>93</v>
      </c>
      <c r="G623" s="6">
        <v>2007</v>
      </c>
      <c r="H623" s="6">
        <v>827</v>
      </c>
      <c r="I623" s="6">
        <v>0</v>
      </c>
      <c r="J623" s="6">
        <v>0</v>
      </c>
      <c r="K623" s="6">
        <v>0</v>
      </c>
    </row>
    <row r="624" spans="1:11" ht="12" customHeight="1">
      <c r="A624" s="6">
        <v>27069</v>
      </c>
      <c r="B624" s="6" t="s">
        <v>1168</v>
      </c>
      <c r="C624" s="6" t="s">
        <v>609</v>
      </c>
      <c r="E624" s="6" t="s">
        <v>502</v>
      </c>
      <c r="F624" s="6">
        <v>24</v>
      </c>
      <c r="G624" s="6">
        <v>1986</v>
      </c>
      <c r="H624" s="6">
        <v>160</v>
      </c>
      <c r="I624" s="6">
        <v>18</v>
      </c>
      <c r="J624" s="6">
        <v>1327.509</v>
      </c>
      <c r="K624" s="6">
        <v>485</v>
      </c>
    </row>
    <row r="625" spans="1:11" ht="12" customHeight="1">
      <c r="A625" s="6">
        <v>26074</v>
      </c>
      <c r="B625" s="6" t="s">
        <v>1168</v>
      </c>
      <c r="C625" s="6" t="s">
        <v>433</v>
      </c>
      <c r="E625" s="6" t="s">
        <v>502</v>
      </c>
      <c r="F625" s="6">
        <v>24</v>
      </c>
      <c r="G625" s="6">
        <v>1984</v>
      </c>
      <c r="H625" s="6">
        <v>196</v>
      </c>
      <c r="I625" s="6">
        <v>15.734</v>
      </c>
      <c r="J625" s="6">
        <v>1050.7840000000001</v>
      </c>
      <c r="K625" s="6">
        <v>333</v>
      </c>
    </row>
    <row r="626" spans="1:11" ht="12" customHeight="1">
      <c r="A626" s="6">
        <v>19051</v>
      </c>
      <c r="B626" s="6" t="s">
        <v>1169</v>
      </c>
      <c r="C626" s="6" t="s">
        <v>1170</v>
      </c>
      <c r="D626" s="6" t="s">
        <v>316</v>
      </c>
      <c r="E626" s="6" t="s">
        <v>502</v>
      </c>
      <c r="F626" s="6">
        <v>24</v>
      </c>
      <c r="G626" s="6">
        <v>1987</v>
      </c>
      <c r="H626" s="6">
        <v>828</v>
      </c>
      <c r="I626" s="6">
        <v>0</v>
      </c>
      <c r="J626" s="6">
        <v>0</v>
      </c>
      <c r="K626" s="6">
        <v>0</v>
      </c>
    </row>
    <row r="627" spans="1:11" ht="12" customHeight="1">
      <c r="A627" s="6">
        <v>29009</v>
      </c>
      <c r="B627" s="6" t="s">
        <v>1171</v>
      </c>
      <c r="C627" s="6" t="s">
        <v>951</v>
      </c>
      <c r="D627" s="6" t="s">
        <v>316</v>
      </c>
      <c r="E627" s="6" t="s">
        <v>299</v>
      </c>
      <c r="F627" s="6">
        <v>42</v>
      </c>
      <c r="G627" s="6">
        <v>1969</v>
      </c>
      <c r="H627" s="6">
        <v>235</v>
      </c>
      <c r="I627" s="6">
        <v>13.781000000000001</v>
      </c>
      <c r="J627" s="6">
        <v>795.41399999999999</v>
      </c>
      <c r="K627" s="6">
        <v>164</v>
      </c>
    </row>
    <row r="628" spans="1:11" ht="12" customHeight="1">
      <c r="A628" s="6">
        <v>17047</v>
      </c>
      <c r="B628" s="6" t="s">
        <v>1172</v>
      </c>
      <c r="C628" s="6" t="s">
        <v>624</v>
      </c>
      <c r="E628" s="6" t="s">
        <v>456</v>
      </c>
      <c r="F628" s="6">
        <v>70</v>
      </c>
      <c r="G628" s="6">
        <v>1948</v>
      </c>
      <c r="H628" s="6">
        <v>829</v>
      </c>
      <c r="I628" s="6">
        <v>0</v>
      </c>
      <c r="J628" s="6">
        <v>0</v>
      </c>
      <c r="K628" s="6">
        <v>0</v>
      </c>
    </row>
    <row r="629" spans="1:11" ht="12" customHeight="1">
      <c r="A629" s="6">
        <v>22104</v>
      </c>
      <c r="B629" s="6" t="s">
        <v>1173</v>
      </c>
      <c r="C629" s="6" t="s">
        <v>781</v>
      </c>
      <c r="D629" s="6" t="s">
        <v>451</v>
      </c>
      <c r="E629" s="6" t="s">
        <v>151</v>
      </c>
      <c r="F629" s="6">
        <v>21</v>
      </c>
      <c r="G629" s="6">
        <v>2009</v>
      </c>
      <c r="H629" s="6">
        <v>227</v>
      </c>
      <c r="I629" s="6">
        <v>13.509</v>
      </c>
      <c r="J629" s="6">
        <v>842.60599999999999</v>
      </c>
      <c r="K629" s="6">
        <v>241</v>
      </c>
    </row>
    <row r="630" spans="1:11" ht="12" customHeight="1">
      <c r="A630" s="6">
        <v>20554</v>
      </c>
      <c r="B630" s="6" t="s">
        <v>1174</v>
      </c>
      <c r="C630" s="6" t="s">
        <v>552</v>
      </c>
      <c r="E630" s="6" t="s">
        <v>239</v>
      </c>
      <c r="F630" s="6">
        <v>14</v>
      </c>
      <c r="G630" s="6">
        <v>1965</v>
      </c>
      <c r="H630" s="6">
        <v>65</v>
      </c>
      <c r="I630" s="6">
        <v>28.75</v>
      </c>
      <c r="J630" s="6">
        <v>2207.0880000000002</v>
      </c>
      <c r="K630" s="6">
        <v>1165</v>
      </c>
    </row>
    <row r="631" spans="1:11" ht="12" customHeight="1">
      <c r="A631" s="6">
        <v>16086</v>
      </c>
      <c r="B631" s="6" t="s">
        <v>1174</v>
      </c>
      <c r="C631" s="6" t="s">
        <v>440</v>
      </c>
      <c r="E631" s="6" t="s">
        <v>572</v>
      </c>
      <c r="F631" s="6">
        <v>87</v>
      </c>
      <c r="G631" s="6">
        <v>1950</v>
      </c>
      <c r="H631" s="6">
        <v>109</v>
      </c>
      <c r="I631" s="6">
        <v>24.189</v>
      </c>
      <c r="J631" s="6">
        <v>1746.444</v>
      </c>
      <c r="K631" s="6">
        <v>927</v>
      </c>
    </row>
    <row r="632" spans="1:11" ht="12" customHeight="1">
      <c r="A632" s="6">
        <v>21052</v>
      </c>
      <c r="B632" s="6" t="s">
        <v>1175</v>
      </c>
      <c r="C632" s="6" t="s">
        <v>1176</v>
      </c>
      <c r="D632" s="6" t="s">
        <v>316</v>
      </c>
      <c r="E632" s="6" t="s">
        <v>239</v>
      </c>
      <c r="F632" s="6">
        <v>14</v>
      </c>
      <c r="G632" s="6">
        <v>1968</v>
      </c>
      <c r="H632" s="6">
        <v>453</v>
      </c>
      <c r="I632" s="6">
        <v>5.0010000000000003</v>
      </c>
      <c r="J632" s="6">
        <v>185.13200000000001</v>
      </c>
      <c r="K632" s="6">
        <v>0</v>
      </c>
    </row>
    <row r="633" spans="1:11" ht="12" customHeight="1">
      <c r="A633" s="6">
        <v>21053</v>
      </c>
      <c r="B633" s="6" t="s">
        <v>1175</v>
      </c>
      <c r="C633" s="6" t="s">
        <v>487</v>
      </c>
      <c r="D633" s="6" t="s">
        <v>316</v>
      </c>
      <c r="E633" s="6" t="s">
        <v>239</v>
      </c>
      <c r="F633" s="6">
        <v>14</v>
      </c>
      <c r="G633" s="6">
        <v>1997</v>
      </c>
      <c r="H633" s="6">
        <v>71</v>
      </c>
      <c r="I633" s="6">
        <v>24.562999999999999</v>
      </c>
      <c r="J633" s="6">
        <v>2129.9969999999998</v>
      </c>
      <c r="K633" s="6">
        <v>1140</v>
      </c>
    </row>
    <row r="634" spans="1:11" ht="12" customHeight="1">
      <c r="A634" s="6">
        <v>98379</v>
      </c>
      <c r="B634" s="6" t="s">
        <v>1177</v>
      </c>
      <c r="C634" s="6" t="s">
        <v>597</v>
      </c>
      <c r="E634" s="6" t="s">
        <v>144</v>
      </c>
      <c r="F634" s="6">
        <v>63</v>
      </c>
      <c r="G634" s="6">
        <v>1953</v>
      </c>
      <c r="H634" s="6">
        <v>313</v>
      </c>
      <c r="I634" s="6">
        <v>9.6880000000000006</v>
      </c>
      <c r="J634" s="6">
        <v>479.262</v>
      </c>
      <c r="K634" s="6">
        <v>126</v>
      </c>
    </row>
    <row r="635" spans="1:11" ht="12" customHeight="1">
      <c r="A635" s="6">
        <v>21811</v>
      </c>
      <c r="B635" s="6" t="s">
        <v>1178</v>
      </c>
      <c r="C635" s="6" t="s">
        <v>1179</v>
      </c>
      <c r="E635" s="6" t="s">
        <v>299</v>
      </c>
      <c r="F635" s="6">
        <v>42</v>
      </c>
      <c r="G635" s="6">
        <v>1968</v>
      </c>
      <c r="H635" s="6">
        <v>830</v>
      </c>
      <c r="I635" s="6">
        <v>0</v>
      </c>
      <c r="J635" s="6">
        <v>0</v>
      </c>
      <c r="K635" s="6">
        <v>0</v>
      </c>
    </row>
    <row r="636" spans="1:11" ht="12" customHeight="1">
      <c r="A636" s="6">
        <v>12048</v>
      </c>
      <c r="B636" s="6" t="s">
        <v>1180</v>
      </c>
      <c r="C636" s="6" t="s">
        <v>1133</v>
      </c>
      <c r="E636" s="6" t="s">
        <v>239</v>
      </c>
      <c r="F636" s="6">
        <v>14</v>
      </c>
      <c r="G636" s="6">
        <v>1966</v>
      </c>
      <c r="H636" s="6">
        <v>234</v>
      </c>
      <c r="I636" s="6">
        <v>14.063000000000001</v>
      </c>
      <c r="J636" s="6">
        <v>803.53800000000001</v>
      </c>
      <c r="K636" s="6">
        <v>238</v>
      </c>
    </row>
    <row r="637" spans="1:11" ht="12" customHeight="1">
      <c r="A637" s="6">
        <v>22102</v>
      </c>
      <c r="B637" s="6" t="s">
        <v>1181</v>
      </c>
      <c r="C637" s="6" t="s">
        <v>514</v>
      </c>
      <c r="E637" s="6" t="s">
        <v>239</v>
      </c>
      <c r="F637" s="6">
        <v>14</v>
      </c>
      <c r="G637" s="6">
        <v>1975</v>
      </c>
      <c r="H637" s="6">
        <v>583</v>
      </c>
      <c r="I637" s="6">
        <v>1.1879999999999999</v>
      </c>
      <c r="J637" s="6">
        <v>60.764000000000003</v>
      </c>
      <c r="K637" s="6">
        <v>15</v>
      </c>
    </row>
    <row r="638" spans="1:11" ht="12" customHeight="1">
      <c r="A638" s="6">
        <v>99555</v>
      </c>
      <c r="B638" s="6" t="s">
        <v>1181</v>
      </c>
      <c r="C638" s="6" t="s">
        <v>424</v>
      </c>
      <c r="E638" s="6" t="s">
        <v>239</v>
      </c>
      <c r="F638" s="6">
        <v>14</v>
      </c>
      <c r="G638" s="6">
        <v>1981</v>
      </c>
      <c r="H638" s="6">
        <v>94</v>
      </c>
      <c r="I638" s="6">
        <v>40.5</v>
      </c>
      <c r="J638" s="6">
        <v>1885.5229999999999</v>
      </c>
      <c r="K638" s="6">
        <v>286</v>
      </c>
    </row>
    <row r="639" spans="1:11" ht="12" customHeight="1">
      <c r="A639" s="6">
        <v>15023</v>
      </c>
      <c r="B639" s="6" t="s">
        <v>1182</v>
      </c>
      <c r="C639" s="6" t="s">
        <v>618</v>
      </c>
      <c r="E639" s="6" t="s">
        <v>120</v>
      </c>
      <c r="F639" s="6">
        <v>54</v>
      </c>
      <c r="G639" s="6">
        <v>1965</v>
      </c>
      <c r="H639" s="6">
        <v>62</v>
      </c>
      <c r="I639" s="6">
        <v>27.125</v>
      </c>
      <c r="J639" s="6">
        <v>2251.4830000000002</v>
      </c>
      <c r="K639" s="6">
        <v>1245</v>
      </c>
    </row>
    <row r="640" spans="1:11" ht="12" customHeight="1">
      <c r="A640" s="6">
        <v>20524</v>
      </c>
      <c r="B640" s="6" t="s">
        <v>1183</v>
      </c>
      <c r="C640" s="6" t="s">
        <v>492</v>
      </c>
      <c r="E640" s="6" t="s">
        <v>802</v>
      </c>
      <c r="F640" s="6">
        <v>83</v>
      </c>
      <c r="G640" s="6">
        <v>1970</v>
      </c>
      <c r="H640" s="6">
        <v>832</v>
      </c>
      <c r="I640" s="6">
        <v>0</v>
      </c>
      <c r="J640" s="6">
        <v>0</v>
      </c>
      <c r="K640" s="6">
        <v>0</v>
      </c>
    </row>
    <row r="641" spans="1:11" ht="12" customHeight="1">
      <c r="A641" s="6">
        <v>17001</v>
      </c>
      <c r="B641" s="6" t="s">
        <v>1183</v>
      </c>
      <c r="C641" s="6" t="s">
        <v>514</v>
      </c>
      <c r="E641" s="6" t="s">
        <v>120</v>
      </c>
      <c r="F641" s="6">
        <v>54</v>
      </c>
      <c r="G641" s="6">
        <v>1987</v>
      </c>
      <c r="H641" s="6">
        <v>831</v>
      </c>
      <c r="I641" s="6">
        <v>0</v>
      </c>
      <c r="J641" s="6">
        <v>0</v>
      </c>
      <c r="K641" s="6">
        <v>0</v>
      </c>
    </row>
    <row r="642" spans="1:11" ht="12" customHeight="1">
      <c r="A642" s="6">
        <v>25079</v>
      </c>
      <c r="B642" s="6" t="s">
        <v>1184</v>
      </c>
      <c r="C642" s="6" t="s">
        <v>1185</v>
      </c>
      <c r="D642" s="6" t="s">
        <v>316</v>
      </c>
      <c r="E642" s="6" t="s">
        <v>235</v>
      </c>
      <c r="F642" s="6">
        <v>27</v>
      </c>
      <c r="G642" s="6">
        <v>1970</v>
      </c>
      <c r="H642" s="6">
        <v>325</v>
      </c>
      <c r="I642" s="6">
        <v>13.718999999999999</v>
      </c>
      <c r="J642" s="6">
        <v>440.62900000000002</v>
      </c>
      <c r="K642" s="6">
        <v>44</v>
      </c>
    </row>
    <row r="643" spans="1:11" ht="12" customHeight="1">
      <c r="A643" s="6">
        <v>22128</v>
      </c>
      <c r="B643" s="6" t="s">
        <v>1186</v>
      </c>
      <c r="C643" s="6" t="s">
        <v>492</v>
      </c>
      <c r="E643" s="6" t="s">
        <v>460</v>
      </c>
      <c r="F643" s="6">
        <v>95</v>
      </c>
      <c r="G643" s="6">
        <v>1979</v>
      </c>
      <c r="H643" s="6">
        <v>572</v>
      </c>
      <c r="I643" s="6">
        <v>0.75</v>
      </c>
      <c r="J643" s="6">
        <v>70.828999999999994</v>
      </c>
      <c r="K643" s="6">
        <v>33</v>
      </c>
    </row>
    <row r="644" spans="1:11" ht="12" customHeight="1">
      <c r="A644" s="6">
        <v>17086</v>
      </c>
      <c r="B644" s="6" t="s">
        <v>1187</v>
      </c>
      <c r="C644" s="6" t="s">
        <v>437</v>
      </c>
      <c r="E644" s="6" t="s">
        <v>253</v>
      </c>
      <c r="F644" s="6">
        <v>86</v>
      </c>
      <c r="G644" s="6">
        <v>1995</v>
      </c>
      <c r="H644" s="6">
        <v>175</v>
      </c>
      <c r="I644" s="6">
        <v>14.814</v>
      </c>
      <c r="J644" s="6">
        <v>1190.425</v>
      </c>
      <c r="K644" s="6">
        <v>499</v>
      </c>
    </row>
    <row r="645" spans="1:11" ht="12" customHeight="1">
      <c r="A645" s="6">
        <v>25017</v>
      </c>
      <c r="B645" s="6" t="s">
        <v>1188</v>
      </c>
      <c r="C645" s="6" t="s">
        <v>537</v>
      </c>
      <c r="D645" s="6" t="s">
        <v>316</v>
      </c>
      <c r="E645" s="6" t="s">
        <v>520</v>
      </c>
      <c r="F645" s="6">
        <v>55</v>
      </c>
      <c r="G645" s="6">
        <v>1963</v>
      </c>
      <c r="H645" s="6">
        <v>41</v>
      </c>
      <c r="I645" s="6">
        <v>25.689</v>
      </c>
      <c r="J645" s="6">
        <v>2628.931</v>
      </c>
      <c r="K645" s="6">
        <v>1418</v>
      </c>
    </row>
    <row r="646" spans="1:11" ht="12" customHeight="1">
      <c r="A646" s="6">
        <v>21023</v>
      </c>
      <c r="B646" s="6" t="s">
        <v>1189</v>
      </c>
      <c r="C646" s="6" t="s">
        <v>422</v>
      </c>
      <c r="E646" s="6" t="s">
        <v>253</v>
      </c>
      <c r="F646" s="6">
        <v>86</v>
      </c>
      <c r="G646" s="6">
        <v>1990</v>
      </c>
      <c r="H646" s="6">
        <v>833</v>
      </c>
      <c r="I646" s="6">
        <v>0</v>
      </c>
      <c r="J646" s="6">
        <v>0</v>
      </c>
      <c r="K646" s="6">
        <v>0</v>
      </c>
    </row>
    <row r="647" spans="1:11" ht="12" customHeight="1">
      <c r="A647" s="6">
        <v>23229</v>
      </c>
      <c r="B647" s="6" t="s">
        <v>1190</v>
      </c>
      <c r="C647" s="6" t="s">
        <v>543</v>
      </c>
      <c r="E647" s="6" t="s">
        <v>229</v>
      </c>
      <c r="F647" s="6">
        <v>1</v>
      </c>
      <c r="G647" s="6">
        <v>1980</v>
      </c>
      <c r="H647" s="6">
        <v>490</v>
      </c>
      <c r="I647" s="6">
        <v>1.9690000000000001</v>
      </c>
      <c r="J647" s="6">
        <v>148.858</v>
      </c>
      <c r="K647" s="6">
        <v>50</v>
      </c>
    </row>
    <row r="648" spans="1:11" ht="12" customHeight="1">
      <c r="A648" s="6">
        <v>20582</v>
      </c>
      <c r="B648" s="6" t="s">
        <v>1191</v>
      </c>
      <c r="C648" s="6" t="s">
        <v>1192</v>
      </c>
      <c r="E648" s="6" t="s">
        <v>460</v>
      </c>
      <c r="F648" s="6">
        <v>95</v>
      </c>
      <c r="G648" s="6">
        <v>1966</v>
      </c>
      <c r="H648" s="6">
        <v>834</v>
      </c>
      <c r="I648" s="6">
        <v>0</v>
      </c>
      <c r="J648" s="6">
        <v>0</v>
      </c>
      <c r="K648" s="6">
        <v>0</v>
      </c>
    </row>
    <row r="649" spans="1:11" ht="12" customHeight="1">
      <c r="A649" s="6">
        <v>21805</v>
      </c>
      <c r="B649" s="6" t="s">
        <v>1193</v>
      </c>
      <c r="C649" s="6" t="s">
        <v>529</v>
      </c>
      <c r="D649" s="6" t="s">
        <v>316</v>
      </c>
      <c r="E649" s="6" t="s">
        <v>299</v>
      </c>
      <c r="F649" s="6">
        <v>42</v>
      </c>
      <c r="G649" s="6">
        <v>1959</v>
      </c>
      <c r="H649" s="6">
        <v>216</v>
      </c>
      <c r="I649" s="6">
        <v>15.752000000000001</v>
      </c>
      <c r="J649" s="6">
        <v>956.39499999999998</v>
      </c>
      <c r="K649" s="6">
        <v>258</v>
      </c>
    </row>
    <row r="650" spans="1:11" ht="12" customHeight="1">
      <c r="A650" s="6">
        <v>26086</v>
      </c>
      <c r="B650" s="6" t="s">
        <v>1194</v>
      </c>
      <c r="C650" s="6" t="s">
        <v>440</v>
      </c>
      <c r="E650" s="6" t="s">
        <v>361</v>
      </c>
      <c r="F650" s="6">
        <v>36</v>
      </c>
      <c r="G650" s="6">
        <v>1989</v>
      </c>
      <c r="H650" s="6">
        <v>836</v>
      </c>
      <c r="I650" s="6">
        <v>0</v>
      </c>
      <c r="J650" s="6">
        <v>0</v>
      </c>
      <c r="K650" s="6">
        <v>0</v>
      </c>
    </row>
    <row r="651" spans="1:11" ht="12" customHeight="1">
      <c r="A651" s="6">
        <v>15092</v>
      </c>
      <c r="B651" s="6" t="s">
        <v>1194</v>
      </c>
      <c r="C651" s="6" t="s">
        <v>441</v>
      </c>
      <c r="E651" s="6" t="s">
        <v>361</v>
      </c>
      <c r="F651" s="6">
        <v>36</v>
      </c>
      <c r="G651" s="6">
        <v>1988</v>
      </c>
      <c r="H651" s="6">
        <v>835</v>
      </c>
      <c r="I651" s="6">
        <v>0</v>
      </c>
      <c r="J651" s="6">
        <v>0</v>
      </c>
      <c r="K651" s="6">
        <v>0</v>
      </c>
    </row>
    <row r="652" spans="1:11" ht="12" customHeight="1">
      <c r="A652" s="6">
        <v>21825</v>
      </c>
      <c r="B652" s="6" t="s">
        <v>1195</v>
      </c>
      <c r="C652" s="6" t="s">
        <v>478</v>
      </c>
      <c r="D652" s="6" t="s">
        <v>316</v>
      </c>
      <c r="E652" s="6" t="s">
        <v>361</v>
      </c>
      <c r="F652" s="6">
        <v>36</v>
      </c>
      <c r="G652" s="6">
        <v>1959</v>
      </c>
      <c r="H652" s="6">
        <v>837</v>
      </c>
      <c r="I652" s="6">
        <v>0</v>
      </c>
      <c r="J652" s="6">
        <v>0</v>
      </c>
      <c r="K652" s="6">
        <v>0</v>
      </c>
    </row>
    <row r="653" spans="1:11" ht="12" customHeight="1">
      <c r="A653" s="6">
        <v>19026</v>
      </c>
      <c r="B653" s="6" t="s">
        <v>1196</v>
      </c>
      <c r="C653" s="6" t="s">
        <v>1197</v>
      </c>
      <c r="E653" s="6" t="s">
        <v>425</v>
      </c>
      <c r="F653" s="6">
        <v>79</v>
      </c>
      <c r="G653" s="6">
        <v>1971</v>
      </c>
      <c r="H653" s="6">
        <v>838</v>
      </c>
      <c r="I653" s="6">
        <v>0</v>
      </c>
      <c r="J653" s="6">
        <v>0</v>
      </c>
      <c r="K653" s="6">
        <v>0</v>
      </c>
    </row>
    <row r="654" spans="1:11" ht="12" customHeight="1">
      <c r="A654" s="6">
        <v>20617</v>
      </c>
      <c r="B654" s="6" t="s">
        <v>1198</v>
      </c>
      <c r="C654" s="6" t="s">
        <v>576</v>
      </c>
      <c r="E654" s="6" t="s">
        <v>221</v>
      </c>
      <c r="F654" s="6">
        <v>17</v>
      </c>
      <c r="G654" s="6">
        <v>1977</v>
      </c>
      <c r="H654" s="6">
        <v>11</v>
      </c>
      <c r="I654" s="6">
        <v>43.75</v>
      </c>
      <c r="J654" s="6">
        <v>3682.8139999999999</v>
      </c>
      <c r="K654" s="6">
        <v>1662</v>
      </c>
    </row>
    <row r="655" spans="1:11" ht="12" customHeight="1">
      <c r="A655" s="6">
        <v>22007</v>
      </c>
      <c r="B655" s="6" t="s">
        <v>1199</v>
      </c>
      <c r="C655" s="6" t="s">
        <v>492</v>
      </c>
      <c r="E655" s="6" t="s">
        <v>502</v>
      </c>
      <c r="F655" s="6">
        <v>24</v>
      </c>
      <c r="G655" s="6">
        <v>1977</v>
      </c>
      <c r="H655" s="6">
        <v>3</v>
      </c>
      <c r="I655" s="6">
        <v>51.75</v>
      </c>
      <c r="J655" s="6">
        <v>4127.7839999999997</v>
      </c>
      <c r="K655" s="6">
        <v>1556</v>
      </c>
    </row>
    <row r="656" spans="1:11" ht="12" customHeight="1">
      <c r="A656" s="6">
        <v>20701</v>
      </c>
      <c r="B656" s="6" t="s">
        <v>1200</v>
      </c>
      <c r="C656" s="6" t="s">
        <v>678</v>
      </c>
      <c r="D656" s="6" t="s">
        <v>316</v>
      </c>
      <c r="E656" s="6" t="s">
        <v>221</v>
      </c>
      <c r="F656" s="6">
        <v>17</v>
      </c>
      <c r="G656" s="6">
        <v>1971</v>
      </c>
      <c r="H656" s="6">
        <v>839</v>
      </c>
      <c r="I656" s="6">
        <v>0</v>
      </c>
      <c r="J656" s="6">
        <v>0</v>
      </c>
      <c r="K656" s="6">
        <v>0</v>
      </c>
    </row>
    <row r="657" spans="1:11" ht="12" customHeight="1">
      <c r="A657" s="6">
        <v>18111</v>
      </c>
      <c r="B657" s="6" t="s">
        <v>1201</v>
      </c>
      <c r="C657" s="6" t="s">
        <v>648</v>
      </c>
      <c r="E657" s="6" t="s">
        <v>253</v>
      </c>
      <c r="F657" s="6">
        <v>86</v>
      </c>
      <c r="G657" s="6">
        <v>1971</v>
      </c>
      <c r="H657" s="6">
        <v>840</v>
      </c>
      <c r="I657" s="6">
        <v>0</v>
      </c>
      <c r="J657" s="6">
        <v>0</v>
      </c>
      <c r="K657" s="6">
        <v>0</v>
      </c>
    </row>
    <row r="658" spans="1:11" ht="12" customHeight="1">
      <c r="A658" s="6">
        <v>22175</v>
      </c>
      <c r="B658" s="6" t="s">
        <v>1202</v>
      </c>
      <c r="C658" s="6" t="s">
        <v>1203</v>
      </c>
      <c r="D658" s="6" t="s">
        <v>316</v>
      </c>
      <c r="E658" s="6" t="s">
        <v>253</v>
      </c>
      <c r="F658" s="6">
        <v>86</v>
      </c>
      <c r="G658" s="6">
        <v>2000</v>
      </c>
      <c r="H658" s="6">
        <v>527</v>
      </c>
      <c r="I658" s="6">
        <v>1.5940000000000001</v>
      </c>
      <c r="J658" s="6">
        <v>111.098</v>
      </c>
      <c r="K658" s="6">
        <v>39</v>
      </c>
    </row>
    <row r="659" spans="1:11" ht="12" customHeight="1">
      <c r="A659" s="6">
        <v>17105</v>
      </c>
      <c r="B659" s="6" t="s">
        <v>1204</v>
      </c>
      <c r="C659" s="6" t="s">
        <v>1205</v>
      </c>
      <c r="E659" s="6" t="s">
        <v>425</v>
      </c>
      <c r="F659" s="6">
        <v>79</v>
      </c>
      <c r="G659" s="6">
        <v>1991</v>
      </c>
      <c r="H659" s="6">
        <v>841</v>
      </c>
      <c r="I659" s="6">
        <v>0</v>
      </c>
      <c r="J659" s="6">
        <v>0</v>
      </c>
      <c r="K659" s="6">
        <v>0</v>
      </c>
    </row>
    <row r="660" spans="1:11" ht="12" customHeight="1">
      <c r="A660" s="6">
        <v>24271</v>
      </c>
      <c r="B660" s="6" t="s">
        <v>1206</v>
      </c>
      <c r="C660" s="6" t="s">
        <v>609</v>
      </c>
      <c r="E660" s="6" t="s">
        <v>239</v>
      </c>
      <c r="F660" s="6">
        <v>14</v>
      </c>
      <c r="G660" s="6">
        <v>1972</v>
      </c>
      <c r="H660" s="6">
        <v>307</v>
      </c>
      <c r="I660" s="6">
        <v>12.343999999999999</v>
      </c>
      <c r="J660" s="6">
        <v>504.69299999999998</v>
      </c>
      <c r="K660" s="6">
        <v>80</v>
      </c>
    </row>
    <row r="661" spans="1:11" ht="12" customHeight="1">
      <c r="A661" s="6">
        <v>18042</v>
      </c>
      <c r="B661" s="6" t="s">
        <v>1207</v>
      </c>
      <c r="C661" s="6" t="s">
        <v>1208</v>
      </c>
      <c r="D661" s="6" t="s">
        <v>434</v>
      </c>
      <c r="E661" s="6" t="s">
        <v>151</v>
      </c>
      <c r="F661" s="6">
        <v>21</v>
      </c>
      <c r="G661" s="6">
        <v>2008</v>
      </c>
      <c r="H661" s="6">
        <v>114</v>
      </c>
      <c r="I661" s="6">
        <v>25.312999999999999</v>
      </c>
      <c r="J661" s="6">
        <v>1700.7239999999999</v>
      </c>
      <c r="K661" s="6">
        <v>704</v>
      </c>
    </row>
    <row r="662" spans="1:11" ht="12" customHeight="1">
      <c r="A662" s="6">
        <v>18043</v>
      </c>
      <c r="B662" s="6" t="s">
        <v>1209</v>
      </c>
      <c r="C662" s="6" t="s">
        <v>1210</v>
      </c>
      <c r="D662" s="6" t="s">
        <v>316</v>
      </c>
      <c r="E662" s="6" t="s">
        <v>151</v>
      </c>
      <c r="F662" s="6">
        <v>21</v>
      </c>
      <c r="G662" s="6">
        <v>2004</v>
      </c>
      <c r="H662" s="6">
        <v>178</v>
      </c>
      <c r="I662" s="6">
        <v>16.742999999999999</v>
      </c>
      <c r="J662" s="6">
        <v>1163.549</v>
      </c>
      <c r="K662" s="6">
        <v>408</v>
      </c>
    </row>
    <row r="663" spans="1:11" ht="12" customHeight="1">
      <c r="A663" s="6">
        <v>18064</v>
      </c>
      <c r="B663" s="6" t="s">
        <v>1211</v>
      </c>
      <c r="C663" s="6" t="s">
        <v>552</v>
      </c>
      <c r="E663" s="6" t="s">
        <v>199</v>
      </c>
      <c r="F663" s="6">
        <v>88</v>
      </c>
      <c r="G663" s="6">
        <v>1969</v>
      </c>
      <c r="H663" s="6">
        <v>229</v>
      </c>
      <c r="I663" s="6">
        <v>19.594999999999999</v>
      </c>
      <c r="J663" s="6">
        <v>831.505</v>
      </c>
      <c r="K663" s="6">
        <v>159</v>
      </c>
    </row>
    <row r="664" spans="1:11" ht="12" customHeight="1">
      <c r="A664" s="6">
        <v>22120</v>
      </c>
      <c r="B664" s="6" t="s">
        <v>1212</v>
      </c>
      <c r="C664" s="6" t="s">
        <v>673</v>
      </c>
      <c r="D664" s="6" t="s">
        <v>451</v>
      </c>
      <c r="E664" s="6" t="s">
        <v>199</v>
      </c>
      <c r="F664" s="6">
        <v>88</v>
      </c>
      <c r="G664" s="6">
        <v>2014</v>
      </c>
      <c r="H664" s="6">
        <v>299</v>
      </c>
      <c r="I664" s="6">
        <v>12.471</v>
      </c>
      <c r="J664" s="6">
        <v>511.32</v>
      </c>
      <c r="K664" s="6">
        <v>72</v>
      </c>
    </row>
    <row r="665" spans="1:11" ht="12" customHeight="1">
      <c r="A665" s="6">
        <v>20579</v>
      </c>
      <c r="B665" s="6" t="s">
        <v>1212</v>
      </c>
      <c r="C665" s="6" t="s">
        <v>1213</v>
      </c>
      <c r="D665" s="6" t="s">
        <v>451</v>
      </c>
      <c r="E665" s="6" t="s">
        <v>199</v>
      </c>
      <c r="F665" s="6">
        <v>88</v>
      </c>
      <c r="G665" s="6">
        <v>2012</v>
      </c>
      <c r="H665" s="6">
        <v>282</v>
      </c>
      <c r="I665" s="6">
        <v>14.939</v>
      </c>
      <c r="J665" s="6">
        <v>577.279</v>
      </c>
      <c r="K665" s="6">
        <v>50</v>
      </c>
    </row>
    <row r="666" spans="1:11" ht="12" customHeight="1">
      <c r="A666" s="6">
        <v>20585</v>
      </c>
      <c r="B666" s="6" t="s">
        <v>1214</v>
      </c>
      <c r="C666" s="6" t="s">
        <v>467</v>
      </c>
      <c r="D666" s="6" t="s">
        <v>434</v>
      </c>
      <c r="E666" s="6" t="s">
        <v>460</v>
      </c>
      <c r="F666" s="6">
        <v>95</v>
      </c>
      <c r="G666" s="6">
        <v>2007</v>
      </c>
      <c r="H666" s="6">
        <v>425</v>
      </c>
      <c r="I666" s="6">
        <v>5.2190000000000003</v>
      </c>
      <c r="J666" s="6">
        <v>225.52699999999999</v>
      </c>
      <c r="K666" s="6">
        <v>33</v>
      </c>
    </row>
    <row r="667" spans="1:11" ht="12" customHeight="1">
      <c r="A667" s="6">
        <v>20584</v>
      </c>
      <c r="B667" s="6" t="s">
        <v>1214</v>
      </c>
      <c r="C667" s="6" t="s">
        <v>532</v>
      </c>
      <c r="E667" s="6" t="s">
        <v>460</v>
      </c>
      <c r="F667" s="6">
        <v>95</v>
      </c>
      <c r="G667" s="6">
        <v>1976</v>
      </c>
      <c r="H667" s="6">
        <v>396</v>
      </c>
      <c r="I667" s="6">
        <v>6.625</v>
      </c>
      <c r="J667" s="6">
        <v>280.28899999999999</v>
      </c>
      <c r="K667" s="6">
        <v>33</v>
      </c>
    </row>
    <row r="668" spans="1:11" ht="12" customHeight="1">
      <c r="A668" s="6">
        <v>20586</v>
      </c>
      <c r="B668" s="6" t="s">
        <v>1214</v>
      </c>
      <c r="C668" s="6" t="s">
        <v>1215</v>
      </c>
      <c r="D668" s="6" t="s">
        <v>434</v>
      </c>
      <c r="E668" s="6" t="s">
        <v>460</v>
      </c>
      <c r="F668" s="6">
        <v>95</v>
      </c>
      <c r="G668" s="6">
        <v>2010</v>
      </c>
      <c r="H668" s="6">
        <v>486</v>
      </c>
      <c r="I668" s="6">
        <v>4.4690000000000003</v>
      </c>
      <c r="J668" s="6">
        <v>154.69800000000001</v>
      </c>
      <c r="K668" s="6">
        <v>0</v>
      </c>
    </row>
    <row r="669" spans="1:11" ht="12" customHeight="1">
      <c r="A669" s="6">
        <v>97242</v>
      </c>
      <c r="B669" s="6" t="s">
        <v>1216</v>
      </c>
      <c r="C669" s="6" t="s">
        <v>514</v>
      </c>
      <c r="E669" s="6" t="s">
        <v>476</v>
      </c>
      <c r="F669" s="6">
        <v>2</v>
      </c>
      <c r="G669" s="6">
        <v>1951</v>
      </c>
      <c r="H669" s="6">
        <v>528</v>
      </c>
      <c r="I669" s="6">
        <v>3.4380000000000002</v>
      </c>
      <c r="J669" s="6">
        <v>110.03</v>
      </c>
      <c r="K669" s="6">
        <v>15</v>
      </c>
    </row>
    <row r="670" spans="1:11" ht="12" customHeight="1">
      <c r="A670" s="6">
        <v>23084</v>
      </c>
      <c r="B670" s="6" t="s">
        <v>1217</v>
      </c>
      <c r="C670" s="6" t="s">
        <v>416</v>
      </c>
      <c r="E670" s="6" t="s">
        <v>476</v>
      </c>
      <c r="F670" s="6">
        <v>2</v>
      </c>
      <c r="G670" s="6">
        <v>1952</v>
      </c>
      <c r="H670" s="6">
        <v>344</v>
      </c>
      <c r="I670" s="6">
        <v>10.532</v>
      </c>
      <c r="J670" s="6">
        <v>390.11399999999998</v>
      </c>
      <c r="K670" s="6">
        <v>71</v>
      </c>
    </row>
    <row r="671" spans="1:11" ht="12" customHeight="1">
      <c r="A671" s="6">
        <v>27086</v>
      </c>
      <c r="B671" s="6" t="s">
        <v>1218</v>
      </c>
      <c r="C671" s="6" t="s">
        <v>499</v>
      </c>
      <c r="E671" s="6" t="s">
        <v>232</v>
      </c>
      <c r="F671" s="6">
        <v>19</v>
      </c>
      <c r="G671" s="6">
        <v>1947</v>
      </c>
      <c r="H671" s="6">
        <v>596</v>
      </c>
      <c r="I671" s="6">
        <v>1.6879999999999999</v>
      </c>
      <c r="J671" s="6">
        <v>51.405999999999999</v>
      </c>
      <c r="K671" s="6">
        <v>0</v>
      </c>
    </row>
    <row r="672" spans="1:11" ht="12" customHeight="1">
      <c r="A672" s="6">
        <v>20724</v>
      </c>
      <c r="B672" s="6" t="s">
        <v>1218</v>
      </c>
      <c r="C672" s="6" t="s">
        <v>514</v>
      </c>
      <c r="E672" s="6" t="s">
        <v>232</v>
      </c>
      <c r="F672" s="6">
        <v>19</v>
      </c>
      <c r="G672" s="6">
        <v>1956</v>
      </c>
      <c r="H672" s="6">
        <v>842</v>
      </c>
      <c r="I672" s="6">
        <v>0</v>
      </c>
      <c r="J672" s="6">
        <v>0</v>
      </c>
      <c r="K672" s="6">
        <v>0</v>
      </c>
    </row>
    <row r="673" spans="1:11" ht="12" customHeight="1">
      <c r="A673" s="6">
        <v>17008</v>
      </c>
      <c r="B673" s="6" t="s">
        <v>1219</v>
      </c>
      <c r="C673" s="6" t="s">
        <v>1220</v>
      </c>
      <c r="D673" s="6" t="s">
        <v>316</v>
      </c>
      <c r="E673" s="6" t="s">
        <v>714</v>
      </c>
      <c r="F673" s="6">
        <v>85</v>
      </c>
      <c r="G673" s="6">
        <v>1952</v>
      </c>
      <c r="H673" s="6">
        <v>843</v>
      </c>
      <c r="I673" s="6">
        <v>0</v>
      </c>
      <c r="J673" s="6">
        <v>0</v>
      </c>
      <c r="K673" s="6">
        <v>0</v>
      </c>
    </row>
    <row r="674" spans="1:11" ht="12" customHeight="1">
      <c r="A674" s="6">
        <v>17050</v>
      </c>
      <c r="B674" s="6" t="s">
        <v>1221</v>
      </c>
      <c r="C674" s="6" t="s">
        <v>550</v>
      </c>
      <c r="D674" s="6" t="s">
        <v>316</v>
      </c>
      <c r="E674" s="6" t="s">
        <v>456</v>
      </c>
      <c r="F674" s="6">
        <v>70</v>
      </c>
      <c r="G674" s="6">
        <v>1936</v>
      </c>
      <c r="H674" s="6">
        <v>844</v>
      </c>
      <c r="I674" s="6">
        <v>0</v>
      </c>
      <c r="J674" s="6">
        <v>0</v>
      </c>
      <c r="K674" s="6">
        <v>0</v>
      </c>
    </row>
    <row r="675" spans="1:11" ht="12" customHeight="1">
      <c r="A675" s="6">
        <v>13046</v>
      </c>
      <c r="B675" s="6" t="s">
        <v>1222</v>
      </c>
      <c r="C675" s="6" t="s">
        <v>1133</v>
      </c>
      <c r="E675" s="6" t="s">
        <v>138</v>
      </c>
      <c r="F675" s="6">
        <v>20</v>
      </c>
      <c r="G675" s="6">
        <v>1941</v>
      </c>
      <c r="H675" s="6">
        <v>845</v>
      </c>
      <c r="I675" s="6">
        <v>0</v>
      </c>
      <c r="J675" s="6">
        <v>0</v>
      </c>
      <c r="K675" s="6">
        <v>0</v>
      </c>
    </row>
    <row r="676" spans="1:11" ht="12" customHeight="1">
      <c r="A676" s="6">
        <v>23213</v>
      </c>
      <c r="B676" s="6" t="s">
        <v>1223</v>
      </c>
      <c r="C676" s="6" t="s">
        <v>733</v>
      </c>
      <c r="D676" s="6" t="s">
        <v>316</v>
      </c>
      <c r="E676" s="6" t="s">
        <v>810</v>
      </c>
      <c r="F676" s="6">
        <v>78</v>
      </c>
      <c r="G676" s="6">
        <v>1969</v>
      </c>
      <c r="H676" s="6">
        <v>846</v>
      </c>
      <c r="I676" s="6">
        <v>0</v>
      </c>
      <c r="J676" s="6">
        <v>0</v>
      </c>
      <c r="K676" s="6">
        <v>0</v>
      </c>
    </row>
    <row r="677" spans="1:11" ht="12" customHeight="1">
      <c r="A677" s="6">
        <v>19073</v>
      </c>
      <c r="B677" s="6" t="s">
        <v>1224</v>
      </c>
      <c r="C677" s="6" t="s">
        <v>418</v>
      </c>
      <c r="D677" s="6" t="s">
        <v>434</v>
      </c>
      <c r="E677" s="6" t="s">
        <v>193</v>
      </c>
      <c r="F677" s="6">
        <v>89</v>
      </c>
      <c r="G677" s="6">
        <v>2009</v>
      </c>
      <c r="H677" s="6">
        <v>508</v>
      </c>
      <c r="I677" s="6">
        <v>2.4849999999999999</v>
      </c>
      <c r="J677" s="6">
        <v>127.452</v>
      </c>
      <c r="K677" s="6">
        <v>25</v>
      </c>
    </row>
    <row r="678" spans="1:11" ht="12" customHeight="1">
      <c r="A678" s="6">
        <v>19074</v>
      </c>
      <c r="B678" s="6" t="s">
        <v>1224</v>
      </c>
      <c r="C678" s="6" t="s">
        <v>422</v>
      </c>
      <c r="E678" s="6" t="s">
        <v>193</v>
      </c>
      <c r="F678" s="6">
        <v>89</v>
      </c>
      <c r="G678" s="6">
        <v>1965</v>
      </c>
      <c r="H678" s="6">
        <v>351</v>
      </c>
      <c r="I678" s="6">
        <v>6.75</v>
      </c>
      <c r="J678" s="6">
        <v>368.43400000000003</v>
      </c>
      <c r="K678" s="6">
        <v>138</v>
      </c>
    </row>
    <row r="679" spans="1:11" ht="12" customHeight="1">
      <c r="A679" s="6">
        <v>19072</v>
      </c>
      <c r="B679" s="6" t="s">
        <v>1225</v>
      </c>
      <c r="C679" s="6" t="s">
        <v>485</v>
      </c>
      <c r="D679" s="6" t="s">
        <v>316</v>
      </c>
      <c r="E679" s="6" t="s">
        <v>193</v>
      </c>
      <c r="F679" s="6">
        <v>89</v>
      </c>
      <c r="G679" s="6">
        <v>1966</v>
      </c>
      <c r="H679" s="6">
        <v>489</v>
      </c>
      <c r="I679" s="6">
        <v>3.7349999999999999</v>
      </c>
      <c r="J679" s="6">
        <v>152.99299999999999</v>
      </c>
      <c r="K679" s="6">
        <v>25</v>
      </c>
    </row>
    <row r="680" spans="1:11" ht="12" customHeight="1">
      <c r="A680" s="6">
        <v>20539</v>
      </c>
      <c r="B680" s="6" t="s">
        <v>1226</v>
      </c>
      <c r="C680" s="6" t="s">
        <v>427</v>
      </c>
      <c r="E680" s="6" t="s">
        <v>435</v>
      </c>
      <c r="F680" s="6">
        <v>93</v>
      </c>
      <c r="G680" s="6">
        <v>1985</v>
      </c>
      <c r="H680" s="6">
        <v>170</v>
      </c>
      <c r="I680" s="6">
        <v>21.219000000000001</v>
      </c>
      <c r="J680" s="6">
        <v>1250.1110000000001</v>
      </c>
      <c r="K680" s="6">
        <v>450</v>
      </c>
    </row>
    <row r="681" spans="1:11" ht="12" customHeight="1">
      <c r="A681" s="6">
        <v>23210</v>
      </c>
      <c r="B681" s="6" t="s">
        <v>1227</v>
      </c>
      <c r="C681" s="6" t="s">
        <v>688</v>
      </c>
      <c r="D681" s="6" t="s">
        <v>316</v>
      </c>
      <c r="E681" s="6" t="s">
        <v>435</v>
      </c>
      <c r="F681" s="6">
        <v>93</v>
      </c>
      <c r="G681" s="6">
        <v>1993</v>
      </c>
      <c r="H681" s="6">
        <v>847</v>
      </c>
      <c r="I681" s="6">
        <v>0</v>
      </c>
      <c r="J681" s="6">
        <v>0</v>
      </c>
      <c r="K681" s="6">
        <v>0</v>
      </c>
    </row>
    <row r="682" spans="1:11" ht="12" customHeight="1">
      <c r="A682" s="6">
        <v>96041</v>
      </c>
      <c r="B682" s="6" t="s">
        <v>1228</v>
      </c>
      <c r="C682" s="6" t="s">
        <v>463</v>
      </c>
      <c r="D682" s="6" t="s">
        <v>316</v>
      </c>
      <c r="E682" s="6" t="s">
        <v>229</v>
      </c>
      <c r="F682" s="6">
        <v>1</v>
      </c>
      <c r="G682" s="6">
        <v>1955</v>
      </c>
      <c r="H682" s="6">
        <v>848</v>
      </c>
      <c r="I682" s="6">
        <v>0</v>
      </c>
      <c r="J682" s="6">
        <v>0</v>
      </c>
      <c r="K682" s="6">
        <v>0</v>
      </c>
    </row>
    <row r="683" spans="1:11" ht="12" customHeight="1">
      <c r="A683" s="6">
        <v>14061</v>
      </c>
      <c r="B683" s="6" t="s">
        <v>1229</v>
      </c>
      <c r="C683" s="6" t="s">
        <v>437</v>
      </c>
      <c r="E683" s="6" t="s">
        <v>488</v>
      </c>
      <c r="F683" s="6">
        <v>73</v>
      </c>
      <c r="G683" s="6">
        <v>1951</v>
      </c>
      <c r="H683" s="6">
        <v>553</v>
      </c>
      <c r="I683" s="6">
        <v>1.3759999999999999</v>
      </c>
      <c r="J683" s="6">
        <v>85.546999999999997</v>
      </c>
      <c r="K683" s="6">
        <v>18</v>
      </c>
    </row>
    <row r="684" spans="1:11" ht="12" customHeight="1">
      <c r="A684" s="6">
        <v>20536</v>
      </c>
      <c r="B684" s="6" t="s">
        <v>1230</v>
      </c>
      <c r="C684" s="6" t="s">
        <v>1231</v>
      </c>
      <c r="D684" s="6" t="s">
        <v>316</v>
      </c>
      <c r="E684" s="6" t="s">
        <v>541</v>
      </c>
      <c r="F684" s="6">
        <v>92</v>
      </c>
      <c r="G684" s="6">
        <v>1990</v>
      </c>
      <c r="H684" s="6">
        <v>254</v>
      </c>
      <c r="I684" s="6">
        <v>10.407</v>
      </c>
      <c r="J684" s="6">
        <v>715.59799999999996</v>
      </c>
      <c r="K684" s="6">
        <v>208</v>
      </c>
    </row>
    <row r="685" spans="1:11" ht="12" customHeight="1">
      <c r="A685" s="6">
        <v>17090</v>
      </c>
      <c r="B685" s="6" t="s">
        <v>1230</v>
      </c>
      <c r="C685" s="6" t="s">
        <v>480</v>
      </c>
      <c r="D685" s="6" t="s">
        <v>316</v>
      </c>
      <c r="E685" s="6" t="s">
        <v>541</v>
      </c>
      <c r="F685" s="6">
        <v>92</v>
      </c>
      <c r="G685" s="6">
        <v>1959</v>
      </c>
      <c r="H685" s="6">
        <v>113</v>
      </c>
      <c r="I685" s="6">
        <v>23.094999999999999</v>
      </c>
      <c r="J685" s="6">
        <v>1719.9290000000001</v>
      </c>
      <c r="K685" s="6">
        <v>610</v>
      </c>
    </row>
    <row r="686" spans="1:11" ht="12" customHeight="1">
      <c r="A686" s="6">
        <v>21021</v>
      </c>
      <c r="B686" s="6" t="s">
        <v>1232</v>
      </c>
      <c r="C686" s="6" t="s">
        <v>1233</v>
      </c>
      <c r="D686" s="6" t="s">
        <v>451</v>
      </c>
      <c r="E686" s="6" t="s">
        <v>120</v>
      </c>
      <c r="F686" s="6">
        <v>54</v>
      </c>
      <c r="G686" s="6">
        <v>2009</v>
      </c>
      <c r="H686" s="6">
        <v>156</v>
      </c>
      <c r="I686" s="6">
        <v>23.719000000000001</v>
      </c>
      <c r="J686" s="6">
        <v>1343.079</v>
      </c>
      <c r="K686" s="6">
        <v>304</v>
      </c>
    </row>
    <row r="687" spans="1:11" ht="12" customHeight="1">
      <c r="A687" s="6">
        <v>22100</v>
      </c>
      <c r="B687" s="6" t="s">
        <v>1234</v>
      </c>
      <c r="C687" s="6" t="s">
        <v>1235</v>
      </c>
      <c r="D687" s="6" t="s">
        <v>316</v>
      </c>
      <c r="E687" s="6" t="s">
        <v>229</v>
      </c>
      <c r="F687" s="6">
        <v>1</v>
      </c>
      <c r="G687" s="6">
        <v>1991</v>
      </c>
      <c r="H687" s="6">
        <v>26</v>
      </c>
      <c r="I687" s="6">
        <v>43.25</v>
      </c>
      <c r="J687" s="6">
        <v>2964.076</v>
      </c>
      <c r="K687" s="6">
        <v>1189</v>
      </c>
    </row>
    <row r="688" spans="1:11" ht="12" customHeight="1">
      <c r="A688" s="6">
        <v>15084</v>
      </c>
      <c r="B688" s="6" t="s">
        <v>1236</v>
      </c>
      <c r="C688" s="6" t="s">
        <v>492</v>
      </c>
      <c r="E688" s="6" t="s">
        <v>476</v>
      </c>
      <c r="F688" s="6">
        <v>2</v>
      </c>
      <c r="G688" s="6">
        <v>1965</v>
      </c>
      <c r="H688" s="6">
        <v>525</v>
      </c>
      <c r="I688" s="6">
        <v>4.75</v>
      </c>
      <c r="J688" s="6">
        <v>111.917</v>
      </c>
      <c r="K688" s="6">
        <v>0</v>
      </c>
    </row>
    <row r="689" spans="1:11" ht="12" customHeight="1">
      <c r="A689" s="6">
        <v>18130</v>
      </c>
      <c r="B689" s="6" t="s">
        <v>1237</v>
      </c>
      <c r="C689" s="6" t="s">
        <v>517</v>
      </c>
      <c r="E689" s="6" t="s">
        <v>541</v>
      </c>
      <c r="F689" s="6">
        <v>92</v>
      </c>
      <c r="G689" s="6">
        <v>1963</v>
      </c>
      <c r="H689" s="6">
        <v>108</v>
      </c>
      <c r="I689" s="6">
        <v>23.408000000000001</v>
      </c>
      <c r="J689" s="6">
        <v>1754.8989999999999</v>
      </c>
      <c r="K689" s="6">
        <v>621</v>
      </c>
    </row>
    <row r="690" spans="1:11" ht="12" customHeight="1">
      <c r="A690" s="6">
        <v>21007</v>
      </c>
      <c r="B690" s="6" t="s">
        <v>1238</v>
      </c>
      <c r="C690" s="6" t="s">
        <v>688</v>
      </c>
      <c r="D690" s="6" t="s">
        <v>316</v>
      </c>
      <c r="E690" s="6" t="s">
        <v>704</v>
      </c>
      <c r="F690" s="6">
        <v>45</v>
      </c>
      <c r="G690" s="6">
        <v>1978</v>
      </c>
      <c r="H690" s="6">
        <v>376</v>
      </c>
      <c r="I690" s="6">
        <v>9.2509999999999994</v>
      </c>
      <c r="J690" s="6">
        <v>320.411</v>
      </c>
      <c r="K690" s="6">
        <v>0</v>
      </c>
    </row>
    <row r="691" spans="1:11" ht="12" customHeight="1">
      <c r="A691" s="6">
        <v>22154</v>
      </c>
      <c r="B691" s="6" t="s">
        <v>1239</v>
      </c>
      <c r="C691" s="6" t="s">
        <v>1240</v>
      </c>
      <c r="D691" s="6" t="s">
        <v>316</v>
      </c>
      <c r="E691" s="6" t="s">
        <v>572</v>
      </c>
      <c r="F691" s="6">
        <v>87</v>
      </c>
      <c r="G691" s="6">
        <v>1957</v>
      </c>
      <c r="H691" s="6">
        <v>387</v>
      </c>
      <c r="I691" s="6">
        <v>7.2510000000000003</v>
      </c>
      <c r="J691" s="6">
        <v>304.15499999999997</v>
      </c>
      <c r="K691" s="6">
        <v>0</v>
      </c>
    </row>
    <row r="692" spans="1:11" ht="12" customHeight="1">
      <c r="A692" s="6">
        <v>14098</v>
      </c>
      <c r="B692" s="6" t="s">
        <v>1241</v>
      </c>
      <c r="C692" s="6" t="s">
        <v>422</v>
      </c>
      <c r="E692" s="6" t="s">
        <v>393</v>
      </c>
      <c r="F692" s="6">
        <v>52</v>
      </c>
      <c r="G692" s="6">
        <v>1980</v>
      </c>
      <c r="H692" s="6">
        <v>264</v>
      </c>
      <c r="I692" s="6">
        <v>12.093999999999999</v>
      </c>
      <c r="J692" s="6">
        <v>649.23800000000006</v>
      </c>
      <c r="K692" s="6">
        <v>164</v>
      </c>
    </row>
    <row r="693" spans="1:11" ht="12" customHeight="1">
      <c r="A693" s="6">
        <v>15009</v>
      </c>
      <c r="B693" s="6" t="s">
        <v>1242</v>
      </c>
      <c r="C693" s="6" t="s">
        <v>424</v>
      </c>
      <c r="E693" s="6" t="s">
        <v>141</v>
      </c>
      <c r="F693" s="6">
        <v>15</v>
      </c>
      <c r="G693" s="6">
        <v>1995</v>
      </c>
      <c r="H693" s="6">
        <v>45</v>
      </c>
      <c r="I693" s="6">
        <v>39.75</v>
      </c>
      <c r="J693" s="6">
        <v>2543.8960000000002</v>
      </c>
      <c r="K693" s="6">
        <v>873</v>
      </c>
    </row>
    <row r="694" spans="1:11" ht="12" customHeight="1">
      <c r="A694" s="6">
        <v>15008</v>
      </c>
      <c r="B694" s="6" t="s">
        <v>1242</v>
      </c>
      <c r="C694" s="6" t="s">
        <v>1001</v>
      </c>
      <c r="E694" s="6" t="s">
        <v>141</v>
      </c>
      <c r="F694" s="6">
        <v>15</v>
      </c>
      <c r="G694" s="6">
        <v>1995</v>
      </c>
      <c r="H694" s="6">
        <v>95</v>
      </c>
      <c r="I694" s="6">
        <v>33.75</v>
      </c>
      <c r="J694" s="6">
        <v>1884.8050000000001</v>
      </c>
      <c r="K694" s="6">
        <v>678</v>
      </c>
    </row>
    <row r="695" spans="1:11" ht="12" customHeight="1">
      <c r="A695" s="6">
        <v>20618</v>
      </c>
      <c r="B695" s="6" t="s">
        <v>1243</v>
      </c>
      <c r="C695" s="6" t="s">
        <v>735</v>
      </c>
      <c r="D695" s="6" t="s">
        <v>434</v>
      </c>
      <c r="E695" s="6" t="s">
        <v>460</v>
      </c>
      <c r="F695" s="6">
        <v>95</v>
      </c>
      <c r="G695" s="6">
        <v>2009</v>
      </c>
      <c r="H695" s="6">
        <v>608</v>
      </c>
      <c r="I695" s="6">
        <v>1.0940000000000001</v>
      </c>
      <c r="J695" s="6">
        <v>42.593000000000004</v>
      </c>
      <c r="K695" s="6">
        <v>0</v>
      </c>
    </row>
    <row r="696" spans="1:11" ht="12" customHeight="1">
      <c r="A696" s="6">
        <v>18128</v>
      </c>
      <c r="B696" s="6" t="s">
        <v>1244</v>
      </c>
      <c r="C696" s="6" t="s">
        <v>576</v>
      </c>
      <c r="E696" s="6" t="s">
        <v>253</v>
      </c>
      <c r="F696" s="6">
        <v>86</v>
      </c>
      <c r="G696" s="6">
        <v>1990</v>
      </c>
      <c r="H696" s="6">
        <v>849</v>
      </c>
      <c r="I696" s="6">
        <v>0</v>
      </c>
      <c r="J696" s="6">
        <v>0</v>
      </c>
      <c r="K696" s="6">
        <v>0</v>
      </c>
    </row>
    <row r="697" spans="1:11" ht="12" customHeight="1">
      <c r="A697" s="6">
        <v>15081</v>
      </c>
      <c r="B697" s="6" t="s">
        <v>1245</v>
      </c>
      <c r="C697" s="6" t="s">
        <v>418</v>
      </c>
      <c r="E697" s="6" t="s">
        <v>476</v>
      </c>
      <c r="F697" s="6">
        <v>2</v>
      </c>
      <c r="G697" s="6">
        <v>1992</v>
      </c>
      <c r="H697" s="6">
        <v>850</v>
      </c>
      <c r="I697" s="6">
        <v>0</v>
      </c>
      <c r="J697" s="6">
        <v>0</v>
      </c>
      <c r="K697" s="6">
        <v>0</v>
      </c>
    </row>
    <row r="698" spans="1:11" ht="12" customHeight="1">
      <c r="A698" s="6">
        <v>26001</v>
      </c>
      <c r="B698" s="6" t="s">
        <v>1246</v>
      </c>
      <c r="C698" s="6" t="s">
        <v>678</v>
      </c>
      <c r="D698" s="6" t="s">
        <v>316</v>
      </c>
      <c r="E698" s="6" t="s">
        <v>221</v>
      </c>
      <c r="F698" s="6">
        <v>17</v>
      </c>
      <c r="G698" s="6">
        <v>1997</v>
      </c>
      <c r="H698" s="6">
        <v>851</v>
      </c>
      <c r="I698" s="6">
        <v>0</v>
      </c>
      <c r="J698" s="6">
        <v>0</v>
      </c>
      <c r="K698" s="6">
        <v>0</v>
      </c>
    </row>
    <row r="699" spans="1:11" ht="12" customHeight="1">
      <c r="A699" s="6">
        <v>12022</v>
      </c>
      <c r="B699" s="6" t="s">
        <v>1247</v>
      </c>
      <c r="C699" s="6" t="s">
        <v>622</v>
      </c>
      <c r="D699" s="6" t="s">
        <v>316</v>
      </c>
      <c r="E699" s="6" t="s">
        <v>134</v>
      </c>
      <c r="F699" s="6">
        <v>64</v>
      </c>
      <c r="G699" s="6">
        <v>1986</v>
      </c>
      <c r="H699" s="6">
        <v>23</v>
      </c>
      <c r="I699" s="6">
        <v>41.125</v>
      </c>
      <c r="J699" s="6">
        <v>3009.105</v>
      </c>
      <c r="K699" s="6">
        <v>1293</v>
      </c>
    </row>
    <row r="700" spans="1:11" ht="12" customHeight="1">
      <c r="A700" s="6">
        <v>23222</v>
      </c>
      <c r="B700" s="6" t="s">
        <v>1248</v>
      </c>
      <c r="C700" s="6" t="s">
        <v>648</v>
      </c>
      <c r="E700" s="6" t="s">
        <v>572</v>
      </c>
      <c r="F700" s="6">
        <v>87</v>
      </c>
      <c r="G700" s="6">
        <v>1950</v>
      </c>
      <c r="H700" s="6">
        <v>413</v>
      </c>
      <c r="I700" s="6">
        <v>4.157</v>
      </c>
      <c r="J700" s="6">
        <v>252.46600000000001</v>
      </c>
      <c r="K700" s="6">
        <v>54</v>
      </c>
    </row>
    <row r="701" spans="1:11" ht="12" customHeight="1">
      <c r="A701" s="6">
        <v>13041</v>
      </c>
      <c r="B701" s="6" t="s">
        <v>1249</v>
      </c>
      <c r="C701" s="6" t="s">
        <v>443</v>
      </c>
      <c r="D701" s="6" t="s">
        <v>316</v>
      </c>
      <c r="E701" s="6" t="s">
        <v>229</v>
      </c>
      <c r="F701" s="6">
        <v>1</v>
      </c>
      <c r="G701" s="6">
        <v>1959</v>
      </c>
      <c r="H701" s="6">
        <v>128</v>
      </c>
      <c r="I701" s="6">
        <v>25.251999999999999</v>
      </c>
      <c r="J701" s="6">
        <v>1589.5830000000001</v>
      </c>
      <c r="K701" s="6">
        <v>552</v>
      </c>
    </row>
    <row r="702" spans="1:11" ht="12" customHeight="1">
      <c r="A702" s="6">
        <v>22170</v>
      </c>
      <c r="B702" s="6" t="s">
        <v>1250</v>
      </c>
      <c r="C702" s="6" t="s">
        <v>526</v>
      </c>
      <c r="E702" s="6" t="s">
        <v>425</v>
      </c>
      <c r="F702" s="6">
        <v>79</v>
      </c>
      <c r="G702" s="6">
        <v>1983</v>
      </c>
      <c r="H702" s="6">
        <v>244</v>
      </c>
      <c r="I702" s="6">
        <v>7.1580000000000004</v>
      </c>
      <c r="J702" s="6">
        <v>737.15899999999999</v>
      </c>
      <c r="K702" s="6">
        <v>392</v>
      </c>
    </row>
    <row r="703" spans="1:11" ht="12" customHeight="1">
      <c r="A703" s="6">
        <v>21017</v>
      </c>
      <c r="B703" s="6" t="s">
        <v>1251</v>
      </c>
      <c r="C703" s="6" t="s">
        <v>513</v>
      </c>
      <c r="D703" s="6" t="s">
        <v>434</v>
      </c>
      <c r="E703" s="6" t="s">
        <v>169</v>
      </c>
      <c r="F703" s="6">
        <v>69</v>
      </c>
      <c r="G703" s="6">
        <v>2006</v>
      </c>
      <c r="H703" s="6">
        <v>331</v>
      </c>
      <c r="I703" s="6">
        <v>6.5010000000000003</v>
      </c>
      <c r="J703" s="6">
        <v>432.428</v>
      </c>
      <c r="K703" s="6">
        <v>203</v>
      </c>
    </row>
    <row r="704" spans="1:11" ht="12" customHeight="1">
      <c r="A704" s="6">
        <v>16145</v>
      </c>
      <c r="B704" s="6" t="s">
        <v>1251</v>
      </c>
      <c r="C704" s="6" t="s">
        <v>427</v>
      </c>
      <c r="E704" s="6" t="s">
        <v>169</v>
      </c>
      <c r="F704" s="6">
        <v>69</v>
      </c>
      <c r="G704" s="6">
        <v>1981</v>
      </c>
      <c r="H704" s="6">
        <v>252</v>
      </c>
      <c r="I704" s="6">
        <v>11.906000000000001</v>
      </c>
      <c r="J704" s="6">
        <v>724.59299999999996</v>
      </c>
      <c r="K704" s="6">
        <v>299</v>
      </c>
    </row>
    <row r="705" spans="1:11" ht="12" customHeight="1">
      <c r="A705" s="6">
        <v>21005</v>
      </c>
      <c r="B705" s="6" t="s">
        <v>1252</v>
      </c>
      <c r="C705" s="6" t="s">
        <v>1253</v>
      </c>
      <c r="E705" s="6" t="s">
        <v>151</v>
      </c>
      <c r="F705" s="6">
        <v>21</v>
      </c>
      <c r="G705" s="6">
        <v>1965</v>
      </c>
      <c r="H705" s="6">
        <v>607</v>
      </c>
      <c r="I705" s="6">
        <v>1.125</v>
      </c>
      <c r="J705" s="6">
        <v>44.344999999999999</v>
      </c>
      <c r="K705" s="6">
        <v>0</v>
      </c>
    </row>
    <row r="706" spans="1:11" ht="12" customHeight="1">
      <c r="A706" s="6">
        <v>22126</v>
      </c>
      <c r="B706" s="6" t="s">
        <v>1254</v>
      </c>
      <c r="C706" s="6" t="s">
        <v>607</v>
      </c>
      <c r="D706" s="6" t="s">
        <v>434</v>
      </c>
      <c r="E706" s="6" t="s">
        <v>460</v>
      </c>
      <c r="F706" s="6">
        <v>95</v>
      </c>
      <c r="G706" s="6">
        <v>2010</v>
      </c>
      <c r="H706" s="6">
        <v>852</v>
      </c>
      <c r="I706" s="6">
        <v>0</v>
      </c>
      <c r="J706" s="6">
        <v>0</v>
      </c>
      <c r="K706" s="6">
        <v>0</v>
      </c>
    </row>
    <row r="707" spans="1:11" ht="12" customHeight="1">
      <c r="A707" s="6">
        <v>12049</v>
      </c>
      <c r="B707" s="6" t="s">
        <v>1255</v>
      </c>
      <c r="C707" s="6" t="s">
        <v>609</v>
      </c>
      <c r="E707" s="6" t="s">
        <v>239</v>
      </c>
      <c r="F707" s="6">
        <v>14</v>
      </c>
      <c r="G707" s="6">
        <v>1982</v>
      </c>
      <c r="H707" s="6">
        <v>233</v>
      </c>
      <c r="I707" s="6">
        <v>19.812999999999999</v>
      </c>
      <c r="J707" s="6">
        <v>806.16899999999998</v>
      </c>
      <c r="K707" s="6">
        <v>117</v>
      </c>
    </row>
    <row r="708" spans="1:11" ht="12" customHeight="1">
      <c r="A708" s="6">
        <v>23227</v>
      </c>
      <c r="B708" s="6" t="s">
        <v>1256</v>
      </c>
      <c r="C708" s="6" t="s">
        <v>422</v>
      </c>
      <c r="E708" s="6" t="s">
        <v>721</v>
      </c>
      <c r="F708" s="6">
        <v>90</v>
      </c>
      <c r="G708" s="6">
        <v>1970</v>
      </c>
      <c r="H708" s="6">
        <v>853</v>
      </c>
      <c r="I708" s="6">
        <v>0</v>
      </c>
      <c r="J708" s="6">
        <v>0</v>
      </c>
      <c r="K708" s="6">
        <v>0</v>
      </c>
    </row>
    <row r="709" spans="1:11" ht="12" customHeight="1">
      <c r="A709" s="6">
        <v>22173</v>
      </c>
      <c r="B709" s="6" t="s">
        <v>1257</v>
      </c>
      <c r="C709" s="6" t="s">
        <v>981</v>
      </c>
      <c r="E709" s="6" t="s">
        <v>456</v>
      </c>
      <c r="F709" s="6">
        <v>70</v>
      </c>
      <c r="G709" s="6">
        <v>1944</v>
      </c>
      <c r="H709" s="6">
        <v>854</v>
      </c>
      <c r="I709" s="6">
        <v>0</v>
      </c>
      <c r="J709" s="6">
        <v>0</v>
      </c>
      <c r="K709" s="6">
        <v>0</v>
      </c>
    </row>
    <row r="710" spans="1:11" ht="12" customHeight="1">
      <c r="A710" s="6">
        <v>19053</v>
      </c>
      <c r="B710" s="6" t="s">
        <v>1258</v>
      </c>
      <c r="C710" s="6" t="s">
        <v>492</v>
      </c>
      <c r="E710" s="6" t="s">
        <v>193</v>
      </c>
      <c r="F710" s="6">
        <v>89</v>
      </c>
      <c r="G710" s="6">
        <v>1967</v>
      </c>
      <c r="H710" s="6">
        <v>504</v>
      </c>
      <c r="I710" s="6">
        <v>4.1559999999999997</v>
      </c>
      <c r="J710" s="6">
        <v>128.92500000000001</v>
      </c>
      <c r="K710" s="6">
        <v>0</v>
      </c>
    </row>
    <row r="711" spans="1:11" ht="12" customHeight="1">
      <c r="A711" s="6">
        <v>27051</v>
      </c>
      <c r="B711" s="6" t="s">
        <v>1259</v>
      </c>
      <c r="C711" s="6" t="s">
        <v>537</v>
      </c>
      <c r="D711" s="6" t="s">
        <v>316</v>
      </c>
      <c r="E711" s="6" t="s">
        <v>229</v>
      </c>
      <c r="F711" s="6">
        <v>1</v>
      </c>
      <c r="G711" s="6">
        <v>1953</v>
      </c>
      <c r="H711" s="6">
        <v>380</v>
      </c>
      <c r="I711" s="6">
        <v>7.0640000000000001</v>
      </c>
      <c r="J711" s="6">
        <v>313.19499999999999</v>
      </c>
      <c r="K711" s="6">
        <v>49</v>
      </c>
    </row>
    <row r="712" spans="1:11" ht="12" customHeight="1">
      <c r="A712" s="6">
        <v>15055</v>
      </c>
      <c r="B712" s="6" t="s">
        <v>1260</v>
      </c>
      <c r="C712" s="6" t="s">
        <v>576</v>
      </c>
      <c r="D712" s="6" t="s">
        <v>434</v>
      </c>
      <c r="E712" s="6" t="s">
        <v>229</v>
      </c>
      <c r="F712" s="6">
        <v>1</v>
      </c>
      <c r="G712" s="6">
        <v>2005</v>
      </c>
      <c r="H712" s="6">
        <v>52</v>
      </c>
      <c r="I712" s="6">
        <v>31.062999999999999</v>
      </c>
      <c r="J712" s="6">
        <v>2433.538</v>
      </c>
      <c r="K712" s="6">
        <v>1153</v>
      </c>
    </row>
    <row r="713" spans="1:11" ht="12" customHeight="1">
      <c r="A713" s="6">
        <v>27015</v>
      </c>
      <c r="B713" s="6" t="s">
        <v>1260</v>
      </c>
      <c r="C713" s="6" t="s">
        <v>420</v>
      </c>
      <c r="E713" s="6" t="s">
        <v>229</v>
      </c>
      <c r="F713" s="6">
        <v>1</v>
      </c>
      <c r="G713" s="6">
        <v>1997</v>
      </c>
      <c r="H713" s="6">
        <v>35</v>
      </c>
      <c r="I713" s="6">
        <v>40.375</v>
      </c>
      <c r="J713" s="6">
        <v>2798.32</v>
      </c>
      <c r="K713" s="6">
        <v>1010</v>
      </c>
    </row>
    <row r="714" spans="1:11" ht="12" customHeight="1">
      <c r="A714" s="6">
        <v>22182</v>
      </c>
      <c r="B714" s="6" t="s">
        <v>1261</v>
      </c>
      <c r="C714" s="6" t="s">
        <v>957</v>
      </c>
      <c r="D714" s="6" t="s">
        <v>316</v>
      </c>
      <c r="E714" s="6" t="s">
        <v>505</v>
      </c>
      <c r="F714" s="6">
        <v>100</v>
      </c>
      <c r="G714" s="6">
        <v>1973</v>
      </c>
      <c r="H714" s="6">
        <v>314</v>
      </c>
      <c r="I714" s="6">
        <v>10.253</v>
      </c>
      <c r="J714" s="6">
        <v>478.61900000000003</v>
      </c>
      <c r="K714" s="6">
        <v>23</v>
      </c>
    </row>
    <row r="715" spans="1:11" ht="12" customHeight="1">
      <c r="A715" s="6">
        <v>16053</v>
      </c>
      <c r="B715" s="6" t="s">
        <v>1262</v>
      </c>
      <c r="C715" s="6" t="s">
        <v>422</v>
      </c>
      <c r="E715" s="6" t="s">
        <v>685</v>
      </c>
      <c r="F715" s="6">
        <v>82</v>
      </c>
      <c r="G715" s="6">
        <v>1967</v>
      </c>
      <c r="H715" s="6">
        <v>217</v>
      </c>
      <c r="I715" s="6">
        <v>24.251000000000001</v>
      </c>
      <c r="J715" s="6">
        <v>948.86199999999997</v>
      </c>
      <c r="K715" s="6">
        <v>114</v>
      </c>
    </row>
    <row r="716" spans="1:11" ht="12" customHeight="1">
      <c r="A716" s="6">
        <v>23246</v>
      </c>
      <c r="B716" s="6" t="s">
        <v>1263</v>
      </c>
      <c r="C716" s="6" t="s">
        <v>422</v>
      </c>
      <c r="E716" s="6" t="s">
        <v>425</v>
      </c>
      <c r="F716" s="6">
        <v>79</v>
      </c>
      <c r="G716" s="6">
        <v>1985</v>
      </c>
      <c r="H716" s="6">
        <v>855</v>
      </c>
      <c r="I716" s="6">
        <v>0</v>
      </c>
      <c r="J716" s="6">
        <v>0</v>
      </c>
      <c r="K716" s="6">
        <v>0</v>
      </c>
    </row>
    <row r="717" spans="1:11" ht="12" customHeight="1">
      <c r="A717" s="6">
        <v>14055</v>
      </c>
      <c r="B717" s="6" t="s">
        <v>1264</v>
      </c>
      <c r="C717" s="6" t="s">
        <v>422</v>
      </c>
      <c r="E717" s="6" t="s">
        <v>676</v>
      </c>
      <c r="F717" s="6">
        <v>68</v>
      </c>
      <c r="G717" s="6">
        <v>1956</v>
      </c>
      <c r="H717" s="6">
        <v>135</v>
      </c>
      <c r="I717" s="6">
        <v>17.564</v>
      </c>
      <c r="J717" s="6">
        <v>1503.8589999999999</v>
      </c>
      <c r="K717" s="6">
        <v>628</v>
      </c>
    </row>
    <row r="718" spans="1:11" ht="12" customHeight="1">
      <c r="A718" s="6">
        <v>16117</v>
      </c>
      <c r="B718" s="6" t="s">
        <v>1264</v>
      </c>
      <c r="C718" s="6" t="s">
        <v>624</v>
      </c>
      <c r="E718" s="6" t="s">
        <v>676</v>
      </c>
      <c r="F718" s="6">
        <v>68</v>
      </c>
      <c r="G718" s="6">
        <v>1955</v>
      </c>
      <c r="H718" s="6">
        <v>97</v>
      </c>
      <c r="I718" s="6">
        <v>25.812999999999999</v>
      </c>
      <c r="J718" s="6">
        <v>1877.2850000000001</v>
      </c>
      <c r="K718" s="6">
        <v>756</v>
      </c>
    </row>
    <row r="719" spans="1:11" ht="12" customHeight="1">
      <c r="A719" s="6">
        <v>10092</v>
      </c>
      <c r="B719" s="6" t="s">
        <v>1265</v>
      </c>
      <c r="C719" s="6" t="s">
        <v>1152</v>
      </c>
      <c r="D719" s="6" t="s">
        <v>316</v>
      </c>
      <c r="E719" s="6" t="s">
        <v>169</v>
      </c>
      <c r="F719" s="6">
        <v>69</v>
      </c>
      <c r="G719" s="6">
        <v>1957</v>
      </c>
      <c r="H719" s="6">
        <v>856</v>
      </c>
      <c r="I719" s="6">
        <v>0</v>
      </c>
      <c r="J719" s="6">
        <v>0</v>
      </c>
      <c r="K719" s="6">
        <v>0</v>
      </c>
    </row>
    <row r="720" spans="1:11" ht="12" customHeight="1">
      <c r="A720" s="6">
        <v>11051</v>
      </c>
      <c r="B720" s="6" t="s">
        <v>1266</v>
      </c>
      <c r="C720" s="6" t="s">
        <v>492</v>
      </c>
      <c r="E720" s="6" t="s">
        <v>341</v>
      </c>
      <c r="F720" s="6">
        <v>22</v>
      </c>
      <c r="G720" s="6">
        <v>1970</v>
      </c>
      <c r="H720" s="6">
        <v>857</v>
      </c>
      <c r="I720" s="6">
        <v>0</v>
      </c>
      <c r="J720" s="6">
        <v>0</v>
      </c>
      <c r="K720" s="6">
        <v>0</v>
      </c>
    </row>
    <row r="721" spans="1:11" ht="12" customHeight="1">
      <c r="A721" s="6">
        <v>96152</v>
      </c>
      <c r="B721" s="6" t="s">
        <v>1267</v>
      </c>
      <c r="C721" s="6" t="s">
        <v>441</v>
      </c>
      <c r="E721" s="6" t="s">
        <v>493</v>
      </c>
      <c r="F721" s="6">
        <v>16</v>
      </c>
      <c r="G721" s="6">
        <v>1987</v>
      </c>
      <c r="H721" s="6">
        <v>268</v>
      </c>
      <c r="I721" s="6">
        <v>11.968999999999999</v>
      </c>
      <c r="J721" s="6">
        <v>637.23099999999999</v>
      </c>
      <c r="K721" s="6">
        <v>189</v>
      </c>
    </row>
    <row r="722" spans="1:11" ht="12" customHeight="1">
      <c r="A722" s="6">
        <v>18098</v>
      </c>
      <c r="B722" s="6" t="s">
        <v>1268</v>
      </c>
      <c r="C722" s="6" t="s">
        <v>532</v>
      </c>
      <c r="E722" s="6" t="s">
        <v>476</v>
      </c>
      <c r="F722" s="6">
        <v>2</v>
      </c>
      <c r="G722" s="6">
        <v>1978</v>
      </c>
      <c r="H722" s="6">
        <v>430</v>
      </c>
      <c r="I722" s="6">
        <v>5.8129999999999997</v>
      </c>
      <c r="J722" s="6">
        <v>213.23599999999999</v>
      </c>
      <c r="K722" s="6">
        <v>0</v>
      </c>
    </row>
    <row r="723" spans="1:11" ht="12" customHeight="1">
      <c r="A723" s="6">
        <v>16132</v>
      </c>
      <c r="B723" s="6" t="s">
        <v>1269</v>
      </c>
      <c r="C723" s="6" t="s">
        <v>1078</v>
      </c>
      <c r="D723" s="6" t="s">
        <v>451</v>
      </c>
      <c r="E723" s="6" t="s">
        <v>476</v>
      </c>
      <c r="F723" s="6">
        <v>2</v>
      </c>
      <c r="G723" s="6">
        <v>2008</v>
      </c>
      <c r="H723" s="6">
        <v>541</v>
      </c>
      <c r="I723" s="6">
        <v>3</v>
      </c>
      <c r="J723" s="6">
        <v>99.302000000000007</v>
      </c>
      <c r="K723" s="6">
        <v>0</v>
      </c>
    </row>
    <row r="724" spans="1:11" ht="12" customHeight="1">
      <c r="A724" s="6">
        <v>16133</v>
      </c>
      <c r="B724" s="6" t="s">
        <v>1269</v>
      </c>
      <c r="C724" s="6" t="s">
        <v>1270</v>
      </c>
      <c r="D724" s="6" t="s">
        <v>451</v>
      </c>
      <c r="E724" s="6" t="s">
        <v>476</v>
      </c>
      <c r="F724" s="6">
        <v>2</v>
      </c>
      <c r="G724" s="6">
        <v>2005</v>
      </c>
      <c r="H724" s="6">
        <v>192</v>
      </c>
      <c r="I724" s="6">
        <v>24.25</v>
      </c>
      <c r="J724" s="6">
        <v>1060.7180000000001</v>
      </c>
      <c r="K724" s="6">
        <v>192</v>
      </c>
    </row>
    <row r="725" spans="1:11" ht="12" customHeight="1">
      <c r="A725" s="6">
        <v>28047</v>
      </c>
      <c r="B725" s="6" t="s">
        <v>1271</v>
      </c>
      <c r="C725" s="6" t="s">
        <v>470</v>
      </c>
      <c r="E725" s="6" t="s">
        <v>120</v>
      </c>
      <c r="F725" s="6">
        <v>54</v>
      </c>
      <c r="G725" s="6">
        <v>1962</v>
      </c>
      <c r="H725" s="6">
        <v>436</v>
      </c>
      <c r="I725" s="6">
        <v>4.3760000000000003</v>
      </c>
      <c r="J725" s="6">
        <v>204.85499999999999</v>
      </c>
      <c r="K725" s="6">
        <v>0</v>
      </c>
    </row>
    <row r="726" spans="1:11" ht="12" customHeight="1">
      <c r="A726" s="6">
        <v>23243</v>
      </c>
      <c r="B726" s="6" t="s">
        <v>1272</v>
      </c>
      <c r="C726" s="6" t="s">
        <v>441</v>
      </c>
      <c r="E726" s="6" t="s">
        <v>393</v>
      </c>
      <c r="F726" s="6">
        <v>52</v>
      </c>
      <c r="G726" s="6">
        <v>1998</v>
      </c>
      <c r="H726" s="6">
        <v>858</v>
      </c>
      <c r="I726" s="6">
        <v>0</v>
      </c>
      <c r="J726" s="6">
        <v>0</v>
      </c>
      <c r="K726" s="6">
        <v>0</v>
      </c>
    </row>
    <row r="727" spans="1:11" ht="12" customHeight="1">
      <c r="A727" s="6">
        <v>11013</v>
      </c>
      <c r="B727" s="6" t="s">
        <v>1273</v>
      </c>
      <c r="C727" s="6" t="s">
        <v>478</v>
      </c>
      <c r="D727" s="6" t="s">
        <v>316</v>
      </c>
      <c r="E727" s="6" t="s">
        <v>174</v>
      </c>
      <c r="F727" s="6">
        <v>56</v>
      </c>
      <c r="G727" s="6">
        <v>1948</v>
      </c>
      <c r="H727" s="6">
        <v>458</v>
      </c>
      <c r="I727" s="6">
        <v>5.2519999999999998</v>
      </c>
      <c r="J727" s="6">
        <v>178.327</v>
      </c>
      <c r="K727" s="6">
        <v>0</v>
      </c>
    </row>
    <row r="728" spans="1:11" ht="12" customHeight="1">
      <c r="A728" s="6">
        <v>12064</v>
      </c>
      <c r="B728" s="6" t="s">
        <v>1274</v>
      </c>
      <c r="C728" s="6" t="s">
        <v>492</v>
      </c>
      <c r="E728" s="6" t="s">
        <v>452</v>
      </c>
      <c r="F728" s="6">
        <v>74</v>
      </c>
      <c r="G728" s="6">
        <v>1981</v>
      </c>
      <c r="H728" s="6">
        <v>355</v>
      </c>
      <c r="I728" s="6">
        <v>3</v>
      </c>
      <c r="J728" s="6">
        <v>364.024</v>
      </c>
      <c r="K728" s="6">
        <v>214</v>
      </c>
    </row>
    <row r="729" spans="1:11" ht="12" customHeight="1">
      <c r="A729" s="6">
        <v>22990</v>
      </c>
      <c r="B729" s="6" t="s">
        <v>1274</v>
      </c>
      <c r="C729" s="6" t="s">
        <v>597</v>
      </c>
      <c r="E729" s="6" t="s">
        <v>439</v>
      </c>
      <c r="F729" s="6">
        <v>29</v>
      </c>
      <c r="G729" s="6">
        <v>1967</v>
      </c>
      <c r="H729" s="6">
        <v>860</v>
      </c>
      <c r="I729" s="6">
        <v>0</v>
      </c>
      <c r="J729" s="6">
        <v>0</v>
      </c>
      <c r="K729" s="6">
        <v>0</v>
      </c>
    </row>
    <row r="730" spans="1:11" ht="12" customHeight="1">
      <c r="A730" s="6">
        <v>22115</v>
      </c>
      <c r="B730" s="6" t="s">
        <v>1274</v>
      </c>
      <c r="C730" s="6" t="s">
        <v>1275</v>
      </c>
      <c r="D730" s="6" t="s">
        <v>434</v>
      </c>
      <c r="E730" s="6" t="s">
        <v>452</v>
      </c>
      <c r="F730" s="6">
        <v>74</v>
      </c>
      <c r="G730" s="6">
        <v>2013</v>
      </c>
      <c r="H730" s="6">
        <v>859</v>
      </c>
      <c r="I730" s="6">
        <v>0</v>
      </c>
      <c r="J730" s="6">
        <v>0</v>
      </c>
      <c r="K730" s="6">
        <v>0</v>
      </c>
    </row>
    <row r="731" spans="1:11" ht="12" customHeight="1">
      <c r="A731" s="6">
        <v>28055</v>
      </c>
      <c r="B731" s="6" t="s">
        <v>1276</v>
      </c>
      <c r="C731" s="6" t="s">
        <v>1240</v>
      </c>
      <c r="D731" s="6" t="s">
        <v>316</v>
      </c>
      <c r="E731" s="6" t="s">
        <v>174</v>
      </c>
      <c r="F731" s="6">
        <v>56</v>
      </c>
      <c r="G731" s="6">
        <v>1970</v>
      </c>
      <c r="H731" s="6">
        <v>89</v>
      </c>
      <c r="I731" s="6">
        <v>24.751000000000001</v>
      </c>
      <c r="J731" s="6">
        <v>1949.3440000000001</v>
      </c>
      <c r="K731" s="6">
        <v>902</v>
      </c>
    </row>
    <row r="732" spans="1:11" ht="12" customHeight="1">
      <c r="A732" s="6">
        <v>10093</v>
      </c>
      <c r="B732" s="6" t="s">
        <v>1277</v>
      </c>
      <c r="C732" s="6" t="s">
        <v>702</v>
      </c>
      <c r="E732" s="6" t="s">
        <v>169</v>
      </c>
      <c r="F732" s="6">
        <v>69</v>
      </c>
      <c r="G732" s="6">
        <v>1947</v>
      </c>
      <c r="H732" s="6">
        <v>500</v>
      </c>
      <c r="I732" s="6">
        <v>1.5</v>
      </c>
      <c r="J732" s="6">
        <v>133.19800000000001</v>
      </c>
      <c r="K732" s="6">
        <v>74</v>
      </c>
    </row>
    <row r="733" spans="1:11" ht="12" customHeight="1">
      <c r="A733" s="6">
        <v>96042</v>
      </c>
      <c r="B733" s="6" t="s">
        <v>1278</v>
      </c>
      <c r="C733" s="6" t="s">
        <v>537</v>
      </c>
      <c r="D733" s="6" t="s">
        <v>316</v>
      </c>
      <c r="E733" s="6" t="s">
        <v>229</v>
      </c>
      <c r="F733" s="6">
        <v>1</v>
      </c>
      <c r="G733" s="6">
        <v>1963</v>
      </c>
      <c r="H733" s="6">
        <v>548</v>
      </c>
      <c r="I733" s="6">
        <v>0.93799999999999994</v>
      </c>
      <c r="J733" s="6">
        <v>90.563000000000002</v>
      </c>
      <c r="K733" s="6">
        <v>39</v>
      </c>
    </row>
    <row r="734" spans="1:11" ht="12" customHeight="1">
      <c r="A734" s="6">
        <v>23219</v>
      </c>
      <c r="B734" s="6" t="s">
        <v>1278</v>
      </c>
      <c r="C734" s="6" t="s">
        <v>612</v>
      </c>
      <c r="D734" s="6" t="s">
        <v>316</v>
      </c>
      <c r="E734" s="6" t="s">
        <v>120</v>
      </c>
      <c r="F734" s="6">
        <v>54</v>
      </c>
      <c r="G734" s="6">
        <v>1978</v>
      </c>
      <c r="H734" s="6">
        <v>581</v>
      </c>
      <c r="I734" s="6">
        <v>1.375</v>
      </c>
      <c r="J734" s="6">
        <v>63.036000000000001</v>
      </c>
      <c r="K734" s="6">
        <v>0</v>
      </c>
    </row>
    <row r="735" spans="1:11" ht="12" customHeight="1">
      <c r="A735" s="6">
        <v>20500</v>
      </c>
      <c r="B735" s="6" t="s">
        <v>1278</v>
      </c>
      <c r="C735" s="6" t="s">
        <v>1279</v>
      </c>
      <c r="D735" s="6" t="s">
        <v>316</v>
      </c>
      <c r="E735" s="6" t="s">
        <v>229</v>
      </c>
      <c r="F735" s="6">
        <v>1</v>
      </c>
      <c r="G735" s="6">
        <v>1971</v>
      </c>
      <c r="H735" s="6">
        <v>580</v>
      </c>
      <c r="I735" s="6">
        <v>1.625</v>
      </c>
      <c r="J735" s="6">
        <v>64.054000000000002</v>
      </c>
      <c r="K735" s="6">
        <v>0</v>
      </c>
    </row>
    <row r="736" spans="1:11" ht="12" customHeight="1">
      <c r="A736" s="6">
        <v>18110</v>
      </c>
      <c r="B736" s="6" t="s">
        <v>1280</v>
      </c>
      <c r="C736" s="6" t="s">
        <v>437</v>
      </c>
      <c r="E736" s="6" t="s">
        <v>189</v>
      </c>
      <c r="F736" s="6">
        <v>31</v>
      </c>
      <c r="G736" s="6">
        <v>1979</v>
      </c>
      <c r="H736" s="6">
        <v>861</v>
      </c>
      <c r="I736" s="6">
        <v>0</v>
      </c>
      <c r="J736" s="6">
        <v>0</v>
      </c>
      <c r="K736" s="6">
        <v>0</v>
      </c>
    </row>
    <row r="737" spans="1:11" ht="12" customHeight="1">
      <c r="A737" s="6">
        <v>21756</v>
      </c>
      <c r="B737" s="6" t="s">
        <v>1281</v>
      </c>
      <c r="C737" s="6" t="s">
        <v>673</v>
      </c>
      <c r="D737" s="6" t="s">
        <v>316</v>
      </c>
      <c r="E737" s="6" t="s">
        <v>189</v>
      </c>
      <c r="F737" s="6">
        <v>31</v>
      </c>
      <c r="G737" s="6">
        <v>1985</v>
      </c>
      <c r="H737" s="6">
        <v>37</v>
      </c>
      <c r="I737" s="6">
        <v>35.375</v>
      </c>
      <c r="J737" s="6">
        <v>2734.0770000000002</v>
      </c>
      <c r="K737" s="6">
        <v>1251</v>
      </c>
    </row>
    <row r="738" spans="1:11" ht="12" customHeight="1">
      <c r="A738" s="6">
        <v>17045</v>
      </c>
      <c r="B738" s="6" t="s">
        <v>1282</v>
      </c>
      <c r="C738" s="6" t="s">
        <v>662</v>
      </c>
      <c r="D738" s="6" t="s">
        <v>451</v>
      </c>
      <c r="E738" s="6" t="s">
        <v>438</v>
      </c>
      <c r="F738" s="6">
        <v>51</v>
      </c>
      <c r="G738" s="6">
        <v>2007</v>
      </c>
      <c r="H738" s="6">
        <v>862</v>
      </c>
      <c r="I738" s="6">
        <v>0</v>
      </c>
      <c r="J738" s="6">
        <v>0</v>
      </c>
      <c r="K738" s="6">
        <v>0</v>
      </c>
    </row>
    <row r="739" spans="1:11" ht="12" customHeight="1">
      <c r="A739" s="6">
        <v>28004</v>
      </c>
      <c r="B739" s="6" t="s">
        <v>1283</v>
      </c>
      <c r="C739" s="6" t="s">
        <v>422</v>
      </c>
      <c r="E739" s="6" t="s">
        <v>174</v>
      </c>
      <c r="F739" s="6">
        <v>56</v>
      </c>
      <c r="G739" s="6">
        <v>1978</v>
      </c>
      <c r="H739" s="6">
        <v>28</v>
      </c>
      <c r="I739" s="6">
        <v>43.625</v>
      </c>
      <c r="J739" s="6">
        <v>2920.8679999999999</v>
      </c>
      <c r="K739" s="6">
        <v>1354</v>
      </c>
    </row>
    <row r="740" spans="1:11" ht="12" customHeight="1">
      <c r="A740" s="6">
        <v>16027</v>
      </c>
      <c r="B740" s="6" t="s">
        <v>1284</v>
      </c>
      <c r="C740" s="6" t="s">
        <v>485</v>
      </c>
      <c r="D740" s="6" t="s">
        <v>316</v>
      </c>
      <c r="E740" s="6" t="s">
        <v>439</v>
      </c>
      <c r="F740" s="6">
        <v>29</v>
      </c>
      <c r="G740" s="6">
        <v>1972</v>
      </c>
      <c r="H740" s="6">
        <v>260</v>
      </c>
      <c r="I740" s="6">
        <v>14.125999999999999</v>
      </c>
      <c r="J740" s="6">
        <v>675.21100000000001</v>
      </c>
      <c r="K740" s="6">
        <v>177</v>
      </c>
    </row>
    <row r="741" spans="1:11" ht="12" customHeight="1">
      <c r="A741" s="6">
        <v>12017</v>
      </c>
      <c r="B741" s="6" t="s">
        <v>1284</v>
      </c>
      <c r="C741" s="6" t="s">
        <v>951</v>
      </c>
      <c r="D741" s="6" t="s">
        <v>316</v>
      </c>
      <c r="E741" s="6" t="s">
        <v>438</v>
      </c>
      <c r="F741" s="6">
        <v>51</v>
      </c>
      <c r="G741" s="6">
        <v>1968</v>
      </c>
      <c r="H741" s="6">
        <v>30</v>
      </c>
      <c r="I741" s="6">
        <v>37.438000000000002</v>
      </c>
      <c r="J741" s="6">
        <v>2906.2840000000001</v>
      </c>
      <c r="K741" s="6">
        <v>1380</v>
      </c>
    </row>
    <row r="742" spans="1:11" ht="12" customHeight="1">
      <c r="A742" s="6">
        <v>23208</v>
      </c>
      <c r="B742" s="6" t="s">
        <v>1285</v>
      </c>
      <c r="C742" s="6" t="s">
        <v>1275</v>
      </c>
      <c r="D742" s="6" t="s">
        <v>434</v>
      </c>
      <c r="E742" s="6" t="s">
        <v>435</v>
      </c>
      <c r="F742" s="6">
        <v>93</v>
      </c>
      <c r="G742" s="6">
        <v>2006</v>
      </c>
      <c r="H742" s="6">
        <v>863</v>
      </c>
      <c r="I742" s="6">
        <v>0</v>
      </c>
      <c r="J742" s="6">
        <v>0</v>
      </c>
      <c r="K742" s="6">
        <v>0</v>
      </c>
    </row>
    <row r="743" spans="1:11" ht="12" customHeight="1">
      <c r="A743" s="6">
        <v>22118</v>
      </c>
      <c r="B743" s="6" t="s">
        <v>1286</v>
      </c>
      <c r="C743" s="6" t="s">
        <v>482</v>
      </c>
      <c r="E743" s="6" t="s">
        <v>802</v>
      </c>
      <c r="F743" s="6">
        <v>83</v>
      </c>
      <c r="G743" s="6">
        <v>1972</v>
      </c>
      <c r="H743" s="6">
        <v>451</v>
      </c>
      <c r="I743" s="6">
        <v>1.726</v>
      </c>
      <c r="J743" s="6">
        <v>195.43899999999999</v>
      </c>
      <c r="K743" s="6">
        <v>111</v>
      </c>
    </row>
    <row r="744" spans="1:11" ht="12" customHeight="1">
      <c r="A744" s="6">
        <v>23235</v>
      </c>
      <c r="B744" s="6" t="s">
        <v>1287</v>
      </c>
      <c r="C744" s="6" t="s">
        <v>513</v>
      </c>
      <c r="D744" s="6" t="s">
        <v>434</v>
      </c>
      <c r="E744" s="6" t="s">
        <v>452</v>
      </c>
      <c r="F744" s="6">
        <v>74</v>
      </c>
      <c r="G744" s="6">
        <v>2011</v>
      </c>
      <c r="H744" s="6">
        <v>864</v>
      </c>
      <c r="I744" s="6">
        <v>0</v>
      </c>
      <c r="J744" s="6">
        <v>0</v>
      </c>
      <c r="K744" s="6">
        <v>0</v>
      </c>
    </row>
    <row r="745" spans="1:11" ht="12" customHeight="1">
      <c r="A745" s="6">
        <v>22177</v>
      </c>
      <c r="B745" s="6" t="s">
        <v>1288</v>
      </c>
      <c r="C745" s="6" t="s">
        <v>1289</v>
      </c>
      <c r="D745" s="6" t="s">
        <v>316</v>
      </c>
      <c r="E745" s="6" t="s">
        <v>239</v>
      </c>
      <c r="F745" s="6">
        <v>14</v>
      </c>
      <c r="G745" s="6">
        <v>1979</v>
      </c>
      <c r="H745" s="6">
        <v>611</v>
      </c>
      <c r="I745" s="6">
        <v>1.375</v>
      </c>
      <c r="J745" s="6">
        <v>41.509</v>
      </c>
      <c r="K745" s="6">
        <v>0</v>
      </c>
    </row>
    <row r="746" spans="1:11" ht="12" customHeight="1">
      <c r="A746" s="6">
        <v>21022</v>
      </c>
      <c r="B746" s="6" t="s">
        <v>1290</v>
      </c>
      <c r="C746" s="6" t="s">
        <v>824</v>
      </c>
      <c r="D746" s="6" t="s">
        <v>316</v>
      </c>
      <c r="E746" s="6" t="s">
        <v>253</v>
      </c>
      <c r="F746" s="6">
        <v>86</v>
      </c>
      <c r="G746" s="6">
        <v>1988</v>
      </c>
      <c r="H746" s="6">
        <v>464</v>
      </c>
      <c r="I746" s="6">
        <v>1.968</v>
      </c>
      <c r="J746" s="6">
        <v>171.72900000000001</v>
      </c>
      <c r="K746" s="6">
        <v>80</v>
      </c>
    </row>
    <row r="747" spans="1:11" ht="12" customHeight="1">
      <c r="A747" s="6">
        <v>16114</v>
      </c>
      <c r="B747" s="6" t="s">
        <v>1291</v>
      </c>
      <c r="C747" s="6" t="s">
        <v>440</v>
      </c>
      <c r="E747" s="6" t="s">
        <v>151</v>
      </c>
      <c r="F747" s="6">
        <v>21</v>
      </c>
      <c r="G747" s="6">
        <v>1954</v>
      </c>
      <c r="H747" s="6">
        <v>865</v>
      </c>
      <c r="I747" s="6">
        <v>0</v>
      </c>
      <c r="J747" s="6">
        <v>0</v>
      </c>
      <c r="K747" s="6">
        <v>0</v>
      </c>
    </row>
    <row r="748" spans="1:11" ht="12" customHeight="1">
      <c r="A748" s="6">
        <v>28010</v>
      </c>
      <c r="B748" s="6" t="s">
        <v>1292</v>
      </c>
      <c r="C748" s="6" t="s">
        <v>422</v>
      </c>
      <c r="E748" s="6" t="s">
        <v>229</v>
      </c>
      <c r="F748" s="6">
        <v>1</v>
      </c>
      <c r="G748" s="6">
        <v>1969</v>
      </c>
      <c r="H748" s="6">
        <v>478</v>
      </c>
      <c r="I748" s="6">
        <v>4.5</v>
      </c>
      <c r="J748" s="6">
        <v>164.88499999999999</v>
      </c>
      <c r="K748" s="6">
        <v>0</v>
      </c>
    </row>
    <row r="749" spans="1:11" ht="12" customHeight="1">
      <c r="A749" s="6">
        <v>23245</v>
      </c>
      <c r="B749" s="6" t="s">
        <v>1293</v>
      </c>
      <c r="C749" s="6" t="s">
        <v>422</v>
      </c>
      <c r="E749" s="6" t="s">
        <v>456</v>
      </c>
      <c r="F749" s="6">
        <v>70</v>
      </c>
      <c r="G749" s="6">
        <v>1957</v>
      </c>
      <c r="H749" s="6">
        <v>866</v>
      </c>
      <c r="I749" s="6">
        <v>0</v>
      </c>
      <c r="J749" s="6">
        <v>0</v>
      </c>
      <c r="K749" s="6">
        <v>0</v>
      </c>
    </row>
    <row r="750" spans="1:11" ht="12" customHeight="1">
      <c r="A750" s="6">
        <v>21075</v>
      </c>
      <c r="B750" s="6" t="s">
        <v>1294</v>
      </c>
      <c r="C750" s="6" t="s">
        <v>1295</v>
      </c>
      <c r="E750" s="6" t="s">
        <v>253</v>
      </c>
      <c r="F750" s="6">
        <v>86</v>
      </c>
      <c r="G750" s="6">
        <v>2004</v>
      </c>
      <c r="H750" s="6">
        <v>172</v>
      </c>
      <c r="I750" s="6">
        <v>18.68</v>
      </c>
      <c r="J750" s="6">
        <v>1239.1990000000001</v>
      </c>
      <c r="K750" s="6">
        <v>417</v>
      </c>
    </row>
    <row r="751" spans="1:11" ht="12" customHeight="1">
      <c r="A751" s="6">
        <v>20518</v>
      </c>
      <c r="B751" s="6" t="s">
        <v>1296</v>
      </c>
      <c r="C751" s="6" t="s">
        <v>648</v>
      </c>
      <c r="E751" s="6" t="s">
        <v>456</v>
      </c>
      <c r="F751" s="6">
        <v>70</v>
      </c>
      <c r="G751" s="6">
        <v>1937</v>
      </c>
      <c r="H751" s="6">
        <v>867</v>
      </c>
      <c r="I751" s="6">
        <v>0</v>
      </c>
      <c r="J751" s="6">
        <v>0</v>
      </c>
      <c r="K751" s="6">
        <v>0</v>
      </c>
    </row>
    <row r="752" spans="1:11" ht="12" customHeight="1">
      <c r="A752" s="6">
        <v>28002</v>
      </c>
      <c r="B752" s="6" t="s">
        <v>1297</v>
      </c>
      <c r="C752" s="6" t="s">
        <v>482</v>
      </c>
      <c r="E752" s="6" t="s">
        <v>138</v>
      </c>
      <c r="F752" s="6">
        <v>20</v>
      </c>
      <c r="G752" s="6">
        <v>1996</v>
      </c>
      <c r="H752" s="6">
        <v>868</v>
      </c>
      <c r="I752" s="6">
        <v>0</v>
      </c>
      <c r="J752" s="6">
        <v>0</v>
      </c>
      <c r="K752" s="6">
        <v>0</v>
      </c>
    </row>
    <row r="753" spans="1:11" ht="12" customHeight="1">
      <c r="A753" s="6">
        <v>99551</v>
      </c>
      <c r="B753" s="6" t="s">
        <v>1298</v>
      </c>
      <c r="C753" s="6" t="s">
        <v>482</v>
      </c>
      <c r="E753" s="6" t="s">
        <v>138</v>
      </c>
      <c r="F753" s="6">
        <v>20</v>
      </c>
      <c r="G753" s="6">
        <v>1954</v>
      </c>
      <c r="H753" s="6">
        <v>869</v>
      </c>
      <c r="I753" s="6">
        <v>0</v>
      </c>
      <c r="J753" s="6">
        <v>0</v>
      </c>
      <c r="K753" s="6">
        <v>0</v>
      </c>
    </row>
    <row r="754" spans="1:11" ht="12" customHeight="1">
      <c r="A754" s="6">
        <v>19054</v>
      </c>
      <c r="B754" s="6" t="s">
        <v>1299</v>
      </c>
      <c r="C754" s="6" t="s">
        <v>849</v>
      </c>
      <c r="D754" s="6" t="s">
        <v>316</v>
      </c>
      <c r="E754" s="6" t="s">
        <v>138</v>
      </c>
      <c r="F754" s="6">
        <v>20</v>
      </c>
      <c r="G754" s="6">
        <v>1991</v>
      </c>
      <c r="H754" s="6">
        <v>620</v>
      </c>
      <c r="I754" s="6">
        <v>0.81299999999999994</v>
      </c>
      <c r="J754" s="6">
        <v>38.491999999999997</v>
      </c>
      <c r="K754" s="6">
        <v>0</v>
      </c>
    </row>
    <row r="755" spans="1:11" ht="12" customHeight="1">
      <c r="A755" s="6">
        <v>29054</v>
      </c>
      <c r="B755" s="6" t="s">
        <v>1300</v>
      </c>
      <c r="C755" s="6" t="s">
        <v>532</v>
      </c>
      <c r="E755" s="6" t="s">
        <v>134</v>
      </c>
      <c r="F755" s="6">
        <v>64</v>
      </c>
      <c r="G755" s="6">
        <v>1971</v>
      </c>
      <c r="H755" s="6">
        <v>642</v>
      </c>
      <c r="I755" s="6">
        <v>0.375</v>
      </c>
      <c r="J755" s="6">
        <v>17.173999999999999</v>
      </c>
      <c r="K755" s="6">
        <v>0</v>
      </c>
    </row>
    <row r="756" spans="1:11" ht="12" customHeight="1">
      <c r="A756" s="6">
        <v>15001</v>
      </c>
      <c r="B756" s="6" t="s">
        <v>1301</v>
      </c>
      <c r="C756" s="6" t="s">
        <v>482</v>
      </c>
      <c r="E756" s="6" t="s">
        <v>163</v>
      </c>
      <c r="F756" s="6">
        <v>30</v>
      </c>
      <c r="G756" s="6">
        <v>1961</v>
      </c>
      <c r="H756" s="6">
        <v>47</v>
      </c>
      <c r="I756" s="6">
        <v>37.375</v>
      </c>
      <c r="J756" s="6">
        <v>2518.5880000000002</v>
      </c>
      <c r="K756" s="6">
        <v>1154</v>
      </c>
    </row>
    <row r="757" spans="1:11" ht="12" customHeight="1">
      <c r="A757" s="6">
        <v>98304</v>
      </c>
      <c r="B757" s="6" t="s">
        <v>1302</v>
      </c>
      <c r="C757" s="6" t="s">
        <v>1303</v>
      </c>
      <c r="D757" s="6" t="s">
        <v>316</v>
      </c>
      <c r="E757" s="6" t="s">
        <v>476</v>
      </c>
      <c r="F757" s="6">
        <v>2</v>
      </c>
      <c r="G757" s="6">
        <v>1960</v>
      </c>
      <c r="H757" s="6">
        <v>258</v>
      </c>
      <c r="I757" s="6">
        <v>9.282</v>
      </c>
      <c r="J757" s="6">
        <v>680.34199999999998</v>
      </c>
      <c r="K757" s="6">
        <v>292</v>
      </c>
    </row>
    <row r="758" spans="1:11" ht="12" customHeight="1">
      <c r="A758" s="6">
        <v>20589</v>
      </c>
      <c r="B758" s="6" t="s">
        <v>1304</v>
      </c>
      <c r="C758" s="6" t="s">
        <v>467</v>
      </c>
      <c r="D758" s="6" t="s">
        <v>434</v>
      </c>
      <c r="E758" s="6" t="s">
        <v>460</v>
      </c>
      <c r="F758" s="6">
        <v>95</v>
      </c>
      <c r="G758" s="6">
        <v>2009</v>
      </c>
      <c r="H758" s="6">
        <v>609</v>
      </c>
      <c r="I758" s="6">
        <v>1.0940000000000001</v>
      </c>
      <c r="J758" s="6">
        <v>42.593000000000004</v>
      </c>
      <c r="K758" s="6">
        <v>0</v>
      </c>
    </row>
    <row r="759" spans="1:11" ht="12" customHeight="1">
      <c r="A759" s="6">
        <v>14005</v>
      </c>
      <c r="B759" s="6" t="s">
        <v>1305</v>
      </c>
      <c r="C759" s="6" t="s">
        <v>424</v>
      </c>
      <c r="E759" s="6" t="s">
        <v>676</v>
      </c>
      <c r="F759" s="6">
        <v>68</v>
      </c>
      <c r="G759" s="6">
        <v>1988</v>
      </c>
      <c r="H759" s="6">
        <v>488</v>
      </c>
      <c r="I759" s="6">
        <v>2.3759999999999999</v>
      </c>
      <c r="J759" s="6">
        <v>153.63</v>
      </c>
      <c r="K759" s="6">
        <v>53</v>
      </c>
    </row>
    <row r="760" spans="1:11" ht="12" customHeight="1">
      <c r="A760" s="6">
        <v>13063</v>
      </c>
      <c r="B760" s="6" t="s">
        <v>1306</v>
      </c>
      <c r="C760" s="6" t="s">
        <v>478</v>
      </c>
      <c r="D760" s="6" t="s">
        <v>316</v>
      </c>
      <c r="E760" s="6" t="s">
        <v>229</v>
      </c>
      <c r="F760" s="6">
        <v>1</v>
      </c>
      <c r="G760" s="6">
        <v>1953</v>
      </c>
      <c r="H760" s="6">
        <v>491</v>
      </c>
      <c r="I760" s="6">
        <v>4.5</v>
      </c>
      <c r="J760" s="6">
        <v>146.62700000000001</v>
      </c>
      <c r="K760" s="6">
        <v>0</v>
      </c>
    </row>
    <row r="761" spans="1:11" ht="12" customHeight="1">
      <c r="A761" s="6">
        <v>26034</v>
      </c>
      <c r="B761" s="6" t="s">
        <v>1307</v>
      </c>
      <c r="C761" s="6" t="s">
        <v>852</v>
      </c>
      <c r="E761" s="6" t="s">
        <v>144</v>
      </c>
      <c r="F761" s="6">
        <v>63</v>
      </c>
      <c r="G761" s="6">
        <v>1954</v>
      </c>
      <c r="H761" s="6">
        <v>366</v>
      </c>
      <c r="I761" s="6">
        <v>10.188000000000001</v>
      </c>
      <c r="J761" s="6">
        <v>339.154</v>
      </c>
      <c r="K761" s="6">
        <v>0</v>
      </c>
    </row>
    <row r="762" spans="1:11" ht="12" customHeight="1">
      <c r="A762" s="6">
        <v>21754</v>
      </c>
      <c r="B762" s="6" t="s">
        <v>1308</v>
      </c>
      <c r="C762" s="6" t="s">
        <v>492</v>
      </c>
      <c r="E762" s="6" t="s">
        <v>520</v>
      </c>
      <c r="F762" s="6">
        <v>55</v>
      </c>
      <c r="G762" s="6">
        <v>1976</v>
      </c>
      <c r="H762" s="6">
        <v>119</v>
      </c>
      <c r="I762" s="6">
        <v>29.47</v>
      </c>
      <c r="J762" s="6">
        <v>1644.1179999999999</v>
      </c>
      <c r="K762" s="6">
        <v>538</v>
      </c>
    </row>
    <row r="763" spans="1:11" ht="12" customHeight="1">
      <c r="A763" s="6">
        <v>21755</v>
      </c>
      <c r="B763" s="6" t="s">
        <v>1308</v>
      </c>
      <c r="C763" s="6" t="s">
        <v>418</v>
      </c>
      <c r="E763" s="6" t="s">
        <v>189</v>
      </c>
      <c r="F763" s="6">
        <v>31</v>
      </c>
      <c r="G763" s="6">
        <v>1981</v>
      </c>
      <c r="H763" s="6">
        <v>7</v>
      </c>
      <c r="I763" s="6">
        <v>48.875</v>
      </c>
      <c r="J763" s="6">
        <v>3792.5709999999999</v>
      </c>
      <c r="K763" s="6">
        <v>1711</v>
      </c>
    </row>
    <row r="764" spans="1:11" ht="12" customHeight="1">
      <c r="A764" s="6">
        <v>21837</v>
      </c>
      <c r="B764" s="6" t="s">
        <v>1309</v>
      </c>
      <c r="C764" s="6" t="s">
        <v>429</v>
      </c>
      <c r="D764" s="6" t="s">
        <v>316</v>
      </c>
      <c r="E764" s="6" t="s">
        <v>189</v>
      </c>
      <c r="F764" s="6">
        <v>31</v>
      </c>
      <c r="G764" s="6">
        <v>1982</v>
      </c>
      <c r="H764" s="6">
        <v>330</v>
      </c>
      <c r="I764" s="6">
        <v>4.75</v>
      </c>
      <c r="J764" s="6">
        <v>433.85899999999998</v>
      </c>
      <c r="K764" s="6">
        <v>214</v>
      </c>
    </row>
    <row r="765" spans="1:11" ht="12" customHeight="1">
      <c r="A765" s="6">
        <v>22142</v>
      </c>
      <c r="B765" s="6" t="s">
        <v>1310</v>
      </c>
      <c r="C765" s="6" t="s">
        <v>443</v>
      </c>
      <c r="D765" s="6" t="s">
        <v>316</v>
      </c>
      <c r="E765" s="6" t="s">
        <v>704</v>
      </c>
      <c r="F765" s="6">
        <v>45</v>
      </c>
      <c r="G765" s="6">
        <v>1952</v>
      </c>
      <c r="H765" s="6">
        <v>369</v>
      </c>
      <c r="I765" s="6">
        <v>9.8140000000000001</v>
      </c>
      <c r="J765" s="6">
        <v>334.15100000000001</v>
      </c>
      <c r="K765" s="6">
        <v>15</v>
      </c>
    </row>
    <row r="766" spans="1:11" ht="12" customHeight="1">
      <c r="A766" s="6">
        <v>19034</v>
      </c>
      <c r="B766" s="6" t="s">
        <v>1311</v>
      </c>
      <c r="C766" s="6" t="s">
        <v>1312</v>
      </c>
      <c r="D766" s="6" t="s">
        <v>434</v>
      </c>
      <c r="E766" s="6" t="s">
        <v>199</v>
      </c>
      <c r="F766" s="6">
        <v>88</v>
      </c>
      <c r="G766" s="6">
        <v>2009</v>
      </c>
      <c r="H766" s="6">
        <v>238</v>
      </c>
      <c r="I766" s="6">
        <v>14.557</v>
      </c>
      <c r="J766" s="6">
        <v>779.07100000000003</v>
      </c>
      <c r="K766" s="6">
        <v>247</v>
      </c>
    </row>
    <row r="767" spans="1:11" ht="12" customHeight="1">
      <c r="A767" s="6">
        <v>18065</v>
      </c>
      <c r="B767" s="6" t="s">
        <v>1311</v>
      </c>
      <c r="C767" s="6" t="s">
        <v>539</v>
      </c>
      <c r="E767" s="6" t="s">
        <v>199</v>
      </c>
      <c r="F767" s="6">
        <v>88</v>
      </c>
      <c r="G767" s="6">
        <v>1971</v>
      </c>
      <c r="H767" s="6">
        <v>241</v>
      </c>
      <c r="I767" s="6">
        <v>14.815</v>
      </c>
      <c r="J767" s="6">
        <v>762.57</v>
      </c>
      <c r="K767" s="6">
        <v>170</v>
      </c>
    </row>
    <row r="768" spans="1:11" ht="12" customHeight="1">
      <c r="A768" s="6">
        <v>18124</v>
      </c>
      <c r="B768" s="6" t="s">
        <v>1313</v>
      </c>
      <c r="C768" s="6" t="s">
        <v>1314</v>
      </c>
      <c r="D768" s="6" t="s">
        <v>451</v>
      </c>
      <c r="E768" s="6" t="s">
        <v>199</v>
      </c>
      <c r="F768" s="6">
        <v>88</v>
      </c>
      <c r="G768" s="6">
        <v>2007</v>
      </c>
      <c r="H768" s="6">
        <v>81</v>
      </c>
      <c r="I768" s="6">
        <v>27.312999999999999</v>
      </c>
      <c r="J768" s="6">
        <v>2062.605</v>
      </c>
      <c r="K768" s="6">
        <v>1042</v>
      </c>
    </row>
    <row r="769" spans="1:11" ht="12" customHeight="1">
      <c r="A769" s="6">
        <v>10048</v>
      </c>
      <c r="B769" s="6" t="s">
        <v>1315</v>
      </c>
      <c r="C769" s="6" t="s">
        <v>624</v>
      </c>
      <c r="E769" s="6" t="s">
        <v>144</v>
      </c>
      <c r="F769" s="6">
        <v>63</v>
      </c>
      <c r="G769" s="6">
        <v>1996</v>
      </c>
      <c r="H769" s="6">
        <v>134</v>
      </c>
      <c r="I769" s="6">
        <v>37.688000000000002</v>
      </c>
      <c r="J769" s="6">
        <v>1505.299</v>
      </c>
      <c r="K769" s="6">
        <v>376</v>
      </c>
    </row>
    <row r="770" spans="1:11" ht="12" customHeight="1">
      <c r="A770" s="6">
        <v>16140</v>
      </c>
      <c r="B770" s="6" t="s">
        <v>1316</v>
      </c>
      <c r="C770" s="6" t="s">
        <v>1317</v>
      </c>
      <c r="E770" s="6" t="s">
        <v>229</v>
      </c>
      <c r="F770" s="6">
        <v>1</v>
      </c>
      <c r="G770" s="6">
        <v>1951</v>
      </c>
      <c r="H770" s="6">
        <v>870</v>
      </c>
      <c r="I770" s="6">
        <v>0</v>
      </c>
      <c r="J770" s="6">
        <v>0</v>
      </c>
      <c r="K770" s="6">
        <v>0</v>
      </c>
    </row>
    <row r="771" spans="1:11" ht="12" customHeight="1">
      <c r="A771" s="6">
        <v>24320</v>
      </c>
      <c r="B771" s="6" t="s">
        <v>1318</v>
      </c>
      <c r="C771" s="6" t="s">
        <v>762</v>
      </c>
      <c r="D771" s="6" t="s">
        <v>316</v>
      </c>
      <c r="E771" s="6" t="s">
        <v>232</v>
      </c>
      <c r="F771" s="6">
        <v>19</v>
      </c>
      <c r="G771" s="6">
        <v>1963</v>
      </c>
      <c r="H771" s="6">
        <v>537</v>
      </c>
      <c r="I771" s="6">
        <v>1.7809999999999999</v>
      </c>
      <c r="J771" s="6">
        <v>102.111</v>
      </c>
      <c r="K771" s="6">
        <v>32</v>
      </c>
    </row>
    <row r="772" spans="1:11" ht="12" customHeight="1">
      <c r="A772" s="6">
        <v>22153</v>
      </c>
      <c r="B772" s="6" t="s">
        <v>1319</v>
      </c>
      <c r="C772" s="6" t="s">
        <v>422</v>
      </c>
      <c r="E772" s="6" t="s">
        <v>572</v>
      </c>
      <c r="F772" s="6">
        <v>87</v>
      </c>
      <c r="G772" s="6">
        <v>1962</v>
      </c>
      <c r="H772" s="6">
        <v>208</v>
      </c>
      <c r="I772" s="6">
        <v>15.096</v>
      </c>
      <c r="J772" s="6">
        <v>996.49800000000005</v>
      </c>
      <c r="K772" s="6">
        <v>340</v>
      </c>
    </row>
    <row r="773" spans="1:11" ht="12" customHeight="1">
      <c r="A773" s="6">
        <v>10159</v>
      </c>
      <c r="B773" s="6" t="s">
        <v>1320</v>
      </c>
      <c r="C773" s="6" t="s">
        <v>547</v>
      </c>
      <c r="E773" s="6" t="s">
        <v>653</v>
      </c>
      <c r="F773" s="6">
        <v>77</v>
      </c>
      <c r="G773" s="6">
        <v>1949</v>
      </c>
      <c r="H773" s="6">
        <v>871</v>
      </c>
      <c r="I773" s="6">
        <v>0</v>
      </c>
      <c r="J773" s="6">
        <v>0</v>
      </c>
      <c r="K773" s="6">
        <v>0</v>
      </c>
    </row>
    <row r="774" spans="1:11" ht="12" customHeight="1">
      <c r="A774" s="6">
        <v>10163</v>
      </c>
      <c r="B774" s="6" t="s">
        <v>1321</v>
      </c>
      <c r="C774" s="6" t="s">
        <v>485</v>
      </c>
      <c r="D774" s="6" t="s">
        <v>316</v>
      </c>
      <c r="E774" s="6" t="s">
        <v>653</v>
      </c>
      <c r="F774" s="6">
        <v>77</v>
      </c>
      <c r="G774" s="6">
        <v>1952</v>
      </c>
      <c r="H774" s="6">
        <v>106</v>
      </c>
      <c r="I774" s="6">
        <v>19.283000000000001</v>
      </c>
      <c r="J774" s="6">
        <v>1773.9749999999999</v>
      </c>
      <c r="K774" s="6">
        <v>847</v>
      </c>
    </row>
    <row r="775" spans="1:11" ht="12" customHeight="1">
      <c r="A775" s="6">
        <v>29062</v>
      </c>
      <c r="B775" s="6" t="s">
        <v>1322</v>
      </c>
      <c r="C775" s="6" t="s">
        <v>422</v>
      </c>
      <c r="E775" s="6" t="s">
        <v>138</v>
      </c>
      <c r="F775" s="6">
        <v>20</v>
      </c>
      <c r="G775" s="6">
        <v>1999</v>
      </c>
      <c r="H775" s="6">
        <v>4</v>
      </c>
      <c r="I775" s="6">
        <v>56.5</v>
      </c>
      <c r="J775" s="6">
        <v>4110.01</v>
      </c>
      <c r="K775" s="6">
        <v>1787</v>
      </c>
    </row>
    <row r="776" spans="1:11" ht="12" customHeight="1">
      <c r="A776" s="6">
        <v>29061</v>
      </c>
      <c r="B776" s="6" t="s">
        <v>1323</v>
      </c>
      <c r="C776" s="6" t="s">
        <v>422</v>
      </c>
      <c r="E776" s="6" t="s">
        <v>138</v>
      </c>
      <c r="F776" s="6">
        <v>20</v>
      </c>
      <c r="G776" s="6">
        <v>1970</v>
      </c>
      <c r="H776" s="6">
        <v>75</v>
      </c>
      <c r="I776" s="6">
        <v>27.875</v>
      </c>
      <c r="J776" s="6">
        <v>2100.2469999999998</v>
      </c>
      <c r="K776" s="6">
        <v>850</v>
      </c>
    </row>
    <row r="777" spans="1:11" ht="12" customHeight="1">
      <c r="A777" s="6">
        <v>18132</v>
      </c>
      <c r="B777" s="6" t="s">
        <v>1324</v>
      </c>
      <c r="C777" s="6" t="s">
        <v>445</v>
      </c>
      <c r="E777" s="6" t="s">
        <v>199</v>
      </c>
      <c r="F777" s="6">
        <v>88</v>
      </c>
      <c r="G777" s="6">
        <v>1976</v>
      </c>
      <c r="H777" s="6">
        <v>133</v>
      </c>
      <c r="I777" s="6">
        <v>26.187999999999999</v>
      </c>
      <c r="J777" s="6">
        <v>1508.451</v>
      </c>
      <c r="K777" s="6">
        <v>529</v>
      </c>
    </row>
    <row r="778" spans="1:11" ht="12" customHeight="1">
      <c r="A778" s="6">
        <v>15070</v>
      </c>
      <c r="B778" s="6" t="s">
        <v>1325</v>
      </c>
      <c r="C778" s="6" t="s">
        <v>1326</v>
      </c>
      <c r="D778" s="6" t="s">
        <v>316</v>
      </c>
      <c r="E778" s="6" t="s">
        <v>452</v>
      </c>
      <c r="F778" s="6">
        <v>74</v>
      </c>
      <c r="G778" s="6">
        <v>1973</v>
      </c>
      <c r="H778" s="6">
        <v>61</v>
      </c>
      <c r="I778" s="6">
        <v>26.125</v>
      </c>
      <c r="J778" s="6">
        <v>2288.7570000000001</v>
      </c>
      <c r="K778" s="6">
        <v>1187</v>
      </c>
    </row>
    <row r="779" spans="1:11" ht="12" customHeight="1">
      <c r="A779" s="6">
        <v>15057</v>
      </c>
      <c r="B779" s="6" t="s">
        <v>1327</v>
      </c>
      <c r="C779" s="6" t="s">
        <v>638</v>
      </c>
      <c r="D779" s="6" t="s">
        <v>434</v>
      </c>
      <c r="E779" s="6" t="s">
        <v>229</v>
      </c>
      <c r="F779" s="6">
        <v>1</v>
      </c>
      <c r="G779" s="6">
        <v>2005</v>
      </c>
      <c r="H779" s="6">
        <v>33</v>
      </c>
      <c r="I779" s="6">
        <v>38.75</v>
      </c>
      <c r="J779" s="6">
        <v>2817.0529999999999</v>
      </c>
      <c r="K779" s="6">
        <v>1219</v>
      </c>
    </row>
    <row r="780" spans="1:11" ht="12" customHeight="1">
      <c r="A780" s="6">
        <v>18102</v>
      </c>
      <c r="B780" s="6" t="s">
        <v>1327</v>
      </c>
      <c r="C780" s="6" t="s">
        <v>492</v>
      </c>
      <c r="E780" s="6" t="s">
        <v>229</v>
      </c>
      <c r="F780" s="6">
        <v>1</v>
      </c>
      <c r="G780" s="6">
        <v>1947</v>
      </c>
      <c r="H780" s="6">
        <v>594</v>
      </c>
      <c r="I780" s="6">
        <v>1.4379999999999999</v>
      </c>
      <c r="J780" s="6">
        <v>52.670999999999999</v>
      </c>
      <c r="K780" s="6">
        <v>0</v>
      </c>
    </row>
    <row r="781" spans="1:11" ht="12" customHeight="1">
      <c r="A781" s="6">
        <v>17095</v>
      </c>
      <c r="B781" s="6" t="s">
        <v>1328</v>
      </c>
      <c r="C781" s="6" t="s">
        <v>485</v>
      </c>
      <c r="D781" s="6" t="s">
        <v>316</v>
      </c>
      <c r="E781" s="6" t="s">
        <v>229</v>
      </c>
      <c r="F781" s="6">
        <v>1</v>
      </c>
      <c r="G781" s="6">
        <v>1972</v>
      </c>
      <c r="H781" s="6">
        <v>495</v>
      </c>
      <c r="I781" s="6">
        <v>2.3759999999999999</v>
      </c>
      <c r="J781" s="6">
        <v>143.23400000000001</v>
      </c>
      <c r="K781" s="6">
        <v>39</v>
      </c>
    </row>
    <row r="782" spans="1:11" ht="12" customHeight="1">
      <c r="A782" s="6">
        <v>96102</v>
      </c>
      <c r="B782" s="6" t="s">
        <v>1329</v>
      </c>
      <c r="C782" s="6" t="s">
        <v>532</v>
      </c>
      <c r="E782" s="6" t="s">
        <v>151</v>
      </c>
      <c r="F782" s="6">
        <v>21</v>
      </c>
      <c r="G782" s="6">
        <v>1980</v>
      </c>
      <c r="H782" s="6">
        <v>530</v>
      </c>
      <c r="I782" s="6">
        <v>2.75</v>
      </c>
      <c r="J782" s="6">
        <v>108.4</v>
      </c>
      <c r="K782" s="6">
        <v>0</v>
      </c>
    </row>
    <row r="783" spans="1:11" ht="12" customHeight="1">
      <c r="A783" s="6">
        <v>96052</v>
      </c>
      <c r="B783" s="6" t="s">
        <v>1329</v>
      </c>
      <c r="C783" s="6" t="s">
        <v>445</v>
      </c>
      <c r="E783" s="6" t="s">
        <v>151</v>
      </c>
      <c r="F783" s="6">
        <v>21</v>
      </c>
      <c r="G783" s="6">
        <v>1948</v>
      </c>
      <c r="H783" s="6">
        <v>624</v>
      </c>
      <c r="I783" s="6">
        <v>0.875</v>
      </c>
      <c r="J783" s="6">
        <v>34.491</v>
      </c>
      <c r="K783" s="6">
        <v>0</v>
      </c>
    </row>
    <row r="784" spans="1:11" ht="12" customHeight="1">
      <c r="A784" s="6">
        <v>22176</v>
      </c>
      <c r="B784" s="6" t="s">
        <v>1330</v>
      </c>
      <c r="C784" s="6" t="s">
        <v>548</v>
      </c>
      <c r="E784" s="6" t="s">
        <v>253</v>
      </c>
      <c r="F784" s="6">
        <v>86</v>
      </c>
      <c r="G784" s="6">
        <v>1998</v>
      </c>
      <c r="H784" s="6">
        <v>872</v>
      </c>
      <c r="I784" s="6">
        <v>0</v>
      </c>
      <c r="J784" s="6">
        <v>0</v>
      </c>
      <c r="K784" s="6">
        <v>0</v>
      </c>
    </row>
    <row r="785" spans="1:11" ht="12" customHeight="1">
      <c r="A785" s="6">
        <v>10031</v>
      </c>
      <c r="B785" s="6" t="s">
        <v>1331</v>
      </c>
      <c r="C785" s="6" t="s">
        <v>482</v>
      </c>
      <c r="E785" s="6" t="s">
        <v>242</v>
      </c>
      <c r="F785" s="6">
        <v>67</v>
      </c>
      <c r="G785" s="6">
        <v>1959</v>
      </c>
      <c r="H785" s="6">
        <v>465</v>
      </c>
      <c r="I785" s="6">
        <v>3.625</v>
      </c>
      <c r="J785" s="6">
        <v>171.01</v>
      </c>
      <c r="K785" s="6">
        <v>66</v>
      </c>
    </row>
    <row r="786" spans="1:11" ht="12" customHeight="1">
      <c r="A786" s="6">
        <v>10032</v>
      </c>
      <c r="B786" s="6" t="s">
        <v>1331</v>
      </c>
      <c r="C786" s="6" t="s">
        <v>482</v>
      </c>
      <c r="E786" s="6" t="s">
        <v>242</v>
      </c>
      <c r="F786" s="6">
        <v>67</v>
      </c>
      <c r="G786" s="6">
        <v>1953</v>
      </c>
      <c r="H786" s="6">
        <v>419</v>
      </c>
      <c r="I786" s="6">
        <v>4.375</v>
      </c>
      <c r="J786" s="6">
        <v>241.40100000000001</v>
      </c>
      <c r="K786" s="6">
        <v>103</v>
      </c>
    </row>
    <row r="787" spans="1:11" ht="12" customHeight="1">
      <c r="A787" s="6">
        <v>10033</v>
      </c>
      <c r="B787" s="6" t="s">
        <v>1331</v>
      </c>
      <c r="C787" s="6" t="s">
        <v>416</v>
      </c>
      <c r="E787" s="6" t="s">
        <v>242</v>
      </c>
      <c r="F787" s="6">
        <v>67</v>
      </c>
      <c r="G787" s="6">
        <v>1963</v>
      </c>
      <c r="H787" s="6">
        <v>493</v>
      </c>
      <c r="I787" s="6">
        <v>2.3130000000000002</v>
      </c>
      <c r="J787" s="6">
        <v>145.465</v>
      </c>
      <c r="K787" s="6">
        <v>66</v>
      </c>
    </row>
    <row r="788" spans="1:11" ht="12" customHeight="1">
      <c r="A788" s="6">
        <v>17030</v>
      </c>
      <c r="B788" s="6" t="s">
        <v>1332</v>
      </c>
      <c r="C788" s="6" t="s">
        <v>885</v>
      </c>
      <c r="D788" s="6" t="s">
        <v>434</v>
      </c>
      <c r="E788" s="6" t="s">
        <v>229</v>
      </c>
      <c r="F788" s="6">
        <v>1</v>
      </c>
      <c r="G788" s="6">
        <v>2011</v>
      </c>
      <c r="H788" s="6">
        <v>873</v>
      </c>
      <c r="I788" s="6">
        <v>0</v>
      </c>
      <c r="J788" s="6">
        <v>0</v>
      </c>
      <c r="K788" s="6">
        <v>0</v>
      </c>
    </row>
    <row r="789" spans="1:11" ht="12" customHeight="1">
      <c r="A789" s="6">
        <v>21786</v>
      </c>
      <c r="B789" s="6" t="s">
        <v>1333</v>
      </c>
      <c r="C789" s="6" t="s">
        <v>688</v>
      </c>
      <c r="D789" s="6" t="s">
        <v>316</v>
      </c>
      <c r="E789" s="6" t="s">
        <v>229</v>
      </c>
      <c r="F789" s="6">
        <v>1</v>
      </c>
      <c r="G789" s="6">
        <v>1986</v>
      </c>
      <c r="H789" s="6">
        <v>288</v>
      </c>
      <c r="I789" s="6">
        <v>6</v>
      </c>
      <c r="J789" s="6">
        <v>548.548</v>
      </c>
      <c r="K789" s="6">
        <v>250</v>
      </c>
    </row>
    <row r="790" spans="1:11" ht="12" customHeight="1">
      <c r="A790" s="6">
        <v>17037</v>
      </c>
      <c r="B790" s="6" t="s">
        <v>1334</v>
      </c>
      <c r="C790" s="6" t="s">
        <v>443</v>
      </c>
      <c r="D790" s="6" t="s">
        <v>316</v>
      </c>
      <c r="E790" s="6" t="s">
        <v>515</v>
      </c>
      <c r="F790" s="6">
        <v>28</v>
      </c>
      <c r="G790" s="6">
        <v>1967</v>
      </c>
      <c r="H790" s="6">
        <v>874</v>
      </c>
      <c r="I790" s="6">
        <v>0</v>
      </c>
      <c r="J790" s="6">
        <v>0</v>
      </c>
      <c r="K790" s="6">
        <v>0</v>
      </c>
    </row>
    <row r="791" spans="1:11" ht="12" customHeight="1">
      <c r="A791" s="6">
        <v>10128</v>
      </c>
      <c r="B791" s="6" t="s">
        <v>1335</v>
      </c>
      <c r="C791" s="6" t="s">
        <v>1336</v>
      </c>
      <c r="D791" s="6" t="s">
        <v>316</v>
      </c>
      <c r="E791" s="6" t="s">
        <v>456</v>
      </c>
      <c r="F791" s="6">
        <v>70</v>
      </c>
      <c r="G791" s="6">
        <v>1935</v>
      </c>
      <c r="H791" s="6">
        <v>875</v>
      </c>
      <c r="I791" s="6">
        <v>0</v>
      </c>
      <c r="J791" s="6">
        <v>0</v>
      </c>
      <c r="K791" s="6">
        <v>0</v>
      </c>
    </row>
    <row r="792" spans="1:11" ht="12" customHeight="1">
      <c r="A792" s="6">
        <v>19001</v>
      </c>
      <c r="B792" s="6" t="s">
        <v>1337</v>
      </c>
      <c r="C792" s="6" t="s">
        <v>597</v>
      </c>
      <c r="E792" s="6" t="s">
        <v>653</v>
      </c>
      <c r="F792" s="6">
        <v>77</v>
      </c>
      <c r="G792" s="6">
        <v>1966</v>
      </c>
      <c r="H792" s="6">
        <v>70</v>
      </c>
      <c r="I792" s="6">
        <v>29.437999999999999</v>
      </c>
      <c r="J792" s="6">
        <v>2130.0540000000001</v>
      </c>
      <c r="K792" s="6">
        <v>878</v>
      </c>
    </row>
    <row r="793" spans="1:11" ht="12" customHeight="1">
      <c r="A793" s="6">
        <v>21048</v>
      </c>
      <c r="B793" s="6" t="s">
        <v>1338</v>
      </c>
      <c r="C793" s="6" t="s">
        <v>576</v>
      </c>
      <c r="E793" s="6" t="s">
        <v>235</v>
      </c>
      <c r="F793" s="6">
        <v>27</v>
      </c>
      <c r="G793" s="6">
        <v>1992</v>
      </c>
      <c r="H793" s="6">
        <v>587</v>
      </c>
      <c r="I793" s="6">
        <v>2.25</v>
      </c>
      <c r="J793" s="6">
        <v>54.429000000000002</v>
      </c>
      <c r="K793" s="6">
        <v>0</v>
      </c>
    </row>
    <row r="794" spans="1:11" ht="12" customHeight="1">
      <c r="A794" s="6">
        <v>96200</v>
      </c>
      <c r="B794" s="6" t="s">
        <v>1339</v>
      </c>
      <c r="C794" s="6" t="s">
        <v>532</v>
      </c>
      <c r="E794" s="6" t="s">
        <v>502</v>
      </c>
      <c r="F794" s="6">
        <v>24</v>
      </c>
      <c r="G794" s="6">
        <v>1952</v>
      </c>
      <c r="H794" s="6">
        <v>343</v>
      </c>
      <c r="I794" s="6">
        <v>7.532</v>
      </c>
      <c r="J794" s="6">
        <v>393.185</v>
      </c>
      <c r="K794" s="6">
        <v>42</v>
      </c>
    </row>
    <row r="795" spans="1:11" ht="12" customHeight="1">
      <c r="A795" s="6">
        <v>10037</v>
      </c>
      <c r="B795" s="6" t="s">
        <v>1340</v>
      </c>
      <c r="C795" s="6" t="s">
        <v>433</v>
      </c>
      <c r="E795" s="6" t="s">
        <v>676</v>
      </c>
      <c r="F795" s="6">
        <v>68</v>
      </c>
      <c r="G795" s="6">
        <v>1976</v>
      </c>
      <c r="H795" s="6">
        <v>474</v>
      </c>
      <c r="I795" s="6">
        <v>2.8130000000000002</v>
      </c>
      <c r="J795" s="6">
        <v>169.661</v>
      </c>
      <c r="K795" s="6">
        <v>53</v>
      </c>
    </row>
    <row r="796" spans="1:11" ht="12" customHeight="1">
      <c r="A796" s="6">
        <v>21025</v>
      </c>
      <c r="B796" s="6" t="s">
        <v>1341</v>
      </c>
      <c r="C796" s="6" t="s">
        <v>526</v>
      </c>
      <c r="E796" s="6" t="s">
        <v>572</v>
      </c>
      <c r="F796" s="6">
        <v>87</v>
      </c>
      <c r="G796" s="6">
        <v>1957</v>
      </c>
      <c r="H796" s="6">
        <v>157</v>
      </c>
      <c r="I796" s="6">
        <v>22.157</v>
      </c>
      <c r="J796" s="6">
        <v>1341.027</v>
      </c>
      <c r="K796" s="6">
        <v>429</v>
      </c>
    </row>
    <row r="797" spans="1:11" ht="12" customHeight="1">
      <c r="A797" s="6">
        <v>21026</v>
      </c>
      <c r="B797" s="6" t="s">
        <v>1342</v>
      </c>
      <c r="C797" s="6" t="s">
        <v>813</v>
      </c>
      <c r="D797" s="6" t="s">
        <v>316</v>
      </c>
      <c r="E797" s="6" t="s">
        <v>572</v>
      </c>
      <c r="F797" s="6">
        <v>87</v>
      </c>
      <c r="G797" s="6">
        <v>1958</v>
      </c>
      <c r="H797" s="6">
        <v>151</v>
      </c>
      <c r="I797" s="6">
        <v>22.939</v>
      </c>
      <c r="J797" s="6">
        <v>1369.5650000000001</v>
      </c>
      <c r="K797" s="6">
        <v>441</v>
      </c>
    </row>
    <row r="798" spans="1:11" ht="12" customHeight="1">
      <c r="A798" s="6">
        <v>96213</v>
      </c>
      <c r="B798" s="6" t="s">
        <v>1343</v>
      </c>
      <c r="C798" s="6" t="s">
        <v>737</v>
      </c>
      <c r="D798" s="6" t="s">
        <v>316</v>
      </c>
      <c r="E798" s="6" t="s">
        <v>502</v>
      </c>
      <c r="F798" s="6">
        <v>24</v>
      </c>
      <c r="G798" s="6">
        <v>1960</v>
      </c>
      <c r="H798" s="6">
        <v>549</v>
      </c>
      <c r="I798" s="6">
        <v>1.9379999999999999</v>
      </c>
      <c r="J798" s="6">
        <v>89.97</v>
      </c>
      <c r="K798" s="6">
        <v>0</v>
      </c>
    </row>
    <row r="799" spans="1:11" ht="12" customHeight="1">
      <c r="A799" s="6">
        <v>20611</v>
      </c>
      <c r="B799" s="6" t="s">
        <v>1344</v>
      </c>
      <c r="C799" s="6" t="s">
        <v>422</v>
      </c>
      <c r="E799" s="6" t="s">
        <v>460</v>
      </c>
      <c r="F799" s="6">
        <v>95</v>
      </c>
      <c r="G799" s="6">
        <v>1967</v>
      </c>
      <c r="H799" s="6">
        <v>876</v>
      </c>
      <c r="I799" s="6">
        <v>0</v>
      </c>
      <c r="J799" s="6">
        <v>0</v>
      </c>
      <c r="K799" s="6">
        <v>0</v>
      </c>
    </row>
    <row r="800" spans="1:11" ht="12" customHeight="1">
      <c r="A800" s="6">
        <v>21028</v>
      </c>
      <c r="B800" s="6" t="s">
        <v>1345</v>
      </c>
      <c r="C800" s="6" t="s">
        <v>472</v>
      </c>
      <c r="D800" s="6" t="s">
        <v>316</v>
      </c>
      <c r="E800" s="6" t="s">
        <v>572</v>
      </c>
      <c r="F800" s="6">
        <v>87</v>
      </c>
      <c r="G800" s="6">
        <v>1951</v>
      </c>
      <c r="H800" s="6">
        <v>220</v>
      </c>
      <c r="I800" s="6">
        <v>16.937999999999999</v>
      </c>
      <c r="J800" s="6">
        <v>907.75400000000002</v>
      </c>
      <c r="K800" s="6">
        <v>299</v>
      </c>
    </row>
    <row r="801" spans="1:11" ht="12" customHeight="1">
      <c r="A801" s="6">
        <v>28027</v>
      </c>
      <c r="B801" s="6" t="s">
        <v>1346</v>
      </c>
      <c r="C801" s="6" t="s">
        <v>648</v>
      </c>
      <c r="E801" s="6" t="s">
        <v>180</v>
      </c>
      <c r="F801" s="6">
        <v>62</v>
      </c>
      <c r="G801" s="6">
        <v>1968</v>
      </c>
      <c r="H801" s="6">
        <v>284</v>
      </c>
      <c r="I801" s="6">
        <v>10.75</v>
      </c>
      <c r="J801" s="6">
        <v>564.01199999999994</v>
      </c>
      <c r="K801" s="6">
        <v>190</v>
      </c>
    </row>
    <row r="802" spans="1:11" ht="12" customHeight="1">
      <c r="A802" s="6">
        <v>13084</v>
      </c>
      <c r="B802" s="6" t="s">
        <v>1347</v>
      </c>
      <c r="C802" s="6" t="s">
        <v>448</v>
      </c>
      <c r="E802" s="6" t="s">
        <v>134</v>
      </c>
      <c r="F802" s="6">
        <v>64</v>
      </c>
      <c r="G802" s="6">
        <v>1979</v>
      </c>
      <c r="H802" s="6">
        <v>518</v>
      </c>
      <c r="I802" s="6">
        <v>2.75</v>
      </c>
      <c r="J802" s="6">
        <v>114.158</v>
      </c>
      <c r="K802" s="6">
        <v>0</v>
      </c>
    </row>
    <row r="803" spans="1:11" ht="12" customHeight="1">
      <c r="A803" s="6">
        <v>18049</v>
      </c>
      <c r="B803" s="6" t="s">
        <v>1348</v>
      </c>
      <c r="C803" s="6" t="s">
        <v>443</v>
      </c>
      <c r="D803" s="6" t="s">
        <v>316</v>
      </c>
      <c r="E803" s="6" t="s">
        <v>151</v>
      </c>
      <c r="F803" s="6">
        <v>21</v>
      </c>
      <c r="G803" s="6">
        <v>1947</v>
      </c>
      <c r="H803" s="6">
        <v>877</v>
      </c>
      <c r="I803" s="6">
        <v>0</v>
      </c>
      <c r="J803" s="6">
        <v>0</v>
      </c>
      <c r="K803" s="6">
        <v>0</v>
      </c>
    </row>
    <row r="804" spans="1:11" ht="12" customHeight="1">
      <c r="A804" s="6">
        <v>22101</v>
      </c>
      <c r="B804" s="6" t="s">
        <v>1349</v>
      </c>
      <c r="C804" s="6" t="s">
        <v>537</v>
      </c>
      <c r="D804" s="6" t="s">
        <v>316</v>
      </c>
      <c r="E804" s="6" t="s">
        <v>476</v>
      </c>
      <c r="F804" s="6">
        <v>2</v>
      </c>
      <c r="G804" s="6">
        <v>1963</v>
      </c>
      <c r="H804" s="6">
        <v>289</v>
      </c>
      <c r="I804" s="6">
        <v>10.159000000000001</v>
      </c>
      <c r="J804" s="6">
        <v>545.25300000000004</v>
      </c>
      <c r="K804" s="6">
        <v>165</v>
      </c>
    </row>
    <row r="805" spans="1:11" ht="12" customHeight="1">
      <c r="A805" s="6">
        <v>21827</v>
      </c>
      <c r="B805" s="6" t="s">
        <v>1350</v>
      </c>
      <c r="C805" s="6" t="s">
        <v>482</v>
      </c>
      <c r="E805" s="6" t="s">
        <v>361</v>
      </c>
      <c r="F805" s="6">
        <v>36</v>
      </c>
      <c r="G805" s="6">
        <v>1978</v>
      </c>
      <c r="H805" s="6">
        <v>878</v>
      </c>
      <c r="I805" s="6">
        <v>0</v>
      </c>
      <c r="J805" s="6">
        <v>0</v>
      </c>
      <c r="K805" s="6">
        <v>0</v>
      </c>
    </row>
    <row r="806" spans="1:11" ht="12" customHeight="1">
      <c r="A806" s="6">
        <v>15006</v>
      </c>
      <c r="B806" s="6" t="s">
        <v>1351</v>
      </c>
      <c r="C806" s="6" t="s">
        <v>482</v>
      </c>
      <c r="E806" s="6" t="s">
        <v>141</v>
      </c>
      <c r="F806" s="6">
        <v>15</v>
      </c>
      <c r="G806" s="6">
        <v>1996</v>
      </c>
      <c r="H806" s="6">
        <v>879</v>
      </c>
      <c r="I806" s="6">
        <v>0</v>
      </c>
      <c r="J806" s="6">
        <v>0</v>
      </c>
      <c r="K806" s="6">
        <v>0</v>
      </c>
    </row>
    <row r="807" spans="1:11" ht="12" customHeight="1">
      <c r="A807" s="6">
        <v>16005</v>
      </c>
      <c r="B807" s="6" t="s">
        <v>1351</v>
      </c>
      <c r="C807" s="6" t="s">
        <v>422</v>
      </c>
      <c r="E807" s="6" t="s">
        <v>141</v>
      </c>
      <c r="F807" s="6">
        <v>15</v>
      </c>
      <c r="G807" s="6">
        <v>1991</v>
      </c>
      <c r="H807" s="6">
        <v>880</v>
      </c>
      <c r="I807" s="6">
        <v>0</v>
      </c>
      <c r="J807" s="6">
        <v>0</v>
      </c>
      <c r="K807" s="6">
        <v>0</v>
      </c>
    </row>
    <row r="808" spans="1:11" ht="12" customHeight="1">
      <c r="A808" s="6">
        <v>18048</v>
      </c>
      <c r="B808" s="6" t="s">
        <v>1352</v>
      </c>
      <c r="C808" s="6" t="s">
        <v>574</v>
      </c>
      <c r="D808" s="6" t="s">
        <v>316</v>
      </c>
      <c r="E808" s="6" t="s">
        <v>141</v>
      </c>
      <c r="F808" s="6">
        <v>15</v>
      </c>
      <c r="G808" s="6">
        <v>1989</v>
      </c>
      <c r="H808" s="6">
        <v>881</v>
      </c>
      <c r="I808" s="6">
        <v>0</v>
      </c>
      <c r="J808" s="6">
        <v>0</v>
      </c>
      <c r="K808" s="6">
        <v>0</v>
      </c>
    </row>
    <row r="809" spans="1:11" ht="12" customHeight="1">
      <c r="A809" s="6">
        <v>21036</v>
      </c>
      <c r="B809" s="6" t="s">
        <v>1353</v>
      </c>
      <c r="C809" s="6" t="s">
        <v>424</v>
      </c>
      <c r="E809" s="6" t="s">
        <v>199</v>
      </c>
      <c r="F809" s="6">
        <v>88</v>
      </c>
      <c r="G809" s="6">
        <v>1968</v>
      </c>
      <c r="H809" s="6">
        <v>222</v>
      </c>
      <c r="I809" s="6">
        <v>20.062999999999999</v>
      </c>
      <c r="J809" s="6">
        <v>888.923</v>
      </c>
      <c r="K809" s="6">
        <v>251</v>
      </c>
    </row>
    <row r="810" spans="1:11" ht="12" customHeight="1">
      <c r="A810" s="6">
        <v>18067</v>
      </c>
      <c r="B810" s="6" t="s">
        <v>1353</v>
      </c>
      <c r="C810" s="6" t="s">
        <v>1354</v>
      </c>
      <c r="E810" s="6" t="s">
        <v>199</v>
      </c>
      <c r="F810" s="6">
        <v>88</v>
      </c>
      <c r="G810" s="6">
        <v>1974</v>
      </c>
      <c r="H810" s="6">
        <v>438</v>
      </c>
      <c r="I810" s="6">
        <v>4.173</v>
      </c>
      <c r="J810" s="6">
        <v>201.798</v>
      </c>
      <c r="K810" s="6">
        <v>72</v>
      </c>
    </row>
    <row r="811" spans="1:11" ht="12" customHeight="1">
      <c r="A811" s="6">
        <v>21027</v>
      </c>
      <c r="B811" s="6" t="s">
        <v>1355</v>
      </c>
      <c r="C811" s="6" t="s">
        <v>1356</v>
      </c>
      <c r="E811" s="6" t="s">
        <v>572</v>
      </c>
      <c r="F811" s="6">
        <v>87</v>
      </c>
      <c r="G811" s="6">
        <v>1956</v>
      </c>
      <c r="H811" s="6">
        <v>424</v>
      </c>
      <c r="I811" s="6">
        <v>3.6720000000000002</v>
      </c>
      <c r="J811" s="6">
        <v>227.381</v>
      </c>
      <c r="K811" s="6">
        <v>72</v>
      </c>
    </row>
    <row r="812" spans="1:11" ht="12" customHeight="1">
      <c r="A812" s="6">
        <v>15067</v>
      </c>
      <c r="B812" s="6" t="s">
        <v>1357</v>
      </c>
      <c r="C812" s="6" t="s">
        <v>1358</v>
      </c>
      <c r="E812" s="6" t="s">
        <v>138</v>
      </c>
      <c r="F812" s="6">
        <v>20</v>
      </c>
      <c r="G812" s="6">
        <v>1978</v>
      </c>
      <c r="H812" s="6">
        <v>152</v>
      </c>
      <c r="I812" s="6">
        <v>19.001000000000001</v>
      </c>
      <c r="J812" s="6">
        <v>1364.0170000000001</v>
      </c>
      <c r="K812" s="6">
        <v>460</v>
      </c>
    </row>
    <row r="813" spans="1:11" ht="12" customHeight="1">
      <c r="A813" s="6">
        <v>20603</v>
      </c>
      <c r="B813" s="6" t="s">
        <v>1359</v>
      </c>
      <c r="C813" s="6" t="s">
        <v>526</v>
      </c>
      <c r="E813" s="6" t="s">
        <v>460</v>
      </c>
      <c r="F813" s="6">
        <v>95</v>
      </c>
      <c r="G813" s="6">
        <v>1959</v>
      </c>
      <c r="H813" s="6">
        <v>882</v>
      </c>
      <c r="I813" s="6">
        <v>0</v>
      </c>
      <c r="J813" s="6">
        <v>0</v>
      </c>
      <c r="K813" s="6">
        <v>0</v>
      </c>
    </row>
    <row r="814" spans="1:11" ht="12" customHeight="1">
      <c r="A814" s="6">
        <v>20595</v>
      </c>
      <c r="B814" s="6" t="s">
        <v>1360</v>
      </c>
      <c r="C814" s="6" t="s">
        <v>455</v>
      </c>
      <c r="D814" s="6" t="s">
        <v>316</v>
      </c>
      <c r="E814" s="6" t="s">
        <v>460</v>
      </c>
      <c r="F814" s="6">
        <v>95</v>
      </c>
      <c r="G814" s="6">
        <v>1979</v>
      </c>
      <c r="H814" s="6">
        <v>883</v>
      </c>
      <c r="I814" s="6">
        <v>0</v>
      </c>
      <c r="J814" s="6">
        <v>0</v>
      </c>
      <c r="K814" s="6">
        <v>0</v>
      </c>
    </row>
    <row r="815" spans="1:11" ht="12" customHeight="1">
      <c r="A815" s="6">
        <v>20594</v>
      </c>
      <c r="B815" s="6" t="s">
        <v>1361</v>
      </c>
      <c r="C815" s="6" t="s">
        <v>455</v>
      </c>
      <c r="D815" s="6" t="s">
        <v>316</v>
      </c>
      <c r="E815" s="6" t="s">
        <v>460</v>
      </c>
      <c r="F815" s="6">
        <v>95</v>
      </c>
      <c r="G815" s="6">
        <v>1958</v>
      </c>
      <c r="H815" s="6">
        <v>884</v>
      </c>
      <c r="I815" s="6">
        <v>0</v>
      </c>
      <c r="J815" s="6">
        <v>0</v>
      </c>
      <c r="K815" s="6">
        <v>0</v>
      </c>
    </row>
    <row r="816" spans="1:11" ht="12" customHeight="1">
      <c r="A816" s="6">
        <v>23218</v>
      </c>
      <c r="B816" s="6" t="s">
        <v>1362</v>
      </c>
      <c r="C816" s="6" t="s">
        <v>422</v>
      </c>
      <c r="E816" s="6" t="s">
        <v>120</v>
      </c>
      <c r="F816" s="6">
        <v>54</v>
      </c>
      <c r="G816" s="6">
        <v>1954</v>
      </c>
      <c r="H816" s="6">
        <v>423</v>
      </c>
      <c r="I816" s="6">
        <v>3.0939999999999999</v>
      </c>
      <c r="J816" s="6">
        <v>229.06</v>
      </c>
      <c r="K816" s="6">
        <v>77</v>
      </c>
    </row>
    <row r="817" spans="1:11" ht="12" customHeight="1">
      <c r="A817" s="6">
        <v>20573</v>
      </c>
      <c r="B817" s="6" t="s">
        <v>1363</v>
      </c>
      <c r="C817" s="6" t="s">
        <v>509</v>
      </c>
      <c r="D817" s="6" t="s">
        <v>316</v>
      </c>
      <c r="E817" s="6" t="s">
        <v>625</v>
      </c>
      <c r="F817" s="6">
        <v>66</v>
      </c>
      <c r="G817" s="6">
        <v>1965</v>
      </c>
      <c r="H817" s="6">
        <v>141</v>
      </c>
      <c r="I817" s="6">
        <v>22.155999999999999</v>
      </c>
      <c r="J817" s="6">
        <v>1457.7360000000001</v>
      </c>
      <c r="K817" s="6">
        <v>593</v>
      </c>
    </row>
    <row r="818" spans="1:11" ht="12" customHeight="1">
      <c r="A818" s="6">
        <v>20534</v>
      </c>
      <c r="B818" s="6" t="s">
        <v>1364</v>
      </c>
      <c r="C818" s="6" t="s">
        <v>737</v>
      </c>
      <c r="D818" s="6" t="s">
        <v>316</v>
      </c>
      <c r="E818" s="6" t="s">
        <v>572</v>
      </c>
      <c r="F818" s="6">
        <v>87</v>
      </c>
      <c r="G818" s="6">
        <v>1956</v>
      </c>
      <c r="H818" s="6">
        <v>191</v>
      </c>
      <c r="I818" s="6">
        <v>19.562999999999999</v>
      </c>
      <c r="J818" s="6">
        <v>1068.672</v>
      </c>
      <c r="K818" s="6">
        <v>460</v>
      </c>
    </row>
    <row r="819" spans="1:11" ht="12" customHeight="1">
      <c r="A819" s="6">
        <v>15078</v>
      </c>
      <c r="B819" s="6" t="s">
        <v>1365</v>
      </c>
      <c r="C819" s="6" t="s">
        <v>448</v>
      </c>
      <c r="E819" s="6" t="s">
        <v>556</v>
      </c>
      <c r="F819" s="6">
        <v>13</v>
      </c>
      <c r="G819" s="6">
        <v>1983</v>
      </c>
      <c r="H819" s="6">
        <v>442</v>
      </c>
      <c r="I819" s="6">
        <v>6.625</v>
      </c>
      <c r="J819" s="6">
        <v>198.17500000000001</v>
      </c>
      <c r="K819" s="6">
        <v>0</v>
      </c>
    </row>
    <row r="820" spans="1:11" ht="12" customHeight="1">
      <c r="A820" s="6">
        <v>18104</v>
      </c>
      <c r="B820" s="6" t="s">
        <v>1366</v>
      </c>
      <c r="C820" s="6" t="s">
        <v>431</v>
      </c>
      <c r="D820" s="6" t="s">
        <v>316</v>
      </c>
      <c r="E820" s="6" t="s">
        <v>134</v>
      </c>
      <c r="F820" s="6">
        <v>64</v>
      </c>
      <c r="G820" s="6">
        <v>1978</v>
      </c>
      <c r="H820" s="6">
        <v>643</v>
      </c>
      <c r="I820" s="6">
        <v>0.375</v>
      </c>
      <c r="J820" s="6">
        <v>17.173999999999999</v>
      </c>
      <c r="K820" s="6">
        <v>0</v>
      </c>
    </row>
    <row r="821" spans="1:11" ht="12" customHeight="1">
      <c r="A821" s="6">
        <v>21074</v>
      </c>
      <c r="B821" s="6" t="s">
        <v>1367</v>
      </c>
      <c r="C821" s="6" t="s">
        <v>633</v>
      </c>
      <c r="D821" s="6" t="s">
        <v>316</v>
      </c>
      <c r="E821" s="6" t="s">
        <v>253</v>
      </c>
      <c r="F821" s="6">
        <v>86</v>
      </c>
      <c r="G821" s="6">
        <v>1993</v>
      </c>
      <c r="H821" s="6">
        <v>885</v>
      </c>
      <c r="I821" s="6">
        <v>0</v>
      </c>
      <c r="J821" s="6">
        <v>0</v>
      </c>
      <c r="K821" s="6">
        <v>0</v>
      </c>
    </row>
    <row r="822" spans="1:11" ht="12" customHeight="1">
      <c r="A822" s="6">
        <v>23237</v>
      </c>
      <c r="B822" s="6" t="s">
        <v>1368</v>
      </c>
      <c r="C822" s="6" t="s">
        <v>786</v>
      </c>
      <c r="D822" s="6" t="s">
        <v>316</v>
      </c>
      <c r="E822" s="6" t="s">
        <v>572</v>
      </c>
      <c r="F822" s="6">
        <v>87</v>
      </c>
      <c r="G822" s="6">
        <v>1962</v>
      </c>
      <c r="H822" s="6">
        <v>886</v>
      </c>
      <c r="I822" s="6">
        <v>0</v>
      </c>
      <c r="J822" s="6">
        <v>0</v>
      </c>
      <c r="K822" s="6">
        <v>0</v>
      </c>
    </row>
    <row r="823" spans="1:11" ht="12" customHeight="1">
      <c r="A823" s="6">
        <v>21062</v>
      </c>
      <c r="B823" s="6" t="s">
        <v>1369</v>
      </c>
      <c r="C823" s="6" t="s">
        <v>1370</v>
      </c>
      <c r="D823" s="6" t="s">
        <v>316</v>
      </c>
      <c r="E823" s="6" t="s">
        <v>169</v>
      </c>
      <c r="F823" s="6">
        <v>69</v>
      </c>
      <c r="G823" s="6">
        <v>1979</v>
      </c>
      <c r="H823" s="6">
        <v>887</v>
      </c>
      <c r="I823" s="6">
        <v>0</v>
      </c>
      <c r="J823" s="6">
        <v>0</v>
      </c>
      <c r="K823" s="6">
        <v>0</v>
      </c>
    </row>
    <row r="824" spans="1:11" ht="12" customHeight="1">
      <c r="A824" s="6">
        <v>22116</v>
      </c>
      <c r="B824" s="6" t="s">
        <v>1371</v>
      </c>
      <c r="C824" s="6" t="s">
        <v>492</v>
      </c>
      <c r="E824" s="6" t="s">
        <v>425</v>
      </c>
      <c r="F824" s="6">
        <v>79</v>
      </c>
      <c r="G824" s="6">
        <v>1988</v>
      </c>
      <c r="H824" s="6">
        <v>569</v>
      </c>
      <c r="I824" s="6">
        <v>1.75</v>
      </c>
      <c r="J824" s="6">
        <v>75.697999999999993</v>
      </c>
      <c r="K824" s="6">
        <v>0</v>
      </c>
    </row>
    <row r="825" spans="1:11" ht="12" customHeight="1">
      <c r="A825" s="6">
        <v>20612</v>
      </c>
      <c r="B825" s="6" t="s">
        <v>1372</v>
      </c>
      <c r="C825" s="6" t="s">
        <v>422</v>
      </c>
      <c r="E825" s="6" t="s">
        <v>460</v>
      </c>
      <c r="F825" s="6">
        <v>95</v>
      </c>
      <c r="G825" s="6">
        <v>1967</v>
      </c>
      <c r="H825" s="6">
        <v>888</v>
      </c>
      <c r="I825" s="6">
        <v>0</v>
      </c>
      <c r="J825" s="6">
        <v>0</v>
      </c>
      <c r="K825" s="6">
        <v>0</v>
      </c>
    </row>
    <row r="826" spans="1:11" ht="12" customHeight="1">
      <c r="A826" s="6">
        <v>13024</v>
      </c>
      <c r="B826" s="6" t="s">
        <v>1373</v>
      </c>
      <c r="C826" s="6" t="s">
        <v>957</v>
      </c>
      <c r="D826" s="6" t="s">
        <v>316</v>
      </c>
      <c r="E826" s="6" t="s">
        <v>533</v>
      </c>
      <c r="F826" s="6">
        <v>75</v>
      </c>
      <c r="G826" s="6">
        <v>1985</v>
      </c>
      <c r="H826" s="6">
        <v>889</v>
      </c>
      <c r="I826" s="6">
        <v>0</v>
      </c>
      <c r="J826" s="6">
        <v>0</v>
      </c>
      <c r="K826" s="6">
        <v>0</v>
      </c>
    </row>
    <row r="827" spans="1:11" ht="12" customHeight="1">
      <c r="A827" s="6">
        <v>20505</v>
      </c>
      <c r="B827" s="6" t="s">
        <v>1374</v>
      </c>
      <c r="C827" s="6" t="s">
        <v>728</v>
      </c>
      <c r="D827" s="6" t="s">
        <v>451</v>
      </c>
      <c r="E827" s="6" t="s">
        <v>138</v>
      </c>
      <c r="F827" s="6">
        <v>20</v>
      </c>
      <c r="G827" s="6">
        <v>2006</v>
      </c>
      <c r="H827" s="6">
        <v>107</v>
      </c>
      <c r="I827" s="6">
        <v>27.626000000000001</v>
      </c>
      <c r="J827" s="6">
        <v>1762.952</v>
      </c>
      <c r="K827" s="6">
        <v>827</v>
      </c>
    </row>
    <row r="828" spans="1:11" ht="12" customHeight="1">
      <c r="A828" s="6">
        <v>15058</v>
      </c>
      <c r="B828" s="6" t="s">
        <v>1375</v>
      </c>
      <c r="C828" s="6" t="s">
        <v>609</v>
      </c>
      <c r="E828" s="6" t="s">
        <v>138</v>
      </c>
      <c r="F828" s="6">
        <v>20</v>
      </c>
      <c r="G828" s="6">
        <v>2004</v>
      </c>
      <c r="H828" s="6">
        <v>15</v>
      </c>
      <c r="I828" s="6">
        <v>44.625</v>
      </c>
      <c r="J828" s="6">
        <v>3401.2809999999999</v>
      </c>
      <c r="K828" s="6">
        <v>1439</v>
      </c>
    </row>
    <row r="829" spans="1:11" ht="12" customHeight="1">
      <c r="A829" s="6">
        <v>21067</v>
      </c>
      <c r="B829" s="6" t="s">
        <v>1376</v>
      </c>
      <c r="C829" s="6" t="s">
        <v>431</v>
      </c>
      <c r="D829" s="6" t="s">
        <v>316</v>
      </c>
      <c r="E829" s="6" t="s">
        <v>193</v>
      </c>
      <c r="F829" s="6">
        <v>89</v>
      </c>
      <c r="G829" s="6">
        <v>1991</v>
      </c>
      <c r="H829" s="6">
        <v>584</v>
      </c>
      <c r="I829" s="6">
        <v>2.3130000000000002</v>
      </c>
      <c r="J829" s="6">
        <v>56.244999999999997</v>
      </c>
      <c r="K829" s="6">
        <v>0</v>
      </c>
    </row>
    <row r="830" spans="1:11" ht="12" customHeight="1">
      <c r="A830" s="6">
        <v>19050</v>
      </c>
      <c r="B830" s="6" t="s">
        <v>1377</v>
      </c>
      <c r="C830" s="6" t="s">
        <v>416</v>
      </c>
      <c r="D830" s="6" t="s">
        <v>316</v>
      </c>
      <c r="E830" s="6" t="s">
        <v>253</v>
      </c>
      <c r="F830" s="6">
        <v>86</v>
      </c>
      <c r="G830" s="6">
        <v>1992</v>
      </c>
      <c r="H830" s="6">
        <v>890</v>
      </c>
      <c r="I830" s="6">
        <v>0</v>
      </c>
      <c r="J830" s="6">
        <v>0</v>
      </c>
      <c r="K830" s="6">
        <v>0</v>
      </c>
    </row>
    <row r="831" spans="1:11" ht="12" customHeight="1">
      <c r="A831" s="6">
        <v>10098</v>
      </c>
      <c r="B831" s="6" t="s">
        <v>1378</v>
      </c>
      <c r="C831" s="6" t="s">
        <v>1379</v>
      </c>
      <c r="E831" s="6" t="s">
        <v>169</v>
      </c>
      <c r="F831" s="6">
        <v>69</v>
      </c>
      <c r="G831" s="6">
        <v>1959</v>
      </c>
      <c r="H831" s="6">
        <v>891</v>
      </c>
      <c r="I831" s="6">
        <v>0</v>
      </c>
      <c r="J831" s="6">
        <v>0</v>
      </c>
      <c r="K831" s="6">
        <v>0</v>
      </c>
    </row>
    <row r="832" spans="1:11" ht="12" customHeight="1">
      <c r="A832" s="6">
        <v>17052</v>
      </c>
      <c r="B832" s="6" t="s">
        <v>1380</v>
      </c>
      <c r="C832" s="6" t="s">
        <v>424</v>
      </c>
      <c r="E832" s="6" t="s">
        <v>253</v>
      </c>
      <c r="F832" s="6">
        <v>86</v>
      </c>
      <c r="G832" s="6">
        <v>1962</v>
      </c>
      <c r="H832" s="6">
        <v>182</v>
      </c>
      <c r="I832" s="6">
        <v>16.940000000000001</v>
      </c>
      <c r="J832" s="6">
        <v>1143.72</v>
      </c>
      <c r="K832" s="6">
        <v>423</v>
      </c>
    </row>
    <row r="833" spans="1:11" ht="12" customHeight="1">
      <c r="A833" s="6">
        <v>17055</v>
      </c>
      <c r="B833" s="6" t="s">
        <v>1380</v>
      </c>
      <c r="C833" s="6" t="s">
        <v>607</v>
      </c>
      <c r="E833" s="6" t="s">
        <v>253</v>
      </c>
      <c r="F833" s="6">
        <v>86</v>
      </c>
      <c r="G833" s="6">
        <v>2000</v>
      </c>
      <c r="H833" s="6">
        <v>186</v>
      </c>
      <c r="I833" s="6">
        <v>14.032999999999999</v>
      </c>
      <c r="J833" s="6">
        <v>1115.501</v>
      </c>
      <c r="K833" s="6">
        <v>497</v>
      </c>
    </row>
    <row r="834" spans="1:11" ht="12" customHeight="1">
      <c r="A834" s="6">
        <v>16144</v>
      </c>
      <c r="B834" s="6" t="s">
        <v>1380</v>
      </c>
      <c r="C834" s="6" t="s">
        <v>548</v>
      </c>
      <c r="E834" s="6" t="s">
        <v>253</v>
      </c>
      <c r="F834" s="6">
        <v>86</v>
      </c>
      <c r="G834" s="6">
        <v>1992</v>
      </c>
      <c r="H834" s="6">
        <v>126</v>
      </c>
      <c r="I834" s="6">
        <v>25.437000000000001</v>
      </c>
      <c r="J834" s="6">
        <v>1611.442</v>
      </c>
      <c r="K834" s="6">
        <v>578</v>
      </c>
    </row>
    <row r="835" spans="1:11" ht="12" customHeight="1">
      <c r="A835" s="6">
        <v>28036</v>
      </c>
      <c r="B835" s="6" t="s">
        <v>1381</v>
      </c>
      <c r="C835" s="6" t="s">
        <v>1382</v>
      </c>
      <c r="E835" s="6" t="s">
        <v>318</v>
      </c>
      <c r="F835" s="6">
        <v>6</v>
      </c>
      <c r="G835" s="6">
        <v>1943</v>
      </c>
      <c r="H835" s="6">
        <v>524</v>
      </c>
      <c r="I835" s="6">
        <v>2.4689999999999999</v>
      </c>
      <c r="J835" s="6">
        <v>112.60899999999999</v>
      </c>
      <c r="K835" s="6">
        <v>28</v>
      </c>
    </row>
    <row r="836" spans="1:11" ht="12" customHeight="1">
      <c r="A836" s="6">
        <v>14090</v>
      </c>
      <c r="B836" s="6" t="s">
        <v>1383</v>
      </c>
      <c r="C836" s="6" t="s">
        <v>1384</v>
      </c>
      <c r="E836" s="6" t="s">
        <v>425</v>
      </c>
      <c r="F836" s="6">
        <v>79</v>
      </c>
      <c r="G836" s="6">
        <v>1987</v>
      </c>
      <c r="H836" s="6">
        <v>892</v>
      </c>
      <c r="I836" s="6">
        <v>0</v>
      </c>
      <c r="J836" s="6">
        <v>0</v>
      </c>
      <c r="K836" s="6">
        <v>0</v>
      </c>
    </row>
    <row r="837" spans="1:11" ht="12" customHeight="1">
      <c r="A837" s="6">
        <v>20525</v>
      </c>
      <c r="B837" s="6" t="s">
        <v>1385</v>
      </c>
      <c r="C837" s="6" t="s">
        <v>615</v>
      </c>
      <c r="D837" s="6" t="s">
        <v>316</v>
      </c>
      <c r="E837" s="6" t="s">
        <v>253</v>
      </c>
      <c r="F837" s="6">
        <v>86</v>
      </c>
      <c r="G837" s="6">
        <v>1993</v>
      </c>
      <c r="H837" s="6">
        <v>893</v>
      </c>
      <c r="I837" s="6">
        <v>0</v>
      </c>
      <c r="J837" s="6">
        <v>0</v>
      </c>
      <c r="K837" s="6">
        <v>0</v>
      </c>
    </row>
    <row r="838" spans="1:11" ht="12" customHeight="1">
      <c r="A838" s="6">
        <v>17038</v>
      </c>
      <c r="B838" s="6" t="s">
        <v>1386</v>
      </c>
      <c r="C838" s="6" t="s">
        <v>537</v>
      </c>
      <c r="D838" s="6" t="s">
        <v>316</v>
      </c>
      <c r="E838" s="6" t="s">
        <v>156</v>
      </c>
      <c r="F838" s="6">
        <v>33</v>
      </c>
      <c r="G838" s="6">
        <v>1962</v>
      </c>
      <c r="H838" s="6">
        <v>444</v>
      </c>
      <c r="I838" s="6">
        <v>6.22</v>
      </c>
      <c r="J838" s="6">
        <v>197.85400000000001</v>
      </c>
      <c r="K838" s="6">
        <v>0</v>
      </c>
    </row>
    <row r="839" spans="1:11" ht="12" customHeight="1">
      <c r="A839" s="6">
        <v>10094</v>
      </c>
      <c r="B839" s="6" t="s">
        <v>1387</v>
      </c>
      <c r="C839" s="6" t="s">
        <v>648</v>
      </c>
      <c r="E839" s="6" t="s">
        <v>169</v>
      </c>
      <c r="F839" s="6">
        <v>69</v>
      </c>
      <c r="G839" s="6">
        <v>1949</v>
      </c>
      <c r="H839" s="6">
        <v>428</v>
      </c>
      <c r="I839" s="6">
        <v>4.2510000000000003</v>
      </c>
      <c r="J839" s="6">
        <v>215.86199999999999</v>
      </c>
      <c r="K839" s="6">
        <v>74</v>
      </c>
    </row>
    <row r="840" spans="1:11" ht="12" customHeight="1">
      <c r="A840" s="6">
        <v>14066</v>
      </c>
      <c r="B840" s="6" t="s">
        <v>1388</v>
      </c>
      <c r="C840" s="6" t="s">
        <v>424</v>
      </c>
      <c r="E840" s="6" t="s">
        <v>476</v>
      </c>
      <c r="F840" s="6">
        <v>2</v>
      </c>
      <c r="G840" s="6">
        <v>1972</v>
      </c>
      <c r="H840" s="6">
        <v>894</v>
      </c>
      <c r="I840" s="6">
        <v>0</v>
      </c>
      <c r="J840" s="6">
        <v>0</v>
      </c>
      <c r="K840" s="6">
        <v>0</v>
      </c>
    </row>
    <row r="841" spans="1:11" ht="12" customHeight="1">
      <c r="A841" s="6">
        <v>11037</v>
      </c>
      <c r="B841" s="6" t="s">
        <v>1389</v>
      </c>
      <c r="C841" s="6" t="s">
        <v>1390</v>
      </c>
      <c r="E841" s="6" t="s">
        <v>229</v>
      </c>
      <c r="F841" s="6">
        <v>1</v>
      </c>
      <c r="G841" s="6">
        <v>1983</v>
      </c>
      <c r="H841" s="6">
        <v>165</v>
      </c>
      <c r="I841" s="6">
        <v>26.125</v>
      </c>
      <c r="J841" s="6">
        <v>1287.3</v>
      </c>
      <c r="K841" s="6">
        <v>269</v>
      </c>
    </row>
    <row r="842" spans="1:11" ht="12" customHeight="1">
      <c r="A842" s="6">
        <v>26041</v>
      </c>
      <c r="B842" s="6" t="s">
        <v>1391</v>
      </c>
      <c r="C842" s="6" t="s">
        <v>880</v>
      </c>
      <c r="D842" s="6" t="s">
        <v>316</v>
      </c>
      <c r="E842" s="6" t="s">
        <v>515</v>
      </c>
      <c r="F842" s="6">
        <v>28</v>
      </c>
      <c r="G842" s="6">
        <v>1953</v>
      </c>
      <c r="H842" s="6">
        <v>516</v>
      </c>
      <c r="I842" s="6">
        <v>3.4380000000000002</v>
      </c>
      <c r="J842" s="6">
        <v>116.92400000000001</v>
      </c>
      <c r="K842" s="6">
        <v>0</v>
      </c>
    </row>
    <row r="843" spans="1:11" ht="12" customHeight="1">
      <c r="A843" s="6">
        <v>14094</v>
      </c>
      <c r="B843" s="6" t="s">
        <v>1392</v>
      </c>
      <c r="C843" s="6" t="s">
        <v>526</v>
      </c>
      <c r="E843" s="6" t="s">
        <v>375</v>
      </c>
      <c r="F843" s="6">
        <v>43</v>
      </c>
      <c r="G843" s="6">
        <v>1954</v>
      </c>
      <c r="H843" s="6">
        <v>169</v>
      </c>
      <c r="I843" s="6">
        <v>14.500999999999999</v>
      </c>
      <c r="J843" s="6">
        <v>1252.991</v>
      </c>
      <c r="K843" s="6">
        <v>547</v>
      </c>
    </row>
    <row r="844" spans="1:11" ht="12" customHeight="1">
      <c r="A844" s="6">
        <v>23060</v>
      </c>
      <c r="B844" s="6" t="s">
        <v>1393</v>
      </c>
      <c r="C844" s="6" t="s">
        <v>499</v>
      </c>
      <c r="E844" s="6" t="s">
        <v>144</v>
      </c>
      <c r="F844" s="6">
        <v>63</v>
      </c>
      <c r="G844" s="6">
        <v>1954</v>
      </c>
      <c r="H844" s="6">
        <v>123</v>
      </c>
      <c r="I844" s="6">
        <v>31.375</v>
      </c>
      <c r="J844" s="6">
        <v>1612.982</v>
      </c>
      <c r="K844" s="6">
        <v>519</v>
      </c>
    </row>
    <row r="845" spans="1:11" ht="12" customHeight="1">
      <c r="A845" s="6">
        <v>16004</v>
      </c>
      <c r="B845" s="6" t="s">
        <v>1394</v>
      </c>
      <c r="C845" s="6" t="s">
        <v>607</v>
      </c>
      <c r="E845" s="6" t="s">
        <v>144</v>
      </c>
      <c r="F845" s="6">
        <v>63</v>
      </c>
      <c r="G845" s="6">
        <v>2003</v>
      </c>
      <c r="H845" s="6">
        <v>395</v>
      </c>
      <c r="I845" s="6">
        <v>6.6879999999999997</v>
      </c>
      <c r="J845" s="6">
        <v>282.096</v>
      </c>
      <c r="K845" s="6">
        <v>57</v>
      </c>
    </row>
    <row r="846" spans="1:11" ht="12" customHeight="1">
      <c r="A846" s="6">
        <v>97294</v>
      </c>
      <c r="B846" s="6" t="s">
        <v>1395</v>
      </c>
      <c r="C846" s="6" t="s">
        <v>422</v>
      </c>
      <c r="E846" s="6" t="s">
        <v>318</v>
      </c>
      <c r="F846" s="6">
        <v>6</v>
      </c>
      <c r="G846" s="6">
        <v>1968</v>
      </c>
      <c r="H846" s="6">
        <v>895</v>
      </c>
      <c r="I846" s="6">
        <v>0</v>
      </c>
      <c r="J846" s="6">
        <v>0</v>
      </c>
      <c r="K846" s="6">
        <v>0</v>
      </c>
    </row>
    <row r="847" spans="1:11" ht="12" customHeight="1">
      <c r="A847" s="6">
        <v>13047</v>
      </c>
      <c r="B847" s="6" t="s">
        <v>1396</v>
      </c>
      <c r="C847" s="6" t="s">
        <v>416</v>
      </c>
      <c r="E847" s="6" t="s">
        <v>515</v>
      </c>
      <c r="F847" s="6">
        <v>28</v>
      </c>
      <c r="G847" s="6">
        <v>1957</v>
      </c>
      <c r="H847" s="6">
        <v>400</v>
      </c>
      <c r="I847" s="6">
        <v>8.5329999999999995</v>
      </c>
      <c r="J847" s="6">
        <v>276.94600000000003</v>
      </c>
      <c r="K847" s="6">
        <v>0</v>
      </c>
    </row>
    <row r="848" spans="1:11" ht="12" customHeight="1">
      <c r="A848" s="6">
        <v>11031</v>
      </c>
      <c r="B848" s="6" t="s">
        <v>1397</v>
      </c>
      <c r="C848" s="6" t="s">
        <v>482</v>
      </c>
      <c r="E848" s="6" t="s">
        <v>476</v>
      </c>
      <c r="F848" s="6">
        <v>2</v>
      </c>
      <c r="G848" s="6">
        <v>1966</v>
      </c>
      <c r="H848" s="6">
        <v>187</v>
      </c>
      <c r="I848" s="6">
        <v>17.305</v>
      </c>
      <c r="J848" s="6">
        <v>1101.8989999999999</v>
      </c>
      <c r="K848" s="6">
        <v>345</v>
      </c>
    </row>
    <row r="849" spans="1:11" ht="12" customHeight="1">
      <c r="A849" s="6">
        <v>23244</v>
      </c>
      <c r="B849" s="6" t="s">
        <v>1398</v>
      </c>
      <c r="C849" s="6" t="s">
        <v>422</v>
      </c>
      <c r="E849" s="6" t="s">
        <v>156</v>
      </c>
      <c r="F849" s="6">
        <v>33</v>
      </c>
      <c r="G849" s="6">
        <v>1962</v>
      </c>
      <c r="H849" s="6">
        <v>896</v>
      </c>
      <c r="I849" s="6">
        <v>0</v>
      </c>
      <c r="J849" s="6">
        <v>0</v>
      </c>
      <c r="K849" s="6">
        <v>0</v>
      </c>
    </row>
    <row r="850" spans="1:11" ht="12" customHeight="1">
      <c r="A850" s="6">
        <v>22012</v>
      </c>
      <c r="B850" s="6" t="s">
        <v>1399</v>
      </c>
      <c r="C850" s="6" t="s">
        <v>424</v>
      </c>
      <c r="E850" s="6" t="s">
        <v>375</v>
      </c>
      <c r="F850" s="6">
        <v>43</v>
      </c>
      <c r="G850" s="6">
        <v>1980</v>
      </c>
      <c r="H850" s="6">
        <v>332</v>
      </c>
      <c r="I850" s="6">
        <v>3.5</v>
      </c>
      <c r="J850" s="6">
        <v>430.83100000000002</v>
      </c>
      <c r="K850" s="6">
        <v>254</v>
      </c>
    </row>
    <row r="851" spans="1:11" ht="12" customHeight="1">
      <c r="A851" s="6">
        <v>24281</v>
      </c>
      <c r="B851" s="6" t="s">
        <v>1399</v>
      </c>
      <c r="C851" s="6" t="s">
        <v>424</v>
      </c>
      <c r="E851" s="6" t="s">
        <v>393</v>
      </c>
      <c r="F851" s="6">
        <v>52</v>
      </c>
      <c r="G851" s="6">
        <v>1969</v>
      </c>
      <c r="H851" s="6">
        <v>360</v>
      </c>
      <c r="I851" s="6">
        <v>5.75</v>
      </c>
      <c r="J851" s="6">
        <v>348.24599999999998</v>
      </c>
      <c r="K851" s="6">
        <v>112</v>
      </c>
    </row>
    <row r="852" spans="1:11" ht="12" customHeight="1">
      <c r="A852" s="6">
        <v>14052</v>
      </c>
      <c r="B852" s="6" t="s">
        <v>1400</v>
      </c>
      <c r="C852" s="6" t="s">
        <v>455</v>
      </c>
      <c r="D852" s="6" t="s">
        <v>316</v>
      </c>
      <c r="E852" s="6" t="s">
        <v>653</v>
      </c>
      <c r="F852" s="6">
        <v>77</v>
      </c>
      <c r="G852" s="6">
        <v>1970</v>
      </c>
      <c r="H852" s="6">
        <v>90</v>
      </c>
      <c r="I852" s="6">
        <v>25.501000000000001</v>
      </c>
      <c r="J852" s="6">
        <v>1928.6579999999999</v>
      </c>
      <c r="K852" s="6">
        <v>726</v>
      </c>
    </row>
    <row r="853" spans="1:11" ht="12" customHeight="1">
      <c r="A853" s="6">
        <v>21795</v>
      </c>
      <c r="B853" s="6" t="s">
        <v>1401</v>
      </c>
      <c r="C853" s="6" t="s">
        <v>552</v>
      </c>
      <c r="E853" s="6" t="s">
        <v>235</v>
      </c>
      <c r="F853" s="6">
        <v>27</v>
      </c>
      <c r="G853" s="6">
        <v>1956</v>
      </c>
      <c r="H853" s="6">
        <v>371</v>
      </c>
      <c r="I853" s="6">
        <v>4.375</v>
      </c>
      <c r="J853" s="6">
        <v>331.87799999999999</v>
      </c>
      <c r="K853" s="6">
        <v>125</v>
      </c>
    </row>
    <row r="854" spans="1:11" ht="12" customHeight="1">
      <c r="A854" s="6">
        <v>18082</v>
      </c>
      <c r="B854" s="6" t="s">
        <v>1402</v>
      </c>
      <c r="C854" s="6" t="s">
        <v>440</v>
      </c>
      <c r="E854" s="6" t="s">
        <v>193</v>
      </c>
      <c r="F854" s="6">
        <v>89</v>
      </c>
      <c r="G854" s="6">
        <v>1962</v>
      </c>
      <c r="H854" s="6">
        <v>636</v>
      </c>
      <c r="I854" s="6">
        <v>1.125</v>
      </c>
      <c r="J854" s="6">
        <v>21.568999999999999</v>
      </c>
      <c r="K854" s="6">
        <v>0</v>
      </c>
    </row>
    <row r="855" spans="1:11" ht="12" customHeight="1">
      <c r="A855" s="6">
        <v>21070</v>
      </c>
      <c r="B855" s="6" t="s">
        <v>1402</v>
      </c>
      <c r="C855" s="6" t="s">
        <v>548</v>
      </c>
      <c r="D855" s="6" t="s">
        <v>434</v>
      </c>
      <c r="E855" s="6" t="s">
        <v>193</v>
      </c>
      <c r="F855" s="6">
        <v>89</v>
      </c>
      <c r="G855" s="6">
        <v>2015</v>
      </c>
      <c r="H855" s="6">
        <v>633</v>
      </c>
      <c r="I855" s="6">
        <v>1.375</v>
      </c>
      <c r="J855" s="6">
        <v>25.968</v>
      </c>
      <c r="K855" s="6">
        <v>0</v>
      </c>
    </row>
    <row r="856" spans="1:11" ht="12" customHeight="1">
      <c r="A856" s="6">
        <v>18083</v>
      </c>
      <c r="B856" s="6" t="s">
        <v>1403</v>
      </c>
      <c r="C856" s="6" t="s">
        <v>837</v>
      </c>
      <c r="D856" s="6" t="s">
        <v>316</v>
      </c>
      <c r="E856" s="6" t="s">
        <v>193</v>
      </c>
      <c r="F856" s="6">
        <v>89</v>
      </c>
      <c r="G856" s="6">
        <v>1965</v>
      </c>
      <c r="H856" s="6">
        <v>647</v>
      </c>
      <c r="I856" s="6">
        <v>0.5</v>
      </c>
      <c r="J856" s="6">
        <v>8.798</v>
      </c>
      <c r="K856" s="6">
        <v>0</v>
      </c>
    </row>
    <row r="857" spans="1:11" ht="12" customHeight="1">
      <c r="A857" s="6">
        <v>19062</v>
      </c>
      <c r="B857" s="6" t="s">
        <v>1404</v>
      </c>
      <c r="C857" s="6" t="s">
        <v>880</v>
      </c>
      <c r="D857" s="6" t="s">
        <v>316</v>
      </c>
      <c r="E857" s="6" t="s">
        <v>653</v>
      </c>
      <c r="F857" s="6">
        <v>77</v>
      </c>
      <c r="G857" s="6">
        <v>1950</v>
      </c>
      <c r="H857" s="6">
        <v>367</v>
      </c>
      <c r="I857" s="6">
        <v>7.0640000000000001</v>
      </c>
      <c r="J857" s="6">
        <v>335.09699999999998</v>
      </c>
      <c r="K857" s="6">
        <v>119</v>
      </c>
    </row>
    <row r="858" spans="1:11" ht="12" customHeight="1">
      <c r="A858" s="6">
        <v>25075</v>
      </c>
      <c r="B858" s="6" t="s">
        <v>1405</v>
      </c>
      <c r="C858" s="6" t="s">
        <v>437</v>
      </c>
      <c r="E858" s="6" t="s">
        <v>520</v>
      </c>
      <c r="F858" s="6">
        <v>55</v>
      </c>
      <c r="G858" s="6">
        <v>1958</v>
      </c>
      <c r="H858" s="6">
        <v>210</v>
      </c>
      <c r="I858" s="6">
        <v>12.180999999999999</v>
      </c>
      <c r="J858" s="6">
        <v>993.04600000000005</v>
      </c>
      <c r="K858" s="6">
        <v>501</v>
      </c>
    </row>
    <row r="859" spans="1:11" ht="12" customHeight="1">
      <c r="A859" s="6">
        <v>16010</v>
      </c>
      <c r="B859" s="6" t="s">
        <v>1406</v>
      </c>
      <c r="C859" s="6" t="s">
        <v>951</v>
      </c>
      <c r="D859" s="6" t="s">
        <v>316</v>
      </c>
      <c r="E859" s="6" t="s">
        <v>138</v>
      </c>
      <c r="F859" s="6">
        <v>20</v>
      </c>
      <c r="G859" s="6">
        <v>1962</v>
      </c>
      <c r="H859" s="6">
        <v>173</v>
      </c>
      <c r="I859" s="6">
        <v>15.502000000000001</v>
      </c>
      <c r="J859" s="6">
        <v>1218.3119999999999</v>
      </c>
      <c r="K859" s="6">
        <v>497</v>
      </c>
    </row>
    <row r="860" spans="1:11" ht="12" customHeight="1">
      <c r="A860" s="6">
        <v>99600</v>
      </c>
      <c r="B860" s="6" t="s">
        <v>1407</v>
      </c>
      <c r="C860" s="6" t="s">
        <v>440</v>
      </c>
      <c r="E860" s="6" t="s">
        <v>232</v>
      </c>
      <c r="F860" s="6">
        <v>19</v>
      </c>
      <c r="G860" s="6">
        <v>1966</v>
      </c>
      <c r="H860" s="6">
        <v>326</v>
      </c>
      <c r="I860" s="6">
        <v>8.7810000000000006</v>
      </c>
      <c r="J860" s="6">
        <v>439.22699999999998</v>
      </c>
      <c r="K860" s="6">
        <v>137</v>
      </c>
    </row>
    <row r="861" spans="1:11" ht="12" customHeight="1">
      <c r="A861" s="6">
        <v>15080</v>
      </c>
      <c r="B861" s="6" t="s">
        <v>1408</v>
      </c>
      <c r="C861" s="6" t="s">
        <v>852</v>
      </c>
      <c r="E861" s="6" t="s">
        <v>556</v>
      </c>
      <c r="F861" s="6">
        <v>13</v>
      </c>
      <c r="G861" s="6">
        <v>1983</v>
      </c>
      <c r="H861" s="6">
        <v>603</v>
      </c>
      <c r="I861" s="6">
        <v>2</v>
      </c>
      <c r="J861" s="6">
        <v>47.088000000000001</v>
      </c>
      <c r="K861" s="6">
        <v>0</v>
      </c>
    </row>
    <row r="862" spans="1:11" ht="12" customHeight="1">
      <c r="A862" s="6">
        <v>97297</v>
      </c>
      <c r="B862" s="6" t="s">
        <v>1409</v>
      </c>
      <c r="C862" s="6" t="s">
        <v>482</v>
      </c>
      <c r="E862" s="6" t="s">
        <v>221</v>
      </c>
      <c r="F862" s="6">
        <v>17</v>
      </c>
      <c r="G862" s="6">
        <v>1959</v>
      </c>
      <c r="H862" s="6">
        <v>634</v>
      </c>
      <c r="I862" s="6">
        <v>1</v>
      </c>
      <c r="J862" s="6">
        <v>24.78</v>
      </c>
      <c r="K862" s="6">
        <v>0</v>
      </c>
    </row>
    <row r="863" spans="1:11" ht="12" customHeight="1">
      <c r="A863" s="6">
        <v>99537</v>
      </c>
      <c r="B863" s="6" t="s">
        <v>1409</v>
      </c>
      <c r="C863" s="6" t="s">
        <v>609</v>
      </c>
      <c r="E863" s="6" t="s">
        <v>221</v>
      </c>
      <c r="F863" s="6">
        <v>17</v>
      </c>
      <c r="G863" s="6">
        <v>1986</v>
      </c>
      <c r="H863" s="6">
        <v>897</v>
      </c>
      <c r="I863" s="6">
        <v>0</v>
      </c>
      <c r="J863" s="6">
        <v>0</v>
      </c>
      <c r="K863" s="6">
        <v>0</v>
      </c>
    </row>
    <row r="864" spans="1:11" ht="12" customHeight="1">
      <c r="A864" s="6">
        <v>21813</v>
      </c>
      <c r="B864" s="6" t="s">
        <v>1410</v>
      </c>
      <c r="C864" s="6" t="s">
        <v>443</v>
      </c>
      <c r="D864" s="6" t="s">
        <v>316</v>
      </c>
      <c r="E864" s="6" t="s">
        <v>221</v>
      </c>
      <c r="F864" s="6">
        <v>17</v>
      </c>
      <c r="G864" s="6">
        <v>1988</v>
      </c>
      <c r="H864" s="6">
        <v>308</v>
      </c>
      <c r="I864" s="6">
        <v>12.218999999999999</v>
      </c>
      <c r="J864" s="6">
        <v>504.12400000000002</v>
      </c>
      <c r="K864" s="6">
        <v>105</v>
      </c>
    </row>
    <row r="865" spans="1:11" ht="12" customHeight="1">
      <c r="A865" s="6">
        <v>22114</v>
      </c>
      <c r="B865" s="6" t="s">
        <v>1411</v>
      </c>
      <c r="C865" s="6" t="s">
        <v>478</v>
      </c>
      <c r="D865" s="6" t="s">
        <v>316</v>
      </c>
      <c r="E865" s="6" t="s">
        <v>488</v>
      </c>
      <c r="F865" s="6">
        <v>73</v>
      </c>
      <c r="G865" s="6">
        <v>1955</v>
      </c>
      <c r="H865" s="6">
        <v>412</v>
      </c>
      <c r="I865" s="6">
        <v>4.2839999999999998</v>
      </c>
      <c r="J865" s="6">
        <v>253.07499999999999</v>
      </c>
      <c r="K865" s="6">
        <v>45</v>
      </c>
    </row>
    <row r="866" spans="1:11" ht="12" customHeight="1">
      <c r="A866" s="6">
        <v>18109</v>
      </c>
      <c r="B866" s="6" t="s">
        <v>1412</v>
      </c>
      <c r="C866" s="6" t="s">
        <v>424</v>
      </c>
      <c r="E866" s="6" t="s">
        <v>721</v>
      </c>
      <c r="F866" s="6">
        <v>90</v>
      </c>
      <c r="G866" s="6">
        <v>1986</v>
      </c>
      <c r="H866" s="6">
        <v>49</v>
      </c>
      <c r="I866" s="6">
        <v>29.187999999999999</v>
      </c>
      <c r="J866" s="6">
        <v>2494.7280000000001</v>
      </c>
      <c r="K866" s="6">
        <v>1176</v>
      </c>
    </row>
    <row r="867" spans="1:11" ht="12" customHeight="1">
      <c r="A867" s="6">
        <v>20569</v>
      </c>
      <c r="B867" s="6" t="s">
        <v>1412</v>
      </c>
      <c r="C867" s="6" t="s">
        <v>1012</v>
      </c>
      <c r="E867" s="6" t="s">
        <v>721</v>
      </c>
      <c r="F867" s="6">
        <v>90</v>
      </c>
      <c r="G867" s="6">
        <v>1994</v>
      </c>
      <c r="H867" s="6">
        <v>536</v>
      </c>
      <c r="I867" s="6">
        <v>0.99199999999999999</v>
      </c>
      <c r="J867" s="6">
        <v>103.67</v>
      </c>
      <c r="K867" s="6">
        <v>57</v>
      </c>
    </row>
    <row r="868" spans="1:11" ht="12" customHeight="1">
      <c r="A868" s="6">
        <v>19058</v>
      </c>
      <c r="B868" s="6" t="s">
        <v>1413</v>
      </c>
      <c r="C868" s="6" t="s">
        <v>1414</v>
      </c>
      <c r="D868" s="6" t="s">
        <v>451</v>
      </c>
      <c r="E868" s="6" t="s">
        <v>721</v>
      </c>
      <c r="F868" s="6">
        <v>90</v>
      </c>
      <c r="G868" s="6">
        <v>2010</v>
      </c>
      <c r="H868" s="6">
        <v>200</v>
      </c>
      <c r="I868" s="6">
        <v>13.75</v>
      </c>
      <c r="J868" s="6">
        <v>1028.0260000000001</v>
      </c>
      <c r="K868" s="6">
        <v>366</v>
      </c>
    </row>
    <row r="869" spans="1:11" ht="12" customHeight="1">
      <c r="A869" s="6">
        <v>21071</v>
      </c>
      <c r="B869" s="6" t="s">
        <v>1415</v>
      </c>
      <c r="C869" s="6" t="s">
        <v>537</v>
      </c>
      <c r="D869" s="6" t="s">
        <v>451</v>
      </c>
      <c r="E869" s="6" t="s">
        <v>193</v>
      </c>
      <c r="F869" s="6">
        <v>89</v>
      </c>
      <c r="G869" s="6">
        <v>2010</v>
      </c>
      <c r="H869" s="6">
        <v>263</v>
      </c>
      <c r="I869" s="6">
        <v>8.9689999999999994</v>
      </c>
      <c r="J869" s="6">
        <v>655.923</v>
      </c>
      <c r="K869" s="6">
        <v>312</v>
      </c>
    </row>
    <row r="870" spans="1:11" ht="12" customHeight="1">
      <c r="A870" s="6">
        <v>18135</v>
      </c>
      <c r="B870" s="6" t="s">
        <v>1416</v>
      </c>
      <c r="C870" s="6" t="s">
        <v>524</v>
      </c>
      <c r="D870" s="6" t="s">
        <v>316</v>
      </c>
      <c r="E870" s="6" t="s">
        <v>229</v>
      </c>
      <c r="F870" s="6">
        <v>1</v>
      </c>
      <c r="G870" s="6">
        <v>1967</v>
      </c>
      <c r="H870" s="6">
        <v>514</v>
      </c>
      <c r="I870" s="6">
        <v>3.2509999999999999</v>
      </c>
      <c r="J870" s="6">
        <v>119.611</v>
      </c>
      <c r="K870" s="6">
        <v>0</v>
      </c>
    </row>
    <row r="871" spans="1:11" ht="12" customHeight="1">
      <c r="A871" s="6">
        <v>21050</v>
      </c>
      <c r="B871" s="6" t="s">
        <v>1417</v>
      </c>
      <c r="C871" s="6" t="s">
        <v>609</v>
      </c>
      <c r="E871" s="6" t="s">
        <v>235</v>
      </c>
      <c r="F871" s="6">
        <v>27</v>
      </c>
      <c r="G871" s="6">
        <v>1987</v>
      </c>
      <c r="H871" s="6">
        <v>285</v>
      </c>
      <c r="I871" s="6">
        <v>14.938000000000001</v>
      </c>
      <c r="J871" s="6">
        <v>563.88499999999999</v>
      </c>
      <c r="K871" s="6">
        <v>44</v>
      </c>
    </row>
    <row r="872" spans="1:11" ht="12" customHeight="1">
      <c r="A872" s="6">
        <v>96030</v>
      </c>
      <c r="B872" s="6" t="s">
        <v>1417</v>
      </c>
      <c r="C872" s="6" t="s">
        <v>422</v>
      </c>
      <c r="E872" s="6" t="s">
        <v>229</v>
      </c>
      <c r="F872" s="6">
        <v>1</v>
      </c>
      <c r="G872" s="6">
        <v>1950</v>
      </c>
      <c r="H872" s="6">
        <v>898</v>
      </c>
      <c r="I872" s="6">
        <v>0</v>
      </c>
      <c r="J872" s="6">
        <v>0</v>
      </c>
      <c r="K872" s="6">
        <v>0</v>
      </c>
    </row>
    <row r="873" spans="1:11" ht="12" customHeight="1">
      <c r="A873" s="6">
        <v>18061</v>
      </c>
      <c r="B873" s="6" t="s">
        <v>1418</v>
      </c>
      <c r="C873" s="6" t="s">
        <v>880</v>
      </c>
      <c r="D873" s="6" t="s">
        <v>316</v>
      </c>
      <c r="E873" s="6" t="s">
        <v>229</v>
      </c>
      <c r="F873" s="6">
        <v>1</v>
      </c>
      <c r="G873" s="6">
        <v>1957</v>
      </c>
      <c r="H873" s="6">
        <v>899</v>
      </c>
      <c r="I873" s="6">
        <v>0</v>
      </c>
      <c r="J873" s="6">
        <v>0</v>
      </c>
      <c r="K873" s="6">
        <v>0</v>
      </c>
    </row>
    <row r="874" spans="1:11" ht="12" customHeight="1">
      <c r="A874" s="6">
        <v>21037</v>
      </c>
      <c r="B874" s="6" t="s">
        <v>1419</v>
      </c>
      <c r="C874" s="6" t="s">
        <v>1420</v>
      </c>
      <c r="D874" s="6" t="s">
        <v>316</v>
      </c>
      <c r="E874" s="6" t="s">
        <v>721</v>
      </c>
      <c r="F874" s="6">
        <v>90</v>
      </c>
      <c r="G874" s="6">
        <v>1966</v>
      </c>
      <c r="H874" s="6">
        <v>104</v>
      </c>
      <c r="I874" s="6">
        <v>21.556000000000001</v>
      </c>
      <c r="J874" s="6">
        <v>1800.702</v>
      </c>
      <c r="K874" s="6">
        <v>784</v>
      </c>
    </row>
    <row r="875" spans="1:11" ht="12" customHeight="1">
      <c r="A875" s="6">
        <v>18052</v>
      </c>
      <c r="B875" s="6" t="s">
        <v>1421</v>
      </c>
      <c r="C875" s="6" t="s">
        <v>526</v>
      </c>
      <c r="E875" s="6" t="s">
        <v>174</v>
      </c>
      <c r="F875" s="6">
        <v>56</v>
      </c>
      <c r="G875" s="6">
        <v>1964</v>
      </c>
      <c r="H875" s="6">
        <v>410</v>
      </c>
      <c r="I875" s="6">
        <v>6.3440000000000003</v>
      </c>
      <c r="J875" s="6">
        <v>259.81599999999997</v>
      </c>
      <c r="K875" s="6">
        <v>33</v>
      </c>
    </row>
    <row r="876" spans="1:11" ht="12" customHeight="1">
      <c r="A876" s="6">
        <v>20526</v>
      </c>
      <c r="B876" s="6" t="s">
        <v>1422</v>
      </c>
      <c r="C876" s="6" t="s">
        <v>440</v>
      </c>
      <c r="E876" s="6" t="s">
        <v>253</v>
      </c>
      <c r="F876" s="6">
        <v>86</v>
      </c>
      <c r="G876" s="6">
        <v>1989</v>
      </c>
      <c r="H876" s="6">
        <v>900</v>
      </c>
      <c r="I876" s="6">
        <v>0</v>
      </c>
      <c r="J876" s="6">
        <v>0</v>
      </c>
      <c r="K876" s="6">
        <v>0</v>
      </c>
    </row>
    <row r="877" spans="1:11" ht="12" customHeight="1">
      <c r="A877" s="6">
        <v>23206</v>
      </c>
      <c r="B877" s="6" t="s">
        <v>1423</v>
      </c>
      <c r="C877" s="6" t="s">
        <v>492</v>
      </c>
      <c r="D877" s="6" t="s">
        <v>434</v>
      </c>
      <c r="E877" s="6" t="s">
        <v>435</v>
      </c>
      <c r="F877" s="6">
        <v>93</v>
      </c>
      <c r="G877" s="6">
        <v>2006</v>
      </c>
      <c r="H877" s="6">
        <v>901</v>
      </c>
      <c r="I877" s="6">
        <v>0</v>
      </c>
      <c r="J877" s="6">
        <v>0</v>
      </c>
      <c r="K877" s="6">
        <v>0</v>
      </c>
    </row>
    <row r="878" spans="1:11" ht="12" customHeight="1">
      <c r="A878" s="6">
        <v>17081</v>
      </c>
      <c r="B878" s="6" t="s">
        <v>1424</v>
      </c>
      <c r="C878" s="6" t="s">
        <v>592</v>
      </c>
      <c r="D878" s="6" t="s">
        <v>316</v>
      </c>
      <c r="E878" s="6" t="s">
        <v>299</v>
      </c>
      <c r="F878" s="6">
        <v>42</v>
      </c>
      <c r="G878" s="6">
        <v>1945</v>
      </c>
      <c r="H878" s="6">
        <v>561</v>
      </c>
      <c r="I878" s="6">
        <v>2.5</v>
      </c>
      <c r="J878" s="6">
        <v>79.575000000000003</v>
      </c>
      <c r="K878" s="6">
        <v>0</v>
      </c>
    </row>
    <row r="879" spans="1:11" ht="12" customHeight="1">
      <c r="A879" s="6">
        <v>23207</v>
      </c>
      <c r="B879" s="6" t="s">
        <v>1425</v>
      </c>
      <c r="C879" s="6" t="s">
        <v>895</v>
      </c>
      <c r="D879" s="6" t="s">
        <v>434</v>
      </c>
      <c r="E879" s="6" t="s">
        <v>435</v>
      </c>
      <c r="F879" s="6">
        <v>93</v>
      </c>
      <c r="G879" s="6">
        <v>2007</v>
      </c>
      <c r="H879" s="6">
        <v>902</v>
      </c>
      <c r="I879" s="6">
        <v>0</v>
      </c>
      <c r="J879" s="6">
        <v>0</v>
      </c>
      <c r="K879" s="6">
        <v>0</v>
      </c>
    </row>
    <row r="880" spans="1:11" ht="12" customHeight="1">
      <c r="A880" s="6">
        <v>15075</v>
      </c>
      <c r="B880" s="6" t="s">
        <v>1426</v>
      </c>
      <c r="C880" s="6" t="s">
        <v>497</v>
      </c>
      <c r="D880" s="6" t="s">
        <v>316</v>
      </c>
      <c r="E880" s="6" t="s">
        <v>229</v>
      </c>
      <c r="F880" s="6">
        <v>1</v>
      </c>
      <c r="G880" s="6">
        <v>1956</v>
      </c>
      <c r="H880" s="6">
        <v>392</v>
      </c>
      <c r="I880" s="6">
        <v>5.9390000000000001</v>
      </c>
      <c r="J880" s="6">
        <v>288.637</v>
      </c>
      <c r="K880" s="6">
        <v>49</v>
      </c>
    </row>
    <row r="881" spans="1:11" ht="12" customHeight="1">
      <c r="A881" s="6">
        <v>98352</v>
      </c>
      <c r="B881" s="6" t="s">
        <v>1427</v>
      </c>
      <c r="C881" s="6" t="s">
        <v>550</v>
      </c>
      <c r="D881" s="6" t="s">
        <v>316</v>
      </c>
      <c r="E881" s="6" t="s">
        <v>229</v>
      </c>
      <c r="F881" s="6">
        <v>1</v>
      </c>
      <c r="G881" s="6">
        <v>1967</v>
      </c>
      <c r="H881" s="6">
        <v>571</v>
      </c>
      <c r="I881" s="6">
        <v>1.9530000000000001</v>
      </c>
      <c r="J881" s="6">
        <v>74.340999999999994</v>
      </c>
      <c r="K881" s="6">
        <v>0</v>
      </c>
    </row>
    <row r="882" spans="1:11" ht="12" customHeight="1">
      <c r="A882" s="6">
        <v>96205</v>
      </c>
      <c r="B882" s="6" t="s">
        <v>1428</v>
      </c>
      <c r="C882" s="6" t="s">
        <v>492</v>
      </c>
      <c r="E882" s="6" t="s">
        <v>229</v>
      </c>
      <c r="F882" s="6">
        <v>1</v>
      </c>
      <c r="G882" s="6">
        <v>1953</v>
      </c>
      <c r="H882" s="6">
        <v>494</v>
      </c>
      <c r="I882" s="6">
        <v>3.9390000000000001</v>
      </c>
      <c r="J882" s="6">
        <v>144.28</v>
      </c>
      <c r="K882" s="6">
        <v>0</v>
      </c>
    </row>
    <row r="883" spans="1:11" ht="12" customHeight="1">
      <c r="A883" s="6">
        <v>22119</v>
      </c>
      <c r="B883" s="6" t="s">
        <v>1429</v>
      </c>
      <c r="C883" s="6" t="s">
        <v>688</v>
      </c>
      <c r="D883" s="6" t="s">
        <v>316</v>
      </c>
      <c r="E883" s="6" t="s">
        <v>253</v>
      </c>
      <c r="F883" s="6">
        <v>86</v>
      </c>
      <c r="G883" s="6">
        <v>1998</v>
      </c>
      <c r="H883" s="6">
        <v>130</v>
      </c>
      <c r="I883" s="6">
        <v>23.344999999999999</v>
      </c>
      <c r="J883" s="6">
        <v>1570.0650000000001</v>
      </c>
      <c r="K883" s="6">
        <v>519</v>
      </c>
    </row>
    <row r="884" spans="1:11" ht="12" customHeight="1">
      <c r="A884" s="6">
        <v>20527</v>
      </c>
      <c r="B884" s="6" t="s">
        <v>1430</v>
      </c>
      <c r="C884" s="6" t="s">
        <v>499</v>
      </c>
      <c r="E884" s="6" t="s">
        <v>253</v>
      </c>
      <c r="F884" s="6">
        <v>86</v>
      </c>
      <c r="G884" s="6">
        <v>1989</v>
      </c>
      <c r="H884" s="6">
        <v>188</v>
      </c>
      <c r="I884" s="6">
        <v>21.001000000000001</v>
      </c>
      <c r="J884" s="6">
        <v>1100.893</v>
      </c>
      <c r="K884" s="6">
        <v>144</v>
      </c>
    </row>
    <row r="885" spans="1:11" ht="12" customHeight="1">
      <c r="A885" s="6">
        <v>21819</v>
      </c>
      <c r="B885" s="6" t="s">
        <v>1431</v>
      </c>
      <c r="C885" s="6" t="s">
        <v>514</v>
      </c>
      <c r="E885" s="6" t="s">
        <v>361</v>
      </c>
      <c r="F885" s="6">
        <v>36</v>
      </c>
      <c r="G885" s="6">
        <v>1952</v>
      </c>
      <c r="H885" s="6">
        <v>903</v>
      </c>
      <c r="I885" s="6">
        <v>0</v>
      </c>
      <c r="J885" s="6">
        <v>0</v>
      </c>
      <c r="K885" s="6">
        <v>0</v>
      </c>
    </row>
    <row r="886" spans="1:11" ht="12" customHeight="1">
      <c r="A886" s="6">
        <v>17093</v>
      </c>
      <c r="B886" s="6" t="s">
        <v>1432</v>
      </c>
      <c r="C886" s="6" t="s">
        <v>1354</v>
      </c>
      <c r="E886" s="6" t="s">
        <v>144</v>
      </c>
      <c r="F886" s="6">
        <v>63</v>
      </c>
      <c r="G886" s="6">
        <v>1967</v>
      </c>
      <c r="H886" s="6">
        <v>168</v>
      </c>
      <c r="I886" s="6">
        <v>29.25</v>
      </c>
      <c r="J886" s="6">
        <v>1256.3920000000001</v>
      </c>
      <c r="K886" s="6">
        <v>359</v>
      </c>
    </row>
    <row r="887" spans="1:11" ht="12" customHeight="1">
      <c r="A887" s="6">
        <v>10047</v>
      </c>
      <c r="B887" s="6" t="s">
        <v>1432</v>
      </c>
      <c r="C887" s="6" t="s">
        <v>548</v>
      </c>
      <c r="E887" s="6" t="s">
        <v>144</v>
      </c>
      <c r="F887" s="6">
        <v>63</v>
      </c>
      <c r="G887" s="6">
        <v>1997</v>
      </c>
      <c r="H887" s="6">
        <v>162</v>
      </c>
      <c r="I887" s="6">
        <v>36.625</v>
      </c>
      <c r="J887" s="6">
        <v>1304.6690000000001</v>
      </c>
      <c r="K887" s="6">
        <v>138</v>
      </c>
    </row>
    <row r="888" spans="1:11" ht="12" customHeight="1">
      <c r="A888" s="6">
        <v>22147</v>
      </c>
      <c r="B888" s="6" t="s">
        <v>1433</v>
      </c>
      <c r="C888" s="6" t="s">
        <v>532</v>
      </c>
      <c r="E888" s="6" t="s">
        <v>765</v>
      </c>
      <c r="F888" s="6">
        <v>98</v>
      </c>
      <c r="G888" s="6">
        <v>1958</v>
      </c>
      <c r="H888" s="6">
        <v>298</v>
      </c>
      <c r="I888" s="6">
        <v>11.077999999999999</v>
      </c>
      <c r="J888" s="6">
        <v>511.95400000000001</v>
      </c>
      <c r="K888" s="6">
        <v>138</v>
      </c>
    </row>
    <row r="889" spans="1:11" ht="12" customHeight="1">
      <c r="A889" s="6">
        <v>22149</v>
      </c>
      <c r="B889" s="6" t="s">
        <v>1434</v>
      </c>
      <c r="C889" s="6" t="s">
        <v>951</v>
      </c>
      <c r="D889" s="6" t="s">
        <v>316</v>
      </c>
      <c r="E889" s="6" t="s">
        <v>765</v>
      </c>
      <c r="F889" s="6">
        <v>98</v>
      </c>
      <c r="G889" s="6">
        <v>1964</v>
      </c>
      <c r="H889" s="6">
        <v>359</v>
      </c>
      <c r="I889" s="6">
        <v>9</v>
      </c>
      <c r="J889" s="6">
        <v>352.358</v>
      </c>
      <c r="K889" s="6">
        <v>66</v>
      </c>
    </row>
    <row r="890" spans="1:11" ht="12" customHeight="1">
      <c r="A890" s="6">
        <v>13053</v>
      </c>
      <c r="B890" s="6" t="s">
        <v>1435</v>
      </c>
      <c r="C890" s="6" t="s">
        <v>592</v>
      </c>
      <c r="D890" s="6" t="s">
        <v>316</v>
      </c>
      <c r="E890" s="6" t="s">
        <v>456</v>
      </c>
      <c r="F890" s="6">
        <v>70</v>
      </c>
      <c r="G890" s="6">
        <v>1946</v>
      </c>
      <c r="H890" s="6">
        <v>904</v>
      </c>
      <c r="I890" s="6">
        <v>0</v>
      </c>
      <c r="J890" s="6">
        <v>0</v>
      </c>
      <c r="K890" s="6">
        <v>0</v>
      </c>
    </row>
    <row r="891" spans="1:11" ht="12" customHeight="1">
      <c r="A891" s="6">
        <v>97272</v>
      </c>
      <c r="B891" s="6" t="s">
        <v>1436</v>
      </c>
      <c r="C891" s="6" t="s">
        <v>499</v>
      </c>
      <c r="E891" s="6" t="s">
        <v>229</v>
      </c>
      <c r="F891" s="6">
        <v>1</v>
      </c>
      <c r="G891" s="6">
        <v>1957</v>
      </c>
      <c r="H891" s="6">
        <v>322</v>
      </c>
      <c r="I891" s="6">
        <v>5.7510000000000003</v>
      </c>
      <c r="J891" s="6">
        <v>444.84899999999999</v>
      </c>
      <c r="K891" s="6">
        <v>197</v>
      </c>
    </row>
    <row r="892" spans="1:11" ht="12" customHeight="1">
      <c r="A892" s="6">
        <v>22124</v>
      </c>
      <c r="B892" s="6" t="s">
        <v>1437</v>
      </c>
      <c r="C892" s="6" t="s">
        <v>1438</v>
      </c>
      <c r="D892" s="6" t="s">
        <v>316</v>
      </c>
      <c r="E892" s="6" t="s">
        <v>460</v>
      </c>
      <c r="F892" s="6">
        <v>95</v>
      </c>
      <c r="G892" s="6">
        <v>1968</v>
      </c>
      <c r="H892" s="6">
        <v>574</v>
      </c>
      <c r="I892" s="6">
        <v>0.96899999999999997</v>
      </c>
      <c r="J892" s="6">
        <v>65.944000000000003</v>
      </c>
      <c r="K892" s="6">
        <v>18</v>
      </c>
    </row>
    <row r="893" spans="1:11" ht="12" customHeight="1">
      <c r="A893" s="6">
        <v>15068</v>
      </c>
      <c r="B893" s="6" t="s">
        <v>1439</v>
      </c>
      <c r="C893" s="6" t="s">
        <v>852</v>
      </c>
      <c r="E893" s="6" t="s">
        <v>502</v>
      </c>
      <c r="F893" s="6">
        <v>24</v>
      </c>
      <c r="G893" s="6">
        <v>1956</v>
      </c>
      <c r="H893" s="6">
        <v>77</v>
      </c>
      <c r="I893" s="6">
        <v>27.876000000000001</v>
      </c>
      <c r="J893" s="6">
        <v>2081.9699999999998</v>
      </c>
      <c r="K893" s="6">
        <v>800</v>
      </c>
    </row>
    <row r="894" spans="1:11" ht="12" customHeight="1">
      <c r="A894" s="6">
        <v>19005</v>
      </c>
      <c r="B894" s="6" t="s">
        <v>1440</v>
      </c>
      <c r="C894" s="6" t="s">
        <v>563</v>
      </c>
      <c r="E894" s="6" t="s">
        <v>515</v>
      </c>
      <c r="F894" s="6">
        <v>28</v>
      </c>
      <c r="G894" s="6">
        <v>1959</v>
      </c>
      <c r="H894" s="6">
        <v>621</v>
      </c>
      <c r="I894" s="6">
        <v>1.1879999999999999</v>
      </c>
      <c r="J894" s="6">
        <v>37.171999999999997</v>
      </c>
      <c r="K894" s="6">
        <v>0</v>
      </c>
    </row>
    <row r="895" spans="1:11" ht="12" customHeight="1">
      <c r="A895" s="6">
        <v>97262</v>
      </c>
      <c r="B895" s="6" t="s">
        <v>1441</v>
      </c>
      <c r="C895" s="6" t="s">
        <v>1240</v>
      </c>
      <c r="D895" s="6" t="s">
        <v>316</v>
      </c>
      <c r="E895" s="6" t="s">
        <v>515</v>
      </c>
      <c r="F895" s="6">
        <v>28</v>
      </c>
      <c r="G895" s="6">
        <v>1964</v>
      </c>
      <c r="H895" s="6">
        <v>552</v>
      </c>
      <c r="I895" s="6">
        <v>2.6880000000000002</v>
      </c>
      <c r="J895" s="6">
        <v>86.444000000000003</v>
      </c>
      <c r="K895" s="6">
        <v>0</v>
      </c>
    </row>
    <row r="896" spans="1:11" ht="12" customHeight="1">
      <c r="A896" s="6">
        <v>21820</v>
      </c>
      <c r="B896" s="6" t="s">
        <v>1442</v>
      </c>
      <c r="C896" s="6" t="s">
        <v>470</v>
      </c>
      <c r="E896" s="6" t="s">
        <v>361</v>
      </c>
      <c r="F896" s="6">
        <v>36</v>
      </c>
      <c r="G896" s="6">
        <v>1959</v>
      </c>
      <c r="H896" s="6">
        <v>905</v>
      </c>
      <c r="I896" s="6">
        <v>0</v>
      </c>
      <c r="J896" s="6">
        <v>0</v>
      </c>
      <c r="K896" s="6">
        <v>0</v>
      </c>
    </row>
    <row r="897" spans="1:11" ht="12" customHeight="1">
      <c r="A897" s="6">
        <v>19044</v>
      </c>
      <c r="B897" s="6" t="s">
        <v>1443</v>
      </c>
      <c r="C897" s="6" t="s">
        <v>1108</v>
      </c>
      <c r="D897" s="6" t="s">
        <v>434</v>
      </c>
      <c r="E897" s="6" t="s">
        <v>229</v>
      </c>
      <c r="F897" s="6">
        <v>1</v>
      </c>
      <c r="G897" s="6">
        <v>2007</v>
      </c>
      <c r="H897" s="6">
        <v>316</v>
      </c>
      <c r="I897" s="6">
        <v>7.11</v>
      </c>
      <c r="J897" s="6">
        <v>465.77800000000002</v>
      </c>
      <c r="K897" s="6">
        <v>170</v>
      </c>
    </row>
    <row r="898" spans="1:11" ht="12" customHeight="1">
      <c r="A898" s="6">
        <v>20575</v>
      </c>
      <c r="B898" s="6" t="s">
        <v>1444</v>
      </c>
      <c r="C898" s="6" t="s">
        <v>911</v>
      </c>
      <c r="D898" s="6" t="s">
        <v>451</v>
      </c>
      <c r="E898" s="6" t="s">
        <v>229</v>
      </c>
      <c r="F898" s="6">
        <v>1</v>
      </c>
      <c r="G898" s="6">
        <v>2009</v>
      </c>
      <c r="H898" s="6">
        <v>461</v>
      </c>
      <c r="I898" s="6">
        <v>4.141</v>
      </c>
      <c r="J898" s="6">
        <v>175.42599999999999</v>
      </c>
      <c r="K898" s="6">
        <v>25</v>
      </c>
    </row>
    <row r="899" spans="1:11" ht="12" customHeight="1">
      <c r="A899" s="6">
        <v>15026</v>
      </c>
      <c r="B899" s="6" t="s">
        <v>1445</v>
      </c>
      <c r="C899" s="6" t="s">
        <v>482</v>
      </c>
      <c r="E899" s="6" t="s">
        <v>134</v>
      </c>
      <c r="F899" s="6">
        <v>64</v>
      </c>
      <c r="G899" s="6">
        <v>1964</v>
      </c>
      <c r="H899" s="6">
        <v>625</v>
      </c>
      <c r="I899" s="6">
        <v>0.75</v>
      </c>
      <c r="J899" s="6">
        <v>33.383000000000003</v>
      </c>
      <c r="K899" s="6">
        <v>0</v>
      </c>
    </row>
    <row r="900" spans="1:11" ht="12" customHeight="1">
      <c r="A900" s="6">
        <v>98369</v>
      </c>
      <c r="B900" s="6" t="s">
        <v>1446</v>
      </c>
      <c r="C900" s="6" t="s">
        <v>536</v>
      </c>
      <c r="D900" s="6" t="s">
        <v>316</v>
      </c>
      <c r="E900" s="6" t="s">
        <v>515</v>
      </c>
      <c r="F900" s="6">
        <v>28</v>
      </c>
      <c r="G900" s="6">
        <v>1957</v>
      </c>
      <c r="H900" s="6">
        <v>557</v>
      </c>
      <c r="I900" s="6">
        <v>2.375</v>
      </c>
      <c r="J900" s="6">
        <v>83.665000000000006</v>
      </c>
      <c r="K900" s="6">
        <v>0</v>
      </c>
    </row>
    <row r="901" spans="1:11" ht="12" customHeight="1">
      <c r="A901" s="6">
        <v>24275</v>
      </c>
      <c r="B901" s="6" t="s">
        <v>1447</v>
      </c>
      <c r="C901" s="6" t="s">
        <v>548</v>
      </c>
      <c r="E901" s="6" t="s">
        <v>393</v>
      </c>
      <c r="F901" s="6">
        <v>52</v>
      </c>
      <c r="G901" s="6">
        <v>1963</v>
      </c>
      <c r="H901" s="6">
        <v>470</v>
      </c>
      <c r="I901" s="6">
        <v>4.5</v>
      </c>
      <c r="J901" s="6">
        <v>169.745</v>
      </c>
      <c r="K901" s="6">
        <v>0</v>
      </c>
    </row>
    <row r="902" spans="1:11" ht="12" customHeight="1">
      <c r="A902" s="6">
        <v>27080</v>
      </c>
      <c r="B902" s="6" t="s">
        <v>1448</v>
      </c>
      <c r="C902" s="6" t="s">
        <v>427</v>
      </c>
      <c r="E902" s="6" t="s">
        <v>653</v>
      </c>
      <c r="F902" s="6">
        <v>77</v>
      </c>
      <c r="G902" s="6">
        <v>1970</v>
      </c>
      <c r="H902" s="6">
        <v>565</v>
      </c>
      <c r="I902" s="6">
        <v>1.75</v>
      </c>
      <c r="J902" s="6">
        <v>77.947000000000003</v>
      </c>
      <c r="K902" s="6">
        <v>0</v>
      </c>
    </row>
    <row r="903" spans="1:11" ht="12" customHeight="1">
      <c r="A903" s="6">
        <v>22180</v>
      </c>
      <c r="B903" s="6" t="s">
        <v>1449</v>
      </c>
      <c r="C903" s="6" t="s">
        <v>599</v>
      </c>
      <c r="D903" s="6" t="s">
        <v>434</v>
      </c>
      <c r="E903" s="6" t="s">
        <v>493</v>
      </c>
      <c r="F903" s="6">
        <v>16</v>
      </c>
      <c r="G903" s="6">
        <v>2007</v>
      </c>
      <c r="H903" s="6">
        <v>452</v>
      </c>
      <c r="I903" s="6">
        <v>5.22</v>
      </c>
      <c r="J903" s="6">
        <v>192.922</v>
      </c>
      <c r="K903" s="6">
        <v>0</v>
      </c>
    </row>
    <row r="904" spans="1:11" ht="12" customHeight="1">
      <c r="A904" s="6">
        <v>21047</v>
      </c>
      <c r="B904" s="6" t="s">
        <v>1450</v>
      </c>
      <c r="C904" s="6" t="s">
        <v>624</v>
      </c>
      <c r="E904" s="6" t="s">
        <v>235</v>
      </c>
      <c r="F904" s="6">
        <v>27</v>
      </c>
      <c r="G904" s="6">
        <v>1994</v>
      </c>
      <c r="H904" s="6">
        <v>588</v>
      </c>
      <c r="I904" s="6">
        <v>2.25</v>
      </c>
      <c r="J904" s="6">
        <v>54.429000000000002</v>
      </c>
      <c r="K904" s="6">
        <v>0</v>
      </c>
    </row>
    <row r="905" spans="1:11" ht="12" customHeight="1">
      <c r="A905" s="6">
        <v>23086</v>
      </c>
      <c r="B905" s="6" t="s">
        <v>1451</v>
      </c>
      <c r="C905" s="6" t="s">
        <v>440</v>
      </c>
      <c r="E905" s="6" t="s">
        <v>375</v>
      </c>
      <c r="F905" s="6">
        <v>43</v>
      </c>
      <c r="G905" s="6">
        <v>1955</v>
      </c>
      <c r="H905" s="6">
        <v>189</v>
      </c>
      <c r="I905" s="6">
        <v>10.875999999999999</v>
      </c>
      <c r="J905" s="6">
        <v>1092.1980000000001</v>
      </c>
      <c r="K905" s="6">
        <v>552</v>
      </c>
    </row>
    <row r="906" spans="1:11" ht="12" customHeight="1">
      <c r="A906" s="6">
        <v>26010</v>
      </c>
      <c r="B906" s="6" t="s">
        <v>1452</v>
      </c>
      <c r="C906" s="6" t="s">
        <v>482</v>
      </c>
      <c r="E906" s="6" t="s">
        <v>229</v>
      </c>
      <c r="F906" s="6">
        <v>1</v>
      </c>
      <c r="G906" s="6">
        <v>1953</v>
      </c>
      <c r="H906" s="6">
        <v>80</v>
      </c>
      <c r="I906" s="6">
        <v>27.626000000000001</v>
      </c>
      <c r="J906" s="6">
        <v>2071.1559999999999</v>
      </c>
      <c r="K906" s="6">
        <v>917</v>
      </c>
    </row>
    <row r="907" spans="1:11" ht="12" customHeight="1">
      <c r="A907" s="6">
        <v>14022</v>
      </c>
      <c r="B907" s="6" t="s">
        <v>1453</v>
      </c>
      <c r="C907" s="6" t="s">
        <v>536</v>
      </c>
      <c r="D907" s="6" t="s">
        <v>316</v>
      </c>
      <c r="E907" s="6" t="s">
        <v>520</v>
      </c>
      <c r="F907" s="6">
        <v>55</v>
      </c>
      <c r="G907" s="6">
        <v>1985</v>
      </c>
      <c r="H907" s="6">
        <v>906</v>
      </c>
      <c r="I907" s="6">
        <v>0</v>
      </c>
      <c r="J907" s="6">
        <v>0</v>
      </c>
      <c r="K907" s="6">
        <v>0</v>
      </c>
    </row>
    <row r="908" spans="1:11" ht="12" customHeight="1">
      <c r="A908" s="6">
        <v>28009</v>
      </c>
      <c r="B908" s="6" t="s">
        <v>1453</v>
      </c>
      <c r="C908" s="6" t="s">
        <v>1104</v>
      </c>
      <c r="D908" s="6" t="s">
        <v>316</v>
      </c>
      <c r="E908" s="6" t="s">
        <v>229</v>
      </c>
      <c r="F908" s="6">
        <v>1</v>
      </c>
      <c r="G908" s="6">
        <v>1955</v>
      </c>
      <c r="H908" s="6">
        <v>542</v>
      </c>
      <c r="I908" s="6">
        <v>2.641</v>
      </c>
      <c r="J908" s="6">
        <v>97.281999999999996</v>
      </c>
      <c r="K908" s="6">
        <v>0</v>
      </c>
    </row>
    <row r="909" spans="1:11" ht="12" customHeight="1">
      <c r="A909" s="6">
        <v>16066</v>
      </c>
      <c r="B909" s="6" t="s">
        <v>1454</v>
      </c>
      <c r="C909" s="6" t="s">
        <v>1455</v>
      </c>
      <c r="D909" s="6" t="s">
        <v>316</v>
      </c>
      <c r="E909" s="6" t="s">
        <v>456</v>
      </c>
      <c r="F909" s="6">
        <v>70</v>
      </c>
      <c r="G909" s="6">
        <v>1945</v>
      </c>
      <c r="H909" s="6">
        <v>907</v>
      </c>
      <c r="I909" s="6">
        <v>0</v>
      </c>
      <c r="J909" s="6">
        <v>0</v>
      </c>
      <c r="K909" s="6">
        <v>0</v>
      </c>
    </row>
    <row r="910" spans="1:11" ht="12" customHeight="1">
      <c r="A910" s="6">
        <v>20509</v>
      </c>
      <c r="B910" s="6" t="s">
        <v>1456</v>
      </c>
      <c r="C910" s="6" t="s">
        <v>852</v>
      </c>
      <c r="E910" s="6" t="s">
        <v>704</v>
      </c>
      <c r="F910" s="6">
        <v>45</v>
      </c>
      <c r="G910" s="6">
        <v>1971</v>
      </c>
      <c r="H910" s="6">
        <v>372</v>
      </c>
      <c r="I910" s="6">
        <v>9.3439999999999994</v>
      </c>
      <c r="J910" s="6">
        <v>330.19799999999998</v>
      </c>
      <c r="K910" s="6">
        <v>30</v>
      </c>
    </row>
    <row r="911" spans="1:11" ht="12" customHeight="1">
      <c r="A911" s="6">
        <v>19031</v>
      </c>
      <c r="B911" s="6" t="s">
        <v>1457</v>
      </c>
      <c r="C911" s="6" t="s">
        <v>638</v>
      </c>
      <c r="E911" s="6" t="s">
        <v>169</v>
      </c>
      <c r="F911" s="6">
        <v>69</v>
      </c>
      <c r="G911" s="6">
        <v>2003</v>
      </c>
      <c r="H911" s="6">
        <v>370</v>
      </c>
      <c r="I911" s="6">
        <v>4.2830000000000004</v>
      </c>
      <c r="J911" s="6">
        <v>333.29199999999997</v>
      </c>
      <c r="K911" s="6">
        <v>179</v>
      </c>
    </row>
    <row r="912" spans="1:11" ht="12" customHeight="1">
      <c r="A912" s="6">
        <v>16135</v>
      </c>
      <c r="B912" s="6" t="s">
        <v>1458</v>
      </c>
      <c r="C912" s="6" t="s">
        <v>1414</v>
      </c>
      <c r="D912" s="6" t="s">
        <v>451</v>
      </c>
      <c r="E912" s="6" t="s">
        <v>476</v>
      </c>
      <c r="F912" s="6">
        <v>2</v>
      </c>
      <c r="G912" s="6">
        <v>2007</v>
      </c>
      <c r="H912" s="6">
        <v>968</v>
      </c>
      <c r="I912" s="6">
        <v>0</v>
      </c>
      <c r="J912" s="6">
        <v>0</v>
      </c>
      <c r="K912" s="6">
        <v>0</v>
      </c>
    </row>
    <row r="913" spans="1:11" ht="12" customHeight="1">
      <c r="A913" s="6">
        <v>16134</v>
      </c>
      <c r="B913" s="6" t="s">
        <v>1458</v>
      </c>
      <c r="C913" s="6" t="s">
        <v>495</v>
      </c>
      <c r="D913" s="6" t="s">
        <v>451</v>
      </c>
      <c r="E913" s="6" t="s">
        <v>476</v>
      </c>
      <c r="F913" s="6">
        <v>2</v>
      </c>
      <c r="G913" s="6">
        <v>2004</v>
      </c>
      <c r="H913" s="6">
        <v>967</v>
      </c>
      <c r="I913" s="6">
        <v>0</v>
      </c>
      <c r="J913" s="6">
        <v>0</v>
      </c>
      <c r="K913" s="6">
        <v>0</v>
      </c>
    </row>
    <row r="914" spans="1:11" ht="12" customHeight="1">
      <c r="A914" s="6">
        <v>20505</v>
      </c>
      <c r="B914" s="6" t="s">
        <v>1374</v>
      </c>
      <c r="C914" s="6" t="s">
        <v>728</v>
      </c>
      <c r="D914" s="6" t="s">
        <v>451</v>
      </c>
      <c r="E914" s="6" t="s">
        <v>138</v>
      </c>
      <c r="F914" s="6">
        <v>20</v>
      </c>
      <c r="G914" s="6">
        <v>2006</v>
      </c>
      <c r="H914" s="6">
        <v>575</v>
      </c>
      <c r="I914" s="6">
        <v>1.157</v>
      </c>
      <c r="J914" s="6">
        <v>49.502000000000002</v>
      </c>
      <c r="K914" s="6">
        <v>0</v>
      </c>
    </row>
    <row r="915" spans="1:11" ht="12" customHeight="1">
      <c r="A915" s="6">
        <v>10175</v>
      </c>
      <c r="B915" s="6" t="s">
        <v>1375</v>
      </c>
      <c r="C915" s="6" t="s">
        <v>609</v>
      </c>
      <c r="E915" s="6" t="s">
        <v>138</v>
      </c>
      <c r="F915" s="6">
        <v>20</v>
      </c>
      <c r="G915" s="6">
        <v>1979</v>
      </c>
      <c r="H915" s="6">
        <v>420</v>
      </c>
      <c r="I915" s="6">
        <v>3.4380000000000002</v>
      </c>
      <c r="J915" s="6">
        <v>161.67400000000001</v>
      </c>
      <c r="K915" s="6">
        <v>0</v>
      </c>
    </row>
    <row r="916" spans="1:11" ht="12" customHeight="1">
      <c r="A916" s="6">
        <v>15058</v>
      </c>
      <c r="B916" s="6" t="s">
        <v>1375</v>
      </c>
      <c r="C916" s="6" t="s">
        <v>1459</v>
      </c>
      <c r="D916" s="6" t="s">
        <v>434</v>
      </c>
      <c r="E916" s="6" t="s">
        <v>138</v>
      </c>
      <c r="F916" s="6">
        <v>20</v>
      </c>
      <c r="G916" s="6">
        <v>2004</v>
      </c>
      <c r="H916" s="6">
        <v>12</v>
      </c>
      <c r="I916" s="6">
        <v>40.625</v>
      </c>
      <c r="J916" s="6">
        <v>2692.9630000000002</v>
      </c>
      <c r="K916" s="6">
        <v>1161</v>
      </c>
    </row>
    <row r="917" spans="1:11" ht="12" customHeight="1">
      <c r="A917" s="6">
        <v>17100</v>
      </c>
      <c r="B917" s="6" t="s">
        <v>1460</v>
      </c>
      <c r="C917" s="6" t="s">
        <v>809</v>
      </c>
      <c r="D917" s="6" t="s">
        <v>316</v>
      </c>
      <c r="E917" s="6" t="s">
        <v>253</v>
      </c>
      <c r="F917" s="6">
        <v>86</v>
      </c>
      <c r="G917" s="6">
        <v>1989</v>
      </c>
      <c r="H917" s="6">
        <v>969</v>
      </c>
      <c r="I917" s="6">
        <v>0</v>
      </c>
      <c r="J917" s="6">
        <v>0</v>
      </c>
      <c r="K917" s="6">
        <v>0</v>
      </c>
    </row>
    <row r="918" spans="1:11" ht="12" customHeight="1">
      <c r="A918" s="6">
        <v>19050</v>
      </c>
      <c r="B918" s="6" t="s">
        <v>1377</v>
      </c>
      <c r="C918" s="6" t="s">
        <v>416</v>
      </c>
      <c r="D918" s="6" t="s">
        <v>316</v>
      </c>
      <c r="E918" s="6" t="s">
        <v>253</v>
      </c>
      <c r="F918" s="6">
        <v>86</v>
      </c>
      <c r="G918" s="6">
        <v>1992</v>
      </c>
      <c r="H918" s="6">
        <v>970</v>
      </c>
      <c r="I918" s="6">
        <v>0</v>
      </c>
      <c r="J918" s="6">
        <v>0</v>
      </c>
      <c r="K918" s="6">
        <v>0</v>
      </c>
    </row>
    <row r="919" spans="1:11" ht="12" customHeight="1">
      <c r="A919" s="6">
        <v>10098</v>
      </c>
      <c r="B919" s="6" t="s">
        <v>1378</v>
      </c>
      <c r="C919" s="6" t="s">
        <v>1379</v>
      </c>
      <c r="E919" s="6" t="s">
        <v>169</v>
      </c>
      <c r="F919" s="6">
        <v>69</v>
      </c>
      <c r="G919" s="6">
        <v>1959</v>
      </c>
      <c r="H919" s="6">
        <v>971</v>
      </c>
      <c r="I919" s="6">
        <v>0</v>
      </c>
      <c r="J919" s="6">
        <v>0</v>
      </c>
      <c r="K919" s="6">
        <v>0</v>
      </c>
    </row>
    <row r="920" spans="1:11" ht="12" customHeight="1">
      <c r="A920" s="6">
        <v>17052</v>
      </c>
      <c r="B920" s="6" t="s">
        <v>1380</v>
      </c>
      <c r="C920" s="6" t="s">
        <v>424</v>
      </c>
      <c r="E920" s="6" t="s">
        <v>253</v>
      </c>
      <c r="F920" s="6">
        <v>86</v>
      </c>
      <c r="G920" s="6">
        <v>1962</v>
      </c>
      <c r="H920" s="6">
        <v>229</v>
      </c>
      <c r="I920" s="6">
        <v>11.064</v>
      </c>
      <c r="J920" s="6">
        <v>514.73800000000006</v>
      </c>
      <c r="K920" s="6">
        <v>64</v>
      </c>
    </row>
    <row r="921" spans="1:11" ht="12" customHeight="1">
      <c r="A921" s="6">
        <v>17055</v>
      </c>
      <c r="B921" s="6" t="s">
        <v>1380</v>
      </c>
      <c r="C921" s="6" t="s">
        <v>607</v>
      </c>
      <c r="E921" s="6" t="s">
        <v>253</v>
      </c>
      <c r="F921" s="6">
        <v>86</v>
      </c>
      <c r="G921" s="6">
        <v>2000</v>
      </c>
      <c r="H921" s="6">
        <v>187</v>
      </c>
      <c r="I921" s="6">
        <v>12.907</v>
      </c>
      <c r="J921" s="6">
        <v>727.79399999999998</v>
      </c>
      <c r="K921" s="6">
        <v>163</v>
      </c>
    </row>
    <row r="922" spans="1:11" ht="12" customHeight="1">
      <c r="A922" s="6">
        <v>16144</v>
      </c>
      <c r="B922" s="6" t="s">
        <v>1380</v>
      </c>
      <c r="C922" s="6" t="s">
        <v>548</v>
      </c>
      <c r="E922" s="6" t="s">
        <v>253</v>
      </c>
      <c r="F922" s="6">
        <v>86</v>
      </c>
      <c r="G922" s="6">
        <v>1992</v>
      </c>
      <c r="H922" s="6">
        <v>263</v>
      </c>
      <c r="I922" s="6">
        <v>9.3460000000000001</v>
      </c>
      <c r="J922" s="6">
        <v>424.12700000000001</v>
      </c>
      <c r="K922" s="6">
        <v>25</v>
      </c>
    </row>
    <row r="923" spans="1:11" ht="12" customHeight="1">
      <c r="A923" s="6">
        <v>96127</v>
      </c>
      <c r="B923" s="6" t="s">
        <v>1461</v>
      </c>
      <c r="C923" s="6" t="s">
        <v>624</v>
      </c>
      <c r="E923" s="6" t="s">
        <v>1462</v>
      </c>
      <c r="F923" s="6">
        <v>7</v>
      </c>
      <c r="G923" s="6">
        <v>1973</v>
      </c>
      <c r="H923" s="6">
        <v>972</v>
      </c>
      <c r="I923" s="6">
        <v>0</v>
      </c>
      <c r="J923" s="6">
        <v>0</v>
      </c>
      <c r="K923" s="6">
        <v>0</v>
      </c>
    </row>
    <row r="924" spans="1:11" ht="12" customHeight="1">
      <c r="A924" s="6">
        <v>28036</v>
      </c>
      <c r="B924" s="6" t="s">
        <v>1381</v>
      </c>
      <c r="C924" s="6" t="s">
        <v>681</v>
      </c>
      <c r="E924" s="6" t="s">
        <v>318</v>
      </c>
      <c r="F924" s="6">
        <v>6</v>
      </c>
      <c r="G924" s="6">
        <v>1943</v>
      </c>
      <c r="H924" s="6">
        <v>405</v>
      </c>
      <c r="I924" s="6">
        <v>4.782</v>
      </c>
      <c r="J924" s="6">
        <v>178.245</v>
      </c>
      <c r="K924" s="6">
        <v>30</v>
      </c>
    </row>
    <row r="925" spans="1:11" ht="12" customHeight="1">
      <c r="A925" s="6">
        <v>18057</v>
      </c>
      <c r="B925" s="6" t="s">
        <v>1463</v>
      </c>
      <c r="C925" s="6" t="s">
        <v>492</v>
      </c>
      <c r="E925" s="6" t="s">
        <v>120</v>
      </c>
      <c r="F925" s="6">
        <v>54</v>
      </c>
      <c r="G925" s="6">
        <v>1957</v>
      </c>
      <c r="H925" s="6">
        <v>436</v>
      </c>
      <c r="I925" s="6">
        <v>3</v>
      </c>
      <c r="J925" s="6">
        <v>145.5</v>
      </c>
      <c r="K925" s="6">
        <v>0</v>
      </c>
    </row>
    <row r="926" spans="1:11" ht="12" customHeight="1">
      <c r="A926" s="6">
        <v>14090</v>
      </c>
      <c r="B926" s="6" t="s">
        <v>1383</v>
      </c>
      <c r="C926" s="6" t="s">
        <v>1384</v>
      </c>
      <c r="E926" s="6" t="s">
        <v>425</v>
      </c>
      <c r="F926" s="6">
        <v>79</v>
      </c>
      <c r="G926" s="6">
        <v>1987</v>
      </c>
      <c r="H926" s="6">
        <v>973</v>
      </c>
      <c r="I926" s="6">
        <v>0</v>
      </c>
      <c r="J926" s="6">
        <v>0</v>
      </c>
      <c r="K926" s="6">
        <v>0</v>
      </c>
    </row>
    <row r="927" spans="1:11" ht="12" customHeight="1">
      <c r="A927" s="6">
        <v>12083</v>
      </c>
      <c r="B927" s="6" t="s">
        <v>1464</v>
      </c>
      <c r="C927" s="6" t="s">
        <v>1133</v>
      </c>
      <c r="E927" s="6" t="s">
        <v>488</v>
      </c>
      <c r="F927" s="6">
        <v>73</v>
      </c>
      <c r="G927" s="6">
        <v>1954</v>
      </c>
      <c r="H927" s="6">
        <v>129</v>
      </c>
      <c r="I927" s="6">
        <v>18.501999999999999</v>
      </c>
      <c r="J927" s="6">
        <v>1076.0119999999999</v>
      </c>
      <c r="K927" s="6">
        <v>362</v>
      </c>
    </row>
    <row r="928" spans="1:11" ht="12" customHeight="1">
      <c r="A928" s="6">
        <v>20525</v>
      </c>
      <c r="B928" s="6" t="s">
        <v>1385</v>
      </c>
      <c r="C928" s="6" t="s">
        <v>615</v>
      </c>
      <c r="D928" s="6" t="s">
        <v>316</v>
      </c>
      <c r="E928" s="6" t="s">
        <v>253</v>
      </c>
      <c r="F928" s="6">
        <v>86</v>
      </c>
      <c r="G928" s="6">
        <v>1993</v>
      </c>
      <c r="H928" s="6">
        <v>974</v>
      </c>
      <c r="I928" s="6">
        <v>0</v>
      </c>
      <c r="J928" s="6">
        <v>0</v>
      </c>
      <c r="K928" s="6">
        <v>0</v>
      </c>
    </row>
    <row r="929" spans="1:11" ht="12" customHeight="1">
      <c r="A929" s="6">
        <v>17038</v>
      </c>
      <c r="B929" s="6" t="s">
        <v>1386</v>
      </c>
      <c r="C929" s="6" t="s">
        <v>537</v>
      </c>
      <c r="D929" s="6" t="s">
        <v>316</v>
      </c>
      <c r="E929" s="6" t="s">
        <v>156</v>
      </c>
      <c r="F929" s="6">
        <v>33</v>
      </c>
      <c r="G929" s="6">
        <v>1962</v>
      </c>
      <c r="H929" s="6">
        <v>234</v>
      </c>
      <c r="I929" s="6">
        <v>10.69</v>
      </c>
      <c r="J929" s="6">
        <v>494.69900000000001</v>
      </c>
      <c r="K929" s="6">
        <v>78</v>
      </c>
    </row>
    <row r="930" spans="1:11" ht="12" customHeight="1">
      <c r="A930" s="6">
        <v>10094</v>
      </c>
      <c r="B930" s="6" t="s">
        <v>1387</v>
      </c>
      <c r="C930" s="6" t="s">
        <v>648</v>
      </c>
      <c r="E930" s="6" t="s">
        <v>169</v>
      </c>
      <c r="F930" s="6">
        <v>69</v>
      </c>
      <c r="G930" s="6">
        <v>1949</v>
      </c>
      <c r="H930" s="6">
        <v>608</v>
      </c>
      <c r="I930" s="6">
        <v>1.75</v>
      </c>
      <c r="J930" s="6">
        <v>34.287999999999997</v>
      </c>
      <c r="K930" s="6">
        <v>0</v>
      </c>
    </row>
    <row r="931" spans="1:11" ht="12" customHeight="1">
      <c r="A931" s="6">
        <v>14066</v>
      </c>
      <c r="B931" s="6" t="s">
        <v>1388</v>
      </c>
      <c r="C931" s="6" t="s">
        <v>424</v>
      </c>
      <c r="E931" s="6" t="s">
        <v>476</v>
      </c>
      <c r="F931" s="6">
        <v>2</v>
      </c>
      <c r="G931" s="6">
        <v>1972</v>
      </c>
      <c r="H931" s="6">
        <v>975</v>
      </c>
      <c r="I931" s="6">
        <v>0</v>
      </c>
      <c r="J931" s="6">
        <v>0</v>
      </c>
      <c r="K931" s="6">
        <v>0</v>
      </c>
    </row>
    <row r="932" spans="1:11" ht="12" customHeight="1">
      <c r="A932" s="6">
        <v>11037</v>
      </c>
      <c r="B932" s="6" t="s">
        <v>1389</v>
      </c>
      <c r="C932" s="6" t="s">
        <v>1390</v>
      </c>
      <c r="E932" s="6" t="s">
        <v>229</v>
      </c>
      <c r="F932" s="6">
        <v>1</v>
      </c>
      <c r="G932" s="6">
        <v>1983</v>
      </c>
      <c r="H932" s="6">
        <v>202</v>
      </c>
      <c r="I932" s="6">
        <v>15.657</v>
      </c>
      <c r="J932" s="6">
        <v>644.54200000000003</v>
      </c>
      <c r="K932" s="6">
        <v>0</v>
      </c>
    </row>
    <row r="933" spans="1:11" ht="12" customHeight="1">
      <c r="A933" s="6">
        <v>26041</v>
      </c>
      <c r="B933" s="6" t="s">
        <v>1391</v>
      </c>
      <c r="C933" s="6" t="s">
        <v>880</v>
      </c>
      <c r="D933" s="6" t="s">
        <v>316</v>
      </c>
      <c r="E933" s="6" t="s">
        <v>515</v>
      </c>
      <c r="F933" s="6">
        <v>28</v>
      </c>
      <c r="G933" s="6">
        <v>1953</v>
      </c>
      <c r="H933" s="6">
        <v>976</v>
      </c>
      <c r="I933" s="6">
        <v>0</v>
      </c>
      <c r="J933" s="6">
        <v>0</v>
      </c>
      <c r="K933" s="6">
        <v>0</v>
      </c>
    </row>
    <row r="934" spans="1:11" ht="12" customHeight="1">
      <c r="A934" s="6">
        <v>20689</v>
      </c>
      <c r="B934" s="6" t="s">
        <v>1465</v>
      </c>
      <c r="C934" s="6" t="s">
        <v>526</v>
      </c>
      <c r="E934" s="6" t="s">
        <v>341</v>
      </c>
      <c r="F934" s="6">
        <v>22</v>
      </c>
      <c r="G934" s="6">
        <v>1959</v>
      </c>
      <c r="H934" s="6">
        <v>977</v>
      </c>
      <c r="I934" s="6">
        <v>0</v>
      </c>
      <c r="J934" s="6">
        <v>0</v>
      </c>
      <c r="K934" s="6">
        <v>0</v>
      </c>
    </row>
    <row r="935" spans="1:11" ht="12" customHeight="1">
      <c r="A935" s="6">
        <v>14094</v>
      </c>
      <c r="B935" s="6" t="s">
        <v>1392</v>
      </c>
      <c r="C935" s="6" t="s">
        <v>526</v>
      </c>
      <c r="E935" s="6" t="s">
        <v>375</v>
      </c>
      <c r="F935" s="6">
        <v>43</v>
      </c>
      <c r="G935" s="6">
        <v>1954</v>
      </c>
      <c r="H935" s="6">
        <v>142</v>
      </c>
      <c r="I935" s="6">
        <v>16.876999999999999</v>
      </c>
      <c r="J935" s="6">
        <v>1003.625</v>
      </c>
      <c r="K935" s="6">
        <v>330</v>
      </c>
    </row>
    <row r="936" spans="1:11" ht="12" customHeight="1">
      <c r="A936" s="6">
        <v>23060</v>
      </c>
      <c r="B936" s="6" t="s">
        <v>1393</v>
      </c>
      <c r="C936" s="6" t="s">
        <v>499</v>
      </c>
      <c r="E936" s="6" t="s">
        <v>144</v>
      </c>
      <c r="F936" s="6">
        <v>63</v>
      </c>
      <c r="G936" s="6">
        <v>1954</v>
      </c>
      <c r="H936" s="6">
        <v>132</v>
      </c>
      <c r="I936" s="6">
        <v>21.876000000000001</v>
      </c>
      <c r="J936" s="6">
        <v>1071.4949999999999</v>
      </c>
      <c r="K936" s="6">
        <v>253</v>
      </c>
    </row>
    <row r="937" spans="1:11" ht="12" customHeight="1">
      <c r="A937" s="6">
        <v>19002</v>
      </c>
      <c r="B937" s="6" t="s">
        <v>1466</v>
      </c>
      <c r="C937" s="6" t="s">
        <v>1039</v>
      </c>
      <c r="D937" s="6" t="s">
        <v>451</v>
      </c>
      <c r="E937" s="6" t="s">
        <v>653</v>
      </c>
      <c r="F937" s="6">
        <v>77</v>
      </c>
      <c r="G937" s="6">
        <v>2010</v>
      </c>
      <c r="H937" s="6">
        <v>978</v>
      </c>
      <c r="I937" s="6">
        <v>0</v>
      </c>
      <c r="J937" s="6">
        <v>0</v>
      </c>
      <c r="K937" s="6">
        <v>0</v>
      </c>
    </row>
    <row r="938" spans="1:11" ht="12" customHeight="1">
      <c r="A938" s="6">
        <v>19003</v>
      </c>
      <c r="B938" s="6" t="s">
        <v>1466</v>
      </c>
      <c r="C938" s="6" t="s">
        <v>495</v>
      </c>
      <c r="D938" s="6" t="s">
        <v>451</v>
      </c>
      <c r="E938" s="6" t="s">
        <v>653</v>
      </c>
      <c r="F938" s="6">
        <v>77</v>
      </c>
      <c r="G938" s="6">
        <v>2003</v>
      </c>
      <c r="H938" s="6">
        <v>532</v>
      </c>
      <c r="I938" s="6">
        <v>1.5</v>
      </c>
      <c r="J938" s="6">
        <v>71.671999999999997</v>
      </c>
      <c r="K938" s="6">
        <v>0</v>
      </c>
    </row>
    <row r="939" spans="1:11" ht="12" customHeight="1">
      <c r="A939" s="6">
        <v>29043</v>
      </c>
      <c r="B939" s="6" t="s">
        <v>1467</v>
      </c>
      <c r="C939" s="6" t="s">
        <v>648</v>
      </c>
      <c r="E939" s="6" t="s">
        <v>476</v>
      </c>
      <c r="F939" s="6">
        <v>2</v>
      </c>
      <c r="G939" s="6">
        <v>1953</v>
      </c>
      <c r="H939" s="6">
        <v>979</v>
      </c>
      <c r="I939" s="6">
        <v>0</v>
      </c>
      <c r="J939" s="6">
        <v>0</v>
      </c>
      <c r="K939" s="6">
        <v>0</v>
      </c>
    </row>
    <row r="940" spans="1:11" ht="12" customHeight="1">
      <c r="A940" s="6">
        <v>16004</v>
      </c>
      <c r="B940" s="6" t="s">
        <v>1394</v>
      </c>
      <c r="C940" s="6" t="s">
        <v>607</v>
      </c>
      <c r="D940" s="6" t="s">
        <v>434</v>
      </c>
      <c r="E940" s="6" t="s">
        <v>144</v>
      </c>
      <c r="F940" s="6">
        <v>63</v>
      </c>
      <c r="G940" s="6">
        <v>2003</v>
      </c>
      <c r="H940" s="6">
        <v>488</v>
      </c>
      <c r="I940" s="6">
        <v>3.25</v>
      </c>
      <c r="J940" s="6">
        <v>101.717</v>
      </c>
      <c r="K940" s="6">
        <v>0</v>
      </c>
    </row>
    <row r="941" spans="1:11" ht="12" customHeight="1">
      <c r="A941" s="6">
        <v>97294</v>
      </c>
      <c r="B941" s="6" t="s">
        <v>1395</v>
      </c>
      <c r="C941" s="6" t="s">
        <v>422</v>
      </c>
      <c r="E941" s="6" t="s">
        <v>318</v>
      </c>
      <c r="F941" s="6">
        <v>6</v>
      </c>
      <c r="G941" s="6">
        <v>1968</v>
      </c>
      <c r="H941" s="6">
        <v>980</v>
      </c>
      <c r="I941" s="6">
        <v>0</v>
      </c>
      <c r="J941" s="6">
        <v>0</v>
      </c>
      <c r="K941" s="6">
        <v>0</v>
      </c>
    </row>
    <row r="942" spans="1:11" ht="12" customHeight="1">
      <c r="A942" s="6">
        <v>13047</v>
      </c>
      <c r="B942" s="6" t="s">
        <v>1396</v>
      </c>
      <c r="C942" s="6" t="s">
        <v>416</v>
      </c>
      <c r="E942" s="6" t="s">
        <v>515</v>
      </c>
      <c r="F942" s="6">
        <v>28</v>
      </c>
      <c r="G942" s="6">
        <v>1957</v>
      </c>
      <c r="H942" s="6">
        <v>554</v>
      </c>
      <c r="I942" s="6">
        <v>2.0009999999999999</v>
      </c>
      <c r="J942" s="6">
        <v>59.915999999999997</v>
      </c>
      <c r="K942" s="6">
        <v>0</v>
      </c>
    </row>
    <row r="943" spans="1:11" ht="12" customHeight="1">
      <c r="A943" s="6">
        <v>11031</v>
      </c>
      <c r="B943" s="6" t="s">
        <v>1397</v>
      </c>
      <c r="C943" s="6" t="s">
        <v>482</v>
      </c>
      <c r="E943" s="6" t="s">
        <v>476</v>
      </c>
      <c r="F943" s="6">
        <v>2</v>
      </c>
      <c r="G943" s="6">
        <v>1966</v>
      </c>
      <c r="H943" s="6">
        <v>264</v>
      </c>
      <c r="I943" s="6">
        <v>5.1879999999999997</v>
      </c>
      <c r="J943" s="6">
        <v>423.93400000000003</v>
      </c>
      <c r="K943" s="6">
        <v>216</v>
      </c>
    </row>
    <row r="944" spans="1:11" ht="12" customHeight="1">
      <c r="A944" s="6">
        <v>22959</v>
      </c>
      <c r="B944" s="6" t="s">
        <v>1468</v>
      </c>
      <c r="C944" s="6" t="s">
        <v>482</v>
      </c>
      <c r="E944" s="6" t="s">
        <v>232</v>
      </c>
      <c r="F944" s="6">
        <v>19</v>
      </c>
      <c r="G944" s="6">
        <v>1959</v>
      </c>
      <c r="H944" s="6">
        <v>981</v>
      </c>
      <c r="I944" s="6">
        <v>0</v>
      </c>
      <c r="J944" s="6">
        <v>0</v>
      </c>
      <c r="K944" s="6">
        <v>0</v>
      </c>
    </row>
    <row r="945" spans="1:11" ht="12" customHeight="1">
      <c r="A945" s="6">
        <v>20520</v>
      </c>
      <c r="B945" s="6" t="s">
        <v>1469</v>
      </c>
      <c r="C945" s="6" t="s">
        <v>482</v>
      </c>
      <c r="E945" s="6" t="s">
        <v>452</v>
      </c>
      <c r="F945" s="6">
        <v>74</v>
      </c>
      <c r="G945" s="6">
        <v>1957</v>
      </c>
      <c r="H945" s="6">
        <v>982</v>
      </c>
      <c r="I945" s="6">
        <v>0</v>
      </c>
      <c r="J945" s="6">
        <v>0</v>
      </c>
      <c r="K945" s="6">
        <v>0</v>
      </c>
    </row>
    <row r="946" spans="1:11" ht="12" customHeight="1">
      <c r="A946" s="6">
        <v>20556</v>
      </c>
      <c r="B946" s="6" t="s">
        <v>1470</v>
      </c>
      <c r="C946" s="6" t="s">
        <v>492</v>
      </c>
      <c r="E946" s="6" t="s">
        <v>425</v>
      </c>
      <c r="F946" s="6">
        <v>79</v>
      </c>
      <c r="G946" s="6">
        <v>1987</v>
      </c>
      <c r="H946" s="6">
        <v>983</v>
      </c>
      <c r="I946" s="6">
        <v>0</v>
      </c>
      <c r="J946" s="6">
        <v>0</v>
      </c>
      <c r="K946" s="6">
        <v>0</v>
      </c>
    </row>
    <row r="947" spans="1:11" ht="12" customHeight="1">
      <c r="A947" s="6">
        <v>21861</v>
      </c>
      <c r="B947" s="6" t="s">
        <v>1398</v>
      </c>
      <c r="C947" s="6" t="s">
        <v>422</v>
      </c>
      <c r="E947" s="6" t="s">
        <v>156</v>
      </c>
      <c r="F947" s="6">
        <v>33</v>
      </c>
      <c r="G947" s="6">
        <v>1962</v>
      </c>
      <c r="H947" s="6">
        <v>984</v>
      </c>
      <c r="I947" s="6">
        <v>0</v>
      </c>
      <c r="J947" s="6">
        <v>0</v>
      </c>
      <c r="K947" s="6">
        <v>0</v>
      </c>
    </row>
    <row r="948" spans="1:11" ht="12" customHeight="1">
      <c r="A948" s="6">
        <v>22012</v>
      </c>
      <c r="B948" s="6" t="s">
        <v>1399</v>
      </c>
      <c r="C948" s="6" t="s">
        <v>424</v>
      </c>
      <c r="E948" s="6" t="s">
        <v>375</v>
      </c>
      <c r="F948" s="6">
        <v>43</v>
      </c>
      <c r="G948" s="6">
        <v>1980</v>
      </c>
      <c r="H948" s="6">
        <v>256</v>
      </c>
      <c r="I948" s="6">
        <v>6.1260000000000003</v>
      </c>
      <c r="J948" s="6">
        <v>431.14600000000002</v>
      </c>
      <c r="K948" s="6">
        <v>194</v>
      </c>
    </row>
    <row r="949" spans="1:11" ht="12" customHeight="1">
      <c r="A949" s="6">
        <v>24281</v>
      </c>
      <c r="B949" s="6" t="s">
        <v>1399</v>
      </c>
      <c r="C949" s="6" t="s">
        <v>424</v>
      </c>
      <c r="E949" s="6" t="s">
        <v>393</v>
      </c>
      <c r="F949" s="6">
        <v>52</v>
      </c>
      <c r="G949" s="6">
        <v>1969</v>
      </c>
      <c r="H949" s="6">
        <v>233</v>
      </c>
      <c r="I949" s="6">
        <v>10.438000000000001</v>
      </c>
      <c r="J949" s="6">
        <v>496.08699999999999</v>
      </c>
      <c r="K949" s="6">
        <v>166</v>
      </c>
    </row>
    <row r="950" spans="1:11" ht="12" customHeight="1">
      <c r="A950" s="6">
        <v>14052</v>
      </c>
      <c r="B950" s="6" t="s">
        <v>1400</v>
      </c>
      <c r="C950" s="6" t="s">
        <v>455</v>
      </c>
      <c r="D950" s="6" t="s">
        <v>316</v>
      </c>
      <c r="E950" s="6" t="s">
        <v>653</v>
      </c>
      <c r="F950" s="6">
        <v>77</v>
      </c>
      <c r="G950" s="6">
        <v>1970</v>
      </c>
      <c r="H950" s="6">
        <v>186</v>
      </c>
      <c r="I950" s="6">
        <v>10.952999999999999</v>
      </c>
      <c r="J950" s="6">
        <v>728.75800000000004</v>
      </c>
      <c r="K950" s="6">
        <v>233</v>
      </c>
    </row>
    <row r="951" spans="1:11" ht="12" customHeight="1">
      <c r="A951" s="6">
        <v>21795</v>
      </c>
      <c r="B951" s="6" t="s">
        <v>1401</v>
      </c>
      <c r="C951" s="6" t="s">
        <v>1471</v>
      </c>
      <c r="E951" s="6" t="s">
        <v>235</v>
      </c>
      <c r="F951" s="6">
        <v>27</v>
      </c>
      <c r="G951" s="6">
        <v>1956</v>
      </c>
      <c r="H951" s="6">
        <v>311</v>
      </c>
      <c r="I951" s="6">
        <v>4.0629999999999997</v>
      </c>
      <c r="J951" s="6">
        <v>327.70100000000002</v>
      </c>
      <c r="K951" s="6">
        <v>137</v>
      </c>
    </row>
    <row r="952" spans="1:11" ht="12" customHeight="1">
      <c r="A952" s="6">
        <v>16127</v>
      </c>
      <c r="B952" s="6" t="s">
        <v>1472</v>
      </c>
      <c r="C952" s="6" t="s">
        <v>536</v>
      </c>
      <c r="D952" s="6" t="s">
        <v>451</v>
      </c>
      <c r="E952" s="6" t="s">
        <v>476</v>
      </c>
      <c r="F952" s="6">
        <v>2</v>
      </c>
      <c r="G952" s="6">
        <v>2008</v>
      </c>
      <c r="H952" s="6">
        <v>986</v>
      </c>
      <c r="I952" s="6">
        <v>0</v>
      </c>
      <c r="J952" s="6">
        <v>0</v>
      </c>
      <c r="K952" s="6">
        <v>0</v>
      </c>
    </row>
    <row r="953" spans="1:11" ht="12" customHeight="1">
      <c r="A953" s="6">
        <v>16126</v>
      </c>
      <c r="B953" s="6" t="s">
        <v>1472</v>
      </c>
      <c r="C953" s="6" t="s">
        <v>478</v>
      </c>
      <c r="D953" s="6" t="s">
        <v>451</v>
      </c>
      <c r="E953" s="6" t="s">
        <v>476</v>
      </c>
      <c r="F953" s="6">
        <v>2</v>
      </c>
      <c r="G953" s="6">
        <v>2010</v>
      </c>
      <c r="H953" s="6">
        <v>985</v>
      </c>
      <c r="I953" s="6">
        <v>0</v>
      </c>
      <c r="J953" s="6">
        <v>0</v>
      </c>
      <c r="K953" s="6">
        <v>0</v>
      </c>
    </row>
    <row r="954" spans="1:11" ht="12" customHeight="1">
      <c r="A954" s="6">
        <v>14054</v>
      </c>
      <c r="B954" s="6" t="s">
        <v>1473</v>
      </c>
      <c r="C954" s="6" t="s">
        <v>1474</v>
      </c>
      <c r="E954" s="6" t="s">
        <v>1462</v>
      </c>
      <c r="F954" s="6">
        <v>7</v>
      </c>
      <c r="G954" s="6">
        <v>1962</v>
      </c>
      <c r="H954" s="6">
        <v>987</v>
      </c>
      <c r="I954" s="6">
        <v>0</v>
      </c>
      <c r="J954" s="6">
        <v>0</v>
      </c>
      <c r="K954" s="6">
        <v>0</v>
      </c>
    </row>
    <row r="955" spans="1:11" ht="12" customHeight="1">
      <c r="A955" s="6">
        <v>18120</v>
      </c>
      <c r="B955" s="6" t="s">
        <v>1475</v>
      </c>
      <c r="C955" s="6" t="s">
        <v>509</v>
      </c>
      <c r="D955" s="6" t="s">
        <v>316</v>
      </c>
      <c r="E955" s="6" t="s">
        <v>186</v>
      </c>
      <c r="F955" s="6">
        <v>91</v>
      </c>
      <c r="G955" s="6">
        <v>1972</v>
      </c>
      <c r="H955" s="6">
        <v>988</v>
      </c>
      <c r="I955" s="6">
        <v>0</v>
      </c>
      <c r="J955" s="6">
        <v>0</v>
      </c>
      <c r="K955" s="6">
        <v>0</v>
      </c>
    </row>
    <row r="956" spans="1:11" ht="12" customHeight="1">
      <c r="A956" s="6">
        <v>18082</v>
      </c>
      <c r="B956" s="6" t="s">
        <v>1402</v>
      </c>
      <c r="C956" s="6" t="s">
        <v>440</v>
      </c>
      <c r="E956" s="6" t="s">
        <v>193</v>
      </c>
      <c r="F956" s="6">
        <v>89</v>
      </c>
      <c r="G956" s="6">
        <v>1962</v>
      </c>
      <c r="H956" s="6">
        <v>989</v>
      </c>
      <c r="I956" s="6">
        <v>0</v>
      </c>
      <c r="J956" s="6">
        <v>0</v>
      </c>
      <c r="K956" s="6">
        <v>0</v>
      </c>
    </row>
    <row r="957" spans="1:11" ht="12" customHeight="1">
      <c r="A957" s="6">
        <v>18083</v>
      </c>
      <c r="B957" s="6" t="s">
        <v>1403</v>
      </c>
      <c r="C957" s="6" t="s">
        <v>837</v>
      </c>
      <c r="D957" s="6" t="s">
        <v>316</v>
      </c>
      <c r="E957" s="6" t="s">
        <v>193</v>
      </c>
      <c r="F957" s="6">
        <v>89</v>
      </c>
      <c r="G957" s="6">
        <v>1965</v>
      </c>
      <c r="H957" s="6">
        <v>990</v>
      </c>
      <c r="I957" s="6">
        <v>0</v>
      </c>
      <c r="J957" s="6">
        <v>0</v>
      </c>
      <c r="K957" s="6">
        <v>0</v>
      </c>
    </row>
    <row r="958" spans="1:11" ht="12" customHeight="1">
      <c r="A958" s="6">
        <v>19062</v>
      </c>
      <c r="B958" s="6" t="s">
        <v>1404</v>
      </c>
      <c r="C958" s="6" t="s">
        <v>880</v>
      </c>
      <c r="D958" s="6" t="s">
        <v>316</v>
      </c>
      <c r="E958" s="6" t="s">
        <v>653</v>
      </c>
      <c r="F958" s="6">
        <v>77</v>
      </c>
      <c r="G958" s="6">
        <v>1950</v>
      </c>
      <c r="H958" s="6">
        <v>332</v>
      </c>
      <c r="I958" s="6">
        <v>5.875</v>
      </c>
      <c r="J958" s="6">
        <v>269.12599999999998</v>
      </c>
      <c r="K958" s="6">
        <v>116</v>
      </c>
    </row>
    <row r="959" spans="1:11" ht="12" customHeight="1">
      <c r="A959" s="6">
        <v>25075</v>
      </c>
      <c r="B959" s="6" t="s">
        <v>1476</v>
      </c>
      <c r="C959" s="6" t="s">
        <v>437</v>
      </c>
      <c r="E959" s="6" t="s">
        <v>520</v>
      </c>
      <c r="F959" s="6">
        <v>55</v>
      </c>
      <c r="G959" s="6">
        <v>1958</v>
      </c>
      <c r="H959" s="6">
        <v>125</v>
      </c>
      <c r="I959" s="6">
        <v>13.72</v>
      </c>
      <c r="J959" s="6">
        <v>1085.366</v>
      </c>
      <c r="K959" s="6">
        <v>491</v>
      </c>
    </row>
    <row r="960" spans="1:11" ht="12" customHeight="1">
      <c r="A960" s="6">
        <v>16010</v>
      </c>
      <c r="B960" s="6" t="s">
        <v>1406</v>
      </c>
      <c r="C960" s="6" t="s">
        <v>951</v>
      </c>
      <c r="D960" s="6" t="s">
        <v>316</v>
      </c>
      <c r="E960" s="6" t="s">
        <v>134</v>
      </c>
      <c r="F960" s="6">
        <v>64</v>
      </c>
      <c r="G960" s="6">
        <v>1962</v>
      </c>
      <c r="H960" s="6">
        <v>40</v>
      </c>
      <c r="I960" s="6">
        <v>34.5</v>
      </c>
      <c r="J960" s="6">
        <v>1938.1780000000001</v>
      </c>
      <c r="K960" s="6">
        <v>503</v>
      </c>
    </row>
    <row r="961" spans="1:11" ht="12" customHeight="1">
      <c r="A961" s="6">
        <v>99600</v>
      </c>
      <c r="B961" s="6" t="s">
        <v>1407</v>
      </c>
      <c r="C961" s="6" t="s">
        <v>440</v>
      </c>
      <c r="E961" s="6" t="s">
        <v>232</v>
      </c>
      <c r="F961" s="6">
        <v>19</v>
      </c>
      <c r="G961" s="6">
        <v>1966</v>
      </c>
      <c r="H961" s="6">
        <v>197</v>
      </c>
      <c r="I961" s="6">
        <v>12.781000000000001</v>
      </c>
      <c r="J961" s="6">
        <v>666.81799999999998</v>
      </c>
      <c r="K961" s="6">
        <v>213</v>
      </c>
    </row>
    <row r="962" spans="1:11" ht="12" customHeight="1">
      <c r="A962" s="6">
        <v>15080</v>
      </c>
      <c r="B962" s="6" t="s">
        <v>1408</v>
      </c>
      <c r="C962" s="6" t="s">
        <v>852</v>
      </c>
      <c r="E962" s="6" t="s">
        <v>556</v>
      </c>
      <c r="F962" s="6">
        <v>13</v>
      </c>
      <c r="G962" s="6">
        <v>1983</v>
      </c>
      <c r="H962" s="6">
        <v>558</v>
      </c>
      <c r="I962" s="6">
        <v>2</v>
      </c>
      <c r="J962" s="6">
        <v>58.314</v>
      </c>
      <c r="K962" s="6">
        <v>0</v>
      </c>
    </row>
    <row r="963" spans="1:11" ht="12" customHeight="1">
      <c r="A963" s="6">
        <v>97297</v>
      </c>
      <c r="B963" s="6" t="s">
        <v>1409</v>
      </c>
      <c r="C963" s="6" t="s">
        <v>482</v>
      </c>
      <c r="E963" s="6" t="s">
        <v>221</v>
      </c>
      <c r="F963" s="6">
        <v>17</v>
      </c>
      <c r="G963" s="6">
        <v>1959</v>
      </c>
      <c r="H963" s="6">
        <v>991</v>
      </c>
      <c r="I963" s="6">
        <v>0</v>
      </c>
      <c r="J963" s="6">
        <v>0</v>
      </c>
      <c r="K963" s="6">
        <v>0</v>
      </c>
    </row>
    <row r="964" spans="1:11" ht="12" customHeight="1">
      <c r="A964" s="6">
        <v>99537</v>
      </c>
      <c r="B964" s="6" t="s">
        <v>1409</v>
      </c>
      <c r="C964" s="6" t="s">
        <v>609</v>
      </c>
      <c r="E964" s="6" t="s">
        <v>221</v>
      </c>
      <c r="F964" s="6">
        <v>17</v>
      </c>
      <c r="G964" s="6">
        <v>1986</v>
      </c>
      <c r="H964" s="6">
        <v>992</v>
      </c>
      <c r="I964" s="6">
        <v>0</v>
      </c>
      <c r="J964" s="6">
        <v>0</v>
      </c>
      <c r="K964" s="6">
        <v>0</v>
      </c>
    </row>
    <row r="965" spans="1:11" ht="12" customHeight="1">
      <c r="A965" s="6">
        <v>21813</v>
      </c>
      <c r="B965" s="6" t="s">
        <v>1410</v>
      </c>
      <c r="C965" s="6" t="s">
        <v>443</v>
      </c>
      <c r="D965" s="6" t="s">
        <v>316</v>
      </c>
      <c r="E965" s="6" t="s">
        <v>221</v>
      </c>
      <c r="F965" s="6">
        <v>17</v>
      </c>
      <c r="G965" s="6">
        <v>1988</v>
      </c>
      <c r="H965" s="6">
        <v>993</v>
      </c>
      <c r="I965" s="6">
        <v>0</v>
      </c>
      <c r="J965" s="6">
        <v>0</v>
      </c>
      <c r="K965" s="6">
        <v>0</v>
      </c>
    </row>
    <row r="966" spans="1:11" ht="12" customHeight="1">
      <c r="A966" s="6">
        <v>18109</v>
      </c>
      <c r="B966" s="6" t="s">
        <v>1412</v>
      </c>
      <c r="C966" s="6" t="s">
        <v>424</v>
      </c>
      <c r="E966" s="6" t="s">
        <v>721</v>
      </c>
      <c r="F966" s="6">
        <v>90</v>
      </c>
      <c r="G966" s="6">
        <v>1986</v>
      </c>
      <c r="H966" s="6">
        <v>114</v>
      </c>
      <c r="I966" s="6">
        <v>17.440000000000001</v>
      </c>
      <c r="J966" s="6">
        <v>1186.05</v>
      </c>
      <c r="K966" s="6">
        <v>474</v>
      </c>
    </row>
    <row r="967" spans="1:11" ht="12" customHeight="1">
      <c r="A967" s="6">
        <v>20569</v>
      </c>
      <c r="B967" s="6" t="s">
        <v>1412</v>
      </c>
      <c r="C967" s="6" t="s">
        <v>1012</v>
      </c>
      <c r="E967" s="6" t="s">
        <v>721</v>
      </c>
      <c r="F967" s="6">
        <v>90</v>
      </c>
      <c r="G967" s="6">
        <v>1994</v>
      </c>
      <c r="H967" s="6">
        <v>556</v>
      </c>
      <c r="I967" s="6">
        <v>1.8129999999999999</v>
      </c>
      <c r="J967" s="6">
        <v>59.168999999999997</v>
      </c>
      <c r="K967" s="6">
        <v>0</v>
      </c>
    </row>
    <row r="968" spans="1:11" ht="12" customHeight="1">
      <c r="A968" s="6">
        <v>19058</v>
      </c>
      <c r="B968" s="6" t="s">
        <v>1413</v>
      </c>
      <c r="C968" s="6" t="s">
        <v>1414</v>
      </c>
      <c r="D968" s="6" t="s">
        <v>451</v>
      </c>
      <c r="E968" s="6" t="s">
        <v>721</v>
      </c>
      <c r="F968" s="6">
        <v>90</v>
      </c>
      <c r="G968" s="6">
        <v>2010</v>
      </c>
      <c r="H968" s="6">
        <v>571</v>
      </c>
      <c r="I968" s="6">
        <v>1.25</v>
      </c>
      <c r="J968" s="6">
        <v>51.256</v>
      </c>
      <c r="K968" s="6">
        <v>0</v>
      </c>
    </row>
    <row r="969" spans="1:11" ht="12" customHeight="1">
      <c r="A969" s="6">
        <v>19076</v>
      </c>
      <c r="B969" s="6" t="s">
        <v>1477</v>
      </c>
      <c r="C969" s="6" t="s">
        <v>576</v>
      </c>
      <c r="D969" s="6" t="s">
        <v>434</v>
      </c>
      <c r="E969" s="6" t="s">
        <v>193</v>
      </c>
      <c r="F969" s="6">
        <v>89</v>
      </c>
      <c r="G969" s="6">
        <v>2007</v>
      </c>
      <c r="H969" s="6">
        <v>395</v>
      </c>
      <c r="I969" s="6">
        <v>4.1100000000000003</v>
      </c>
      <c r="J969" s="6">
        <v>182.74100000000001</v>
      </c>
      <c r="K969" s="6">
        <v>19</v>
      </c>
    </row>
    <row r="970" spans="1:11" ht="12" customHeight="1">
      <c r="A970" s="6">
        <v>20577</v>
      </c>
      <c r="B970" s="6" t="s">
        <v>1477</v>
      </c>
      <c r="C970" s="6" t="s">
        <v>492</v>
      </c>
      <c r="D970" s="6" t="s">
        <v>434</v>
      </c>
      <c r="E970" s="6" t="s">
        <v>193</v>
      </c>
      <c r="F970" s="6">
        <v>89</v>
      </c>
      <c r="G970" s="6">
        <v>2008</v>
      </c>
      <c r="H970" s="6">
        <v>615</v>
      </c>
      <c r="I970" s="6">
        <v>0.81299999999999994</v>
      </c>
      <c r="J970" s="6">
        <v>31.87</v>
      </c>
      <c r="K970" s="6">
        <v>0</v>
      </c>
    </row>
    <row r="971" spans="1:11" ht="12" customHeight="1">
      <c r="A971" s="6">
        <v>19079</v>
      </c>
      <c r="B971" s="6" t="s">
        <v>1477</v>
      </c>
      <c r="C971" s="6" t="s">
        <v>499</v>
      </c>
      <c r="E971" s="6" t="s">
        <v>193</v>
      </c>
      <c r="F971" s="6">
        <v>89</v>
      </c>
      <c r="G971" s="6">
        <v>1968</v>
      </c>
      <c r="H971" s="6">
        <v>362</v>
      </c>
      <c r="I971" s="6">
        <v>5.2350000000000003</v>
      </c>
      <c r="J971" s="6">
        <v>225.83</v>
      </c>
      <c r="K971" s="6">
        <v>19</v>
      </c>
    </row>
    <row r="972" spans="1:11" ht="12" customHeight="1">
      <c r="A972" s="6">
        <v>19077</v>
      </c>
      <c r="B972" s="6" t="s">
        <v>1415</v>
      </c>
      <c r="C972" s="6" t="s">
        <v>537</v>
      </c>
      <c r="D972" s="6" t="s">
        <v>316</v>
      </c>
      <c r="E972" s="6" t="s">
        <v>193</v>
      </c>
      <c r="F972" s="6">
        <v>89</v>
      </c>
      <c r="G972" s="6">
        <v>1977</v>
      </c>
      <c r="H972" s="6">
        <v>537</v>
      </c>
      <c r="I972" s="6">
        <v>1.8440000000000001</v>
      </c>
      <c r="J972" s="6">
        <v>67.477000000000004</v>
      </c>
      <c r="K972" s="6">
        <v>0</v>
      </c>
    </row>
    <row r="973" spans="1:11" ht="12" customHeight="1">
      <c r="A973" s="6">
        <v>19078</v>
      </c>
      <c r="B973" s="6" t="s">
        <v>1415</v>
      </c>
      <c r="C973" s="6" t="s">
        <v>537</v>
      </c>
      <c r="D973" s="6" t="s">
        <v>451</v>
      </c>
      <c r="E973" s="6" t="s">
        <v>193</v>
      </c>
      <c r="F973" s="6">
        <v>89</v>
      </c>
      <c r="G973" s="6">
        <v>2010</v>
      </c>
      <c r="H973" s="6">
        <v>324</v>
      </c>
      <c r="I973" s="6">
        <v>6.0949999999999998</v>
      </c>
      <c r="J973" s="6">
        <v>290.255</v>
      </c>
      <c r="K973" s="6">
        <v>50</v>
      </c>
    </row>
    <row r="974" spans="1:11" ht="12" customHeight="1">
      <c r="A974" s="6">
        <v>19075</v>
      </c>
      <c r="B974" s="6" t="s">
        <v>1415</v>
      </c>
      <c r="C974" s="6" t="s">
        <v>1478</v>
      </c>
      <c r="D974" s="6" t="s">
        <v>451</v>
      </c>
      <c r="E974" s="6" t="s">
        <v>193</v>
      </c>
      <c r="F974" s="6">
        <v>89</v>
      </c>
      <c r="G974" s="6">
        <v>2012</v>
      </c>
      <c r="H974" s="6">
        <v>469</v>
      </c>
      <c r="I974" s="6">
        <v>3.0009999999999999</v>
      </c>
      <c r="J974" s="6">
        <v>116.755</v>
      </c>
      <c r="K974" s="6">
        <v>0</v>
      </c>
    </row>
    <row r="975" spans="1:11" ht="12" customHeight="1">
      <c r="A975" s="6">
        <v>18135</v>
      </c>
      <c r="B975" s="6" t="s">
        <v>1416</v>
      </c>
      <c r="C975" s="6" t="s">
        <v>524</v>
      </c>
      <c r="D975" s="6" t="s">
        <v>316</v>
      </c>
      <c r="E975" s="6" t="s">
        <v>229</v>
      </c>
      <c r="F975" s="6">
        <v>1</v>
      </c>
      <c r="G975" s="6">
        <v>1967</v>
      </c>
      <c r="H975" s="6">
        <v>425</v>
      </c>
      <c r="I975" s="6">
        <v>3.3759999999999999</v>
      </c>
      <c r="J975" s="6">
        <v>157.96199999999999</v>
      </c>
      <c r="K975" s="6">
        <v>33</v>
      </c>
    </row>
    <row r="976" spans="1:11" ht="12" customHeight="1">
      <c r="A976" s="6">
        <v>96030</v>
      </c>
      <c r="B976" s="6" t="s">
        <v>1417</v>
      </c>
      <c r="C976" s="6" t="s">
        <v>422</v>
      </c>
      <c r="E976" s="6" t="s">
        <v>229</v>
      </c>
      <c r="F976" s="6">
        <v>1</v>
      </c>
      <c r="G976" s="6">
        <v>1950</v>
      </c>
      <c r="H976" s="6">
        <v>994</v>
      </c>
      <c r="I976" s="6">
        <v>0</v>
      </c>
      <c r="J976" s="6">
        <v>0</v>
      </c>
      <c r="K976" s="6">
        <v>0</v>
      </c>
    </row>
    <row r="977" spans="1:11" ht="12" customHeight="1">
      <c r="A977" s="6">
        <v>18061</v>
      </c>
      <c r="B977" s="6" t="s">
        <v>1418</v>
      </c>
      <c r="C977" s="6" t="s">
        <v>1479</v>
      </c>
      <c r="D977" s="6" t="s">
        <v>316</v>
      </c>
      <c r="E977" s="6" t="s">
        <v>229</v>
      </c>
      <c r="F977" s="6">
        <v>1</v>
      </c>
      <c r="G977" s="6">
        <v>1957</v>
      </c>
      <c r="H977" s="6">
        <v>995</v>
      </c>
      <c r="I977" s="6">
        <v>0</v>
      </c>
      <c r="J977" s="6">
        <v>0</v>
      </c>
      <c r="K977" s="6">
        <v>0</v>
      </c>
    </row>
    <row r="978" spans="1:11" ht="12" customHeight="1">
      <c r="A978" s="6">
        <v>24232</v>
      </c>
      <c r="B978" s="6" t="s">
        <v>1480</v>
      </c>
      <c r="C978" s="6" t="s">
        <v>648</v>
      </c>
      <c r="E978" s="6" t="s">
        <v>438</v>
      </c>
      <c r="F978" s="6">
        <v>51</v>
      </c>
      <c r="G978" s="6">
        <v>1970</v>
      </c>
      <c r="H978" s="6">
        <v>996</v>
      </c>
      <c r="I978" s="6">
        <v>0</v>
      </c>
      <c r="J978" s="6">
        <v>0</v>
      </c>
      <c r="K978" s="6">
        <v>0</v>
      </c>
    </row>
    <row r="979" spans="1:11" ht="12" customHeight="1">
      <c r="A979" s="6">
        <v>18052</v>
      </c>
      <c r="B979" s="6" t="s">
        <v>1421</v>
      </c>
      <c r="C979" s="6" t="s">
        <v>526</v>
      </c>
      <c r="E979" s="6" t="s">
        <v>174</v>
      </c>
      <c r="F979" s="6">
        <v>56</v>
      </c>
      <c r="G979" s="6">
        <v>1964</v>
      </c>
      <c r="H979" s="6">
        <v>334</v>
      </c>
      <c r="I979" s="6">
        <v>5.4379999999999997</v>
      </c>
      <c r="J979" s="6">
        <v>267.62599999999998</v>
      </c>
      <c r="K979" s="6">
        <v>84</v>
      </c>
    </row>
    <row r="980" spans="1:11" ht="12" customHeight="1">
      <c r="A980" s="6">
        <v>20526</v>
      </c>
      <c r="B980" s="6" t="s">
        <v>1422</v>
      </c>
      <c r="C980" s="6" t="s">
        <v>440</v>
      </c>
      <c r="E980" s="6" t="s">
        <v>253</v>
      </c>
      <c r="F980" s="6">
        <v>86</v>
      </c>
      <c r="G980" s="6">
        <v>1989</v>
      </c>
      <c r="H980" s="6">
        <v>997</v>
      </c>
      <c r="I980" s="6">
        <v>0</v>
      </c>
      <c r="J980" s="6">
        <v>0</v>
      </c>
      <c r="K980" s="6">
        <v>0</v>
      </c>
    </row>
    <row r="981" spans="1:11" ht="12" customHeight="1">
      <c r="A981" s="6">
        <v>20541</v>
      </c>
      <c r="B981" s="6" t="s">
        <v>1481</v>
      </c>
      <c r="C981" s="6" t="s">
        <v>1133</v>
      </c>
      <c r="E981" s="6" t="s">
        <v>435</v>
      </c>
      <c r="F981" s="6">
        <v>93</v>
      </c>
      <c r="G981" s="6">
        <v>1963</v>
      </c>
      <c r="H981" s="6">
        <v>646</v>
      </c>
      <c r="I981" s="6">
        <v>0.34399999999999997</v>
      </c>
      <c r="J981" s="6">
        <v>16.672000000000001</v>
      </c>
      <c r="K981" s="6">
        <v>0</v>
      </c>
    </row>
    <row r="982" spans="1:11" ht="12" customHeight="1">
      <c r="A982" s="6">
        <v>17081</v>
      </c>
      <c r="B982" s="6" t="s">
        <v>1424</v>
      </c>
      <c r="C982" s="6" t="s">
        <v>592</v>
      </c>
      <c r="D982" s="6" t="s">
        <v>316</v>
      </c>
      <c r="E982" s="6" t="s">
        <v>299</v>
      </c>
      <c r="F982" s="6">
        <v>42</v>
      </c>
      <c r="G982" s="6">
        <v>1945</v>
      </c>
      <c r="H982" s="6">
        <v>258</v>
      </c>
      <c r="I982" s="6">
        <v>6.7039999999999997</v>
      </c>
      <c r="J982" s="6">
        <v>430.71</v>
      </c>
      <c r="K982" s="6">
        <v>132</v>
      </c>
    </row>
    <row r="983" spans="1:11" ht="12" customHeight="1">
      <c r="A983" s="6">
        <v>15075</v>
      </c>
      <c r="B983" s="6" t="s">
        <v>1426</v>
      </c>
      <c r="C983" s="6" t="s">
        <v>497</v>
      </c>
      <c r="D983" s="6" t="s">
        <v>316</v>
      </c>
      <c r="E983" s="6" t="s">
        <v>229</v>
      </c>
      <c r="F983" s="6">
        <v>1</v>
      </c>
      <c r="G983" s="6">
        <v>1956</v>
      </c>
      <c r="H983" s="6">
        <v>390</v>
      </c>
      <c r="I983" s="6">
        <v>4.1879999999999997</v>
      </c>
      <c r="J983" s="6">
        <v>189.452</v>
      </c>
      <c r="K983" s="6">
        <v>52</v>
      </c>
    </row>
    <row r="984" spans="1:11" ht="12" customHeight="1">
      <c r="A984" s="6">
        <v>98352</v>
      </c>
      <c r="B984" s="6" t="s">
        <v>1427</v>
      </c>
      <c r="C984" s="6" t="s">
        <v>550</v>
      </c>
      <c r="D984" s="6" t="s">
        <v>316</v>
      </c>
      <c r="E984" s="6" t="s">
        <v>229</v>
      </c>
      <c r="F984" s="6">
        <v>1</v>
      </c>
      <c r="G984" s="6">
        <v>1967</v>
      </c>
      <c r="H984" s="6">
        <v>451</v>
      </c>
      <c r="I984" s="6">
        <v>2.6259999999999999</v>
      </c>
      <c r="J984" s="6">
        <v>133.76499999999999</v>
      </c>
      <c r="K984" s="6">
        <v>33</v>
      </c>
    </row>
    <row r="985" spans="1:11" ht="12" customHeight="1">
      <c r="A985" s="6">
        <v>96205</v>
      </c>
      <c r="B985" s="6" t="s">
        <v>1428</v>
      </c>
      <c r="C985" s="6" t="s">
        <v>492</v>
      </c>
      <c r="E985" s="6" t="s">
        <v>229</v>
      </c>
      <c r="F985" s="6">
        <v>1</v>
      </c>
      <c r="G985" s="6">
        <v>1953</v>
      </c>
      <c r="H985" s="6">
        <v>317</v>
      </c>
      <c r="I985" s="6">
        <v>6.3129999999999997</v>
      </c>
      <c r="J985" s="6">
        <v>310.29599999999999</v>
      </c>
      <c r="K985" s="6">
        <v>74</v>
      </c>
    </row>
    <row r="986" spans="1:11" ht="12" customHeight="1">
      <c r="A986" s="6">
        <v>20527</v>
      </c>
      <c r="B986" s="6" t="s">
        <v>1430</v>
      </c>
      <c r="C986" s="6" t="s">
        <v>499</v>
      </c>
      <c r="E986" s="6" t="s">
        <v>253</v>
      </c>
      <c r="F986" s="6">
        <v>86</v>
      </c>
      <c r="G986" s="6">
        <v>1989</v>
      </c>
      <c r="H986" s="6">
        <v>998</v>
      </c>
      <c r="I986" s="6">
        <v>0</v>
      </c>
      <c r="J986" s="6">
        <v>0</v>
      </c>
      <c r="K986" s="6">
        <v>0</v>
      </c>
    </row>
    <row r="987" spans="1:11" ht="12" customHeight="1">
      <c r="A987" s="6">
        <v>21819</v>
      </c>
      <c r="B987" s="6" t="s">
        <v>1431</v>
      </c>
      <c r="C987" s="6" t="s">
        <v>514</v>
      </c>
      <c r="E987" s="6" t="s">
        <v>361</v>
      </c>
      <c r="F987" s="6">
        <v>36</v>
      </c>
      <c r="G987" s="6">
        <v>1952</v>
      </c>
      <c r="H987" s="6">
        <v>999</v>
      </c>
      <c r="I987" s="6">
        <v>0</v>
      </c>
      <c r="J987" s="6">
        <v>0</v>
      </c>
      <c r="K987" s="6">
        <v>0</v>
      </c>
    </row>
    <row r="988" spans="1:11" ht="12" customHeight="1">
      <c r="A988" s="6">
        <v>17093</v>
      </c>
      <c r="B988" s="6" t="s">
        <v>1432</v>
      </c>
      <c r="C988" s="6" t="s">
        <v>1354</v>
      </c>
      <c r="E988" s="6" t="s">
        <v>144</v>
      </c>
      <c r="F988" s="6">
        <v>63</v>
      </c>
      <c r="G988" s="6">
        <v>1967</v>
      </c>
      <c r="H988" s="6">
        <v>199</v>
      </c>
      <c r="I988" s="6">
        <v>17.658000000000001</v>
      </c>
      <c r="J988" s="6">
        <v>662.76900000000001</v>
      </c>
      <c r="K988" s="6">
        <v>28</v>
      </c>
    </row>
    <row r="989" spans="1:11" ht="12" customHeight="1">
      <c r="A989" s="6">
        <v>10047</v>
      </c>
      <c r="B989" s="6" t="s">
        <v>1432</v>
      </c>
      <c r="C989" s="6" t="s">
        <v>548</v>
      </c>
      <c r="E989" s="6" t="s">
        <v>144</v>
      </c>
      <c r="F989" s="6">
        <v>63</v>
      </c>
      <c r="G989" s="6">
        <v>1997</v>
      </c>
      <c r="H989" s="6">
        <v>138</v>
      </c>
      <c r="I989" s="6">
        <v>22.376000000000001</v>
      </c>
      <c r="J989" s="6">
        <v>1033.4100000000001</v>
      </c>
      <c r="K989" s="6">
        <v>186</v>
      </c>
    </row>
    <row r="990" spans="1:11" ht="12" customHeight="1">
      <c r="A990" s="6">
        <v>13053</v>
      </c>
      <c r="B990" s="6" t="s">
        <v>1435</v>
      </c>
      <c r="C990" s="6" t="s">
        <v>592</v>
      </c>
      <c r="D990" s="6" t="s">
        <v>316</v>
      </c>
      <c r="E990" s="6" t="s">
        <v>456</v>
      </c>
      <c r="F990" s="6">
        <v>70</v>
      </c>
      <c r="G990" s="6">
        <v>1946</v>
      </c>
      <c r="H990" s="6">
        <v>1000</v>
      </c>
      <c r="I990" s="6">
        <v>0</v>
      </c>
      <c r="J990" s="6">
        <v>0</v>
      </c>
      <c r="K990" s="6">
        <v>0</v>
      </c>
    </row>
    <row r="991" spans="1:11" ht="12" customHeight="1">
      <c r="A991" s="6">
        <v>97272</v>
      </c>
      <c r="B991" s="6" t="s">
        <v>1436</v>
      </c>
      <c r="C991" s="6" t="s">
        <v>499</v>
      </c>
      <c r="E991" s="6" t="s">
        <v>229</v>
      </c>
      <c r="F991" s="6">
        <v>1</v>
      </c>
      <c r="G991" s="6">
        <v>1957</v>
      </c>
      <c r="H991" s="6">
        <v>461</v>
      </c>
      <c r="I991" s="6">
        <v>2.5950000000000002</v>
      </c>
      <c r="J991" s="6">
        <v>125.402</v>
      </c>
      <c r="K991" s="6">
        <v>25</v>
      </c>
    </row>
    <row r="992" spans="1:11" ht="12" customHeight="1">
      <c r="A992" s="6">
        <v>15068</v>
      </c>
      <c r="B992" s="6" t="s">
        <v>1439</v>
      </c>
      <c r="C992" s="6" t="s">
        <v>852</v>
      </c>
      <c r="E992" s="6" t="s">
        <v>502</v>
      </c>
      <c r="F992" s="6">
        <v>24</v>
      </c>
      <c r="G992" s="6">
        <v>1956</v>
      </c>
      <c r="H992" s="6">
        <v>76</v>
      </c>
      <c r="I992" s="6">
        <v>23.532</v>
      </c>
      <c r="J992" s="6">
        <v>1563.09</v>
      </c>
      <c r="K992" s="6">
        <v>527</v>
      </c>
    </row>
    <row r="993" spans="1:11" ht="12" customHeight="1">
      <c r="A993" s="6">
        <v>19005</v>
      </c>
      <c r="B993" s="6" t="s">
        <v>1440</v>
      </c>
      <c r="C993" s="6" t="s">
        <v>563</v>
      </c>
      <c r="E993" s="6" t="s">
        <v>515</v>
      </c>
      <c r="F993" s="6">
        <v>28</v>
      </c>
      <c r="G993" s="6">
        <v>1959</v>
      </c>
      <c r="H993" s="6">
        <v>490</v>
      </c>
      <c r="I993" s="6">
        <v>3.5</v>
      </c>
      <c r="J993" s="6">
        <v>100.492</v>
      </c>
      <c r="K993" s="6">
        <v>0</v>
      </c>
    </row>
    <row r="994" spans="1:11" ht="12" customHeight="1">
      <c r="A994" s="6">
        <v>97262</v>
      </c>
      <c r="B994" s="6" t="s">
        <v>1441</v>
      </c>
      <c r="C994" s="6" t="s">
        <v>1240</v>
      </c>
      <c r="D994" s="6" t="s">
        <v>316</v>
      </c>
      <c r="E994" s="6" t="s">
        <v>515</v>
      </c>
      <c r="F994" s="6">
        <v>28</v>
      </c>
      <c r="G994" s="6">
        <v>1964</v>
      </c>
      <c r="H994" s="6">
        <v>1001</v>
      </c>
      <c r="I994" s="6">
        <v>0</v>
      </c>
      <c r="J994" s="6">
        <v>0</v>
      </c>
      <c r="K994" s="6">
        <v>0</v>
      </c>
    </row>
    <row r="995" spans="1:11" ht="12" customHeight="1">
      <c r="A995" s="6">
        <v>21820</v>
      </c>
      <c r="B995" s="6" t="s">
        <v>1442</v>
      </c>
      <c r="C995" s="6" t="s">
        <v>470</v>
      </c>
      <c r="E995" s="6" t="s">
        <v>361</v>
      </c>
      <c r="F995" s="6">
        <v>36</v>
      </c>
      <c r="G995" s="6">
        <v>1959</v>
      </c>
      <c r="H995" s="6">
        <v>1002</v>
      </c>
      <c r="I995" s="6">
        <v>0</v>
      </c>
      <c r="J995" s="6">
        <v>0</v>
      </c>
      <c r="K995" s="6">
        <v>0</v>
      </c>
    </row>
    <row r="996" spans="1:11" ht="12" customHeight="1">
      <c r="A996" s="6">
        <v>16012</v>
      </c>
      <c r="B996" s="6" t="s">
        <v>1482</v>
      </c>
      <c r="C996" s="6" t="s">
        <v>576</v>
      </c>
      <c r="E996" s="6" t="s">
        <v>425</v>
      </c>
      <c r="F996" s="6">
        <v>79</v>
      </c>
      <c r="G996" s="6">
        <v>2001</v>
      </c>
      <c r="H996" s="6">
        <v>1003</v>
      </c>
      <c r="I996" s="6">
        <v>0</v>
      </c>
      <c r="J996" s="6">
        <v>0</v>
      </c>
      <c r="K996" s="6">
        <v>0</v>
      </c>
    </row>
    <row r="997" spans="1:11" ht="12" customHeight="1">
      <c r="A997" s="6">
        <v>18021</v>
      </c>
      <c r="B997" s="6" t="s">
        <v>1483</v>
      </c>
      <c r="C997" s="6" t="s">
        <v>737</v>
      </c>
      <c r="D997" s="6" t="s">
        <v>316</v>
      </c>
      <c r="E997" s="6" t="s">
        <v>572</v>
      </c>
      <c r="F997" s="6">
        <v>87</v>
      </c>
      <c r="G997" s="6">
        <v>1938</v>
      </c>
      <c r="H997" s="6">
        <v>411</v>
      </c>
      <c r="I997" s="6">
        <v>2.907</v>
      </c>
      <c r="J997" s="6">
        <v>167.59</v>
      </c>
      <c r="K997" s="6">
        <v>40</v>
      </c>
    </row>
    <row r="998" spans="1:11" ht="12" customHeight="1">
      <c r="A998" s="6">
        <v>17049</v>
      </c>
      <c r="B998" s="6" t="s">
        <v>1484</v>
      </c>
      <c r="C998" s="6" t="s">
        <v>422</v>
      </c>
      <c r="E998" s="6" t="s">
        <v>361</v>
      </c>
      <c r="F998" s="6">
        <v>36</v>
      </c>
      <c r="G998" s="6">
        <v>1951</v>
      </c>
      <c r="H998" s="6">
        <v>1004</v>
      </c>
      <c r="I998" s="6">
        <v>0</v>
      </c>
      <c r="J998" s="6">
        <v>0</v>
      </c>
      <c r="K998" s="6">
        <v>0</v>
      </c>
    </row>
    <row r="999" spans="1:11" ht="12" customHeight="1">
      <c r="A999" s="6">
        <v>19044</v>
      </c>
      <c r="B999" s="6" t="s">
        <v>1443</v>
      </c>
      <c r="C999" s="6" t="s">
        <v>1108</v>
      </c>
      <c r="D999" s="6" t="s">
        <v>434</v>
      </c>
      <c r="E999" s="6" t="s">
        <v>229</v>
      </c>
      <c r="F999" s="6">
        <v>1</v>
      </c>
      <c r="G999" s="6">
        <v>2007</v>
      </c>
      <c r="H999" s="6">
        <v>477</v>
      </c>
      <c r="I999" s="6">
        <v>3</v>
      </c>
      <c r="J999" s="6">
        <v>110.42700000000001</v>
      </c>
      <c r="K999" s="6">
        <v>0</v>
      </c>
    </row>
    <row r="1000" spans="1:11" ht="12" customHeight="1">
      <c r="A1000" s="6">
        <v>20575</v>
      </c>
      <c r="B1000" s="6" t="s">
        <v>1444</v>
      </c>
      <c r="C1000" s="6" t="s">
        <v>911</v>
      </c>
      <c r="D1000" s="6" t="s">
        <v>451</v>
      </c>
      <c r="E1000" s="6" t="s">
        <v>229</v>
      </c>
      <c r="F1000" s="6">
        <v>1</v>
      </c>
      <c r="G1000" s="6">
        <v>2009</v>
      </c>
      <c r="H1000" s="6">
        <v>1005</v>
      </c>
      <c r="I1000" s="6">
        <v>0</v>
      </c>
      <c r="J1000" s="6">
        <v>0</v>
      </c>
      <c r="K1000" s="6">
        <v>0</v>
      </c>
    </row>
    <row r="1001" spans="1:11" ht="12" customHeight="1">
      <c r="A1001" s="6">
        <v>15026</v>
      </c>
      <c r="B1001" s="6" t="s">
        <v>1445</v>
      </c>
      <c r="C1001" s="6" t="s">
        <v>482</v>
      </c>
      <c r="E1001" s="6" t="s">
        <v>134</v>
      </c>
      <c r="F1001" s="6">
        <v>64</v>
      </c>
      <c r="G1001" s="6">
        <v>1964</v>
      </c>
      <c r="H1001" s="6">
        <v>1006</v>
      </c>
      <c r="I1001" s="6">
        <v>0</v>
      </c>
      <c r="J1001" s="6">
        <v>0</v>
      </c>
      <c r="K1001" s="6">
        <v>0</v>
      </c>
    </row>
    <row r="1002" spans="1:11" ht="12" customHeight="1">
      <c r="A1002" s="6">
        <v>16059</v>
      </c>
      <c r="B1002" s="6" t="s">
        <v>1445</v>
      </c>
      <c r="C1002" s="6" t="s">
        <v>441</v>
      </c>
      <c r="E1002" s="6" t="s">
        <v>802</v>
      </c>
      <c r="F1002" s="6">
        <v>83</v>
      </c>
      <c r="G1002" s="6">
        <v>1975</v>
      </c>
      <c r="H1002" s="6">
        <v>1007</v>
      </c>
      <c r="I1002" s="6">
        <v>0</v>
      </c>
      <c r="J1002" s="6">
        <v>0</v>
      </c>
      <c r="K1002" s="6">
        <v>0</v>
      </c>
    </row>
    <row r="1003" spans="1:11" ht="12" customHeight="1">
      <c r="A1003" s="6">
        <v>24258</v>
      </c>
      <c r="B1003" s="6" t="s">
        <v>1445</v>
      </c>
      <c r="C1003" s="6" t="s">
        <v>1485</v>
      </c>
      <c r="E1003" s="6" t="s">
        <v>229</v>
      </c>
      <c r="F1003" s="6">
        <v>1</v>
      </c>
      <c r="G1003" s="6">
        <v>1942</v>
      </c>
      <c r="H1003" s="6">
        <v>1008</v>
      </c>
      <c r="I1003" s="6">
        <v>0</v>
      </c>
      <c r="J1003" s="6">
        <v>0</v>
      </c>
      <c r="K1003" s="6">
        <v>0</v>
      </c>
    </row>
    <row r="1004" spans="1:11" ht="12" customHeight="1">
      <c r="A1004" s="6">
        <v>98369</v>
      </c>
      <c r="B1004" s="6" t="s">
        <v>1446</v>
      </c>
      <c r="C1004" s="6" t="s">
        <v>536</v>
      </c>
      <c r="D1004" s="6" t="s">
        <v>316</v>
      </c>
      <c r="E1004" s="6" t="s">
        <v>515</v>
      </c>
      <c r="F1004" s="6">
        <v>28</v>
      </c>
      <c r="G1004" s="6">
        <v>1957</v>
      </c>
      <c r="H1004" s="6">
        <v>1009</v>
      </c>
      <c r="I1004" s="6">
        <v>0</v>
      </c>
      <c r="J1004" s="6">
        <v>0</v>
      </c>
      <c r="K1004" s="6">
        <v>0</v>
      </c>
    </row>
    <row r="1005" spans="1:11" ht="12" customHeight="1">
      <c r="A1005" s="6">
        <v>20522</v>
      </c>
      <c r="B1005" s="6" t="s">
        <v>1486</v>
      </c>
      <c r="C1005" s="6" t="s">
        <v>487</v>
      </c>
      <c r="D1005" s="6" t="s">
        <v>451</v>
      </c>
      <c r="E1005" s="6" t="s">
        <v>653</v>
      </c>
      <c r="F1005" s="6">
        <v>77</v>
      </c>
      <c r="G1005" s="6">
        <v>2009</v>
      </c>
      <c r="H1005" s="6">
        <v>1010</v>
      </c>
      <c r="I1005" s="6">
        <v>0</v>
      </c>
      <c r="J1005" s="6">
        <v>0</v>
      </c>
      <c r="K1005" s="6">
        <v>0</v>
      </c>
    </row>
    <row r="1006" spans="1:11" ht="12" customHeight="1">
      <c r="A1006" s="6">
        <v>19057</v>
      </c>
      <c r="B1006" s="6" t="s">
        <v>1447</v>
      </c>
      <c r="C1006" s="6" t="s">
        <v>817</v>
      </c>
      <c r="D1006" s="6" t="s">
        <v>434</v>
      </c>
      <c r="E1006" s="6" t="s">
        <v>653</v>
      </c>
      <c r="F1006" s="6">
        <v>77</v>
      </c>
      <c r="G1006" s="6">
        <v>2007</v>
      </c>
      <c r="H1006" s="6">
        <v>1011</v>
      </c>
      <c r="I1006" s="6">
        <v>0</v>
      </c>
      <c r="J1006" s="6">
        <v>0</v>
      </c>
      <c r="K1006" s="6">
        <v>0</v>
      </c>
    </row>
    <row r="1007" spans="1:11" ht="12" customHeight="1">
      <c r="A1007" s="6">
        <v>24275</v>
      </c>
      <c r="B1007" s="6" t="s">
        <v>1447</v>
      </c>
      <c r="C1007" s="6" t="s">
        <v>548</v>
      </c>
      <c r="E1007" s="6" t="s">
        <v>393</v>
      </c>
      <c r="F1007" s="6">
        <v>52</v>
      </c>
      <c r="G1007" s="6">
        <v>1963</v>
      </c>
      <c r="H1007" s="6">
        <v>357</v>
      </c>
      <c r="I1007" s="6">
        <v>7.125</v>
      </c>
      <c r="J1007" s="6">
        <v>232.03</v>
      </c>
      <c r="K1007" s="6">
        <v>36</v>
      </c>
    </row>
    <row r="1008" spans="1:11" ht="12" customHeight="1">
      <c r="A1008" s="6">
        <v>14019</v>
      </c>
      <c r="B1008" s="6" t="s">
        <v>1487</v>
      </c>
      <c r="C1008" s="6" t="s">
        <v>642</v>
      </c>
      <c r="D1008" s="6" t="s">
        <v>316</v>
      </c>
      <c r="E1008" s="6" t="s">
        <v>120</v>
      </c>
      <c r="F1008" s="6">
        <v>54</v>
      </c>
      <c r="G1008" s="6">
        <v>1945</v>
      </c>
      <c r="H1008" s="6">
        <v>1012</v>
      </c>
      <c r="I1008" s="6">
        <v>0</v>
      </c>
      <c r="J1008" s="6">
        <v>0</v>
      </c>
      <c r="K1008" s="6">
        <v>0</v>
      </c>
    </row>
    <row r="1009" spans="1:11" ht="12" customHeight="1">
      <c r="A1009" s="6">
        <v>27080</v>
      </c>
      <c r="B1009" s="6" t="s">
        <v>1448</v>
      </c>
      <c r="C1009" s="6" t="s">
        <v>427</v>
      </c>
      <c r="E1009" s="6" t="s">
        <v>299</v>
      </c>
      <c r="F1009" s="6">
        <v>42</v>
      </c>
      <c r="G1009" s="6">
        <v>1970</v>
      </c>
      <c r="H1009" s="6">
        <v>280</v>
      </c>
      <c r="I1009" s="6">
        <v>4.0469999999999997</v>
      </c>
      <c r="J1009" s="6">
        <v>391.94099999999997</v>
      </c>
      <c r="K1009" s="6">
        <v>204</v>
      </c>
    </row>
    <row r="1010" spans="1:11" ht="12" customHeight="1">
      <c r="A1010" s="6">
        <v>15028</v>
      </c>
      <c r="B1010" s="6" t="s">
        <v>1488</v>
      </c>
      <c r="C1010" s="6" t="s">
        <v>609</v>
      </c>
      <c r="E1010" s="6" t="s">
        <v>425</v>
      </c>
      <c r="F1010" s="6">
        <v>79</v>
      </c>
      <c r="G1010" s="6">
        <v>1987</v>
      </c>
      <c r="H1010" s="6">
        <v>342</v>
      </c>
      <c r="I1010" s="6">
        <v>6.5940000000000003</v>
      </c>
      <c r="J1010" s="6">
        <v>255.16399999999999</v>
      </c>
      <c r="K1010" s="6">
        <v>0</v>
      </c>
    </row>
    <row r="1011" spans="1:11" ht="12" customHeight="1">
      <c r="A1011" s="6">
        <v>23086</v>
      </c>
      <c r="B1011" s="6" t="s">
        <v>1451</v>
      </c>
      <c r="C1011" s="6" t="s">
        <v>440</v>
      </c>
      <c r="E1011" s="6" t="s">
        <v>375</v>
      </c>
      <c r="F1011" s="6">
        <v>43</v>
      </c>
      <c r="G1011" s="6">
        <v>1955</v>
      </c>
      <c r="H1011" s="6">
        <v>28</v>
      </c>
      <c r="I1011" s="6">
        <v>35.313000000000002</v>
      </c>
      <c r="J1011" s="6">
        <v>2167.6759999999999</v>
      </c>
      <c r="K1011" s="6">
        <v>708</v>
      </c>
    </row>
    <row r="1012" spans="1:11" ht="12" customHeight="1">
      <c r="A1012" s="6">
        <v>16090</v>
      </c>
      <c r="B1012" s="6" t="s">
        <v>1489</v>
      </c>
      <c r="C1012" s="6" t="s">
        <v>480</v>
      </c>
      <c r="D1012" s="6" t="s">
        <v>316</v>
      </c>
      <c r="E1012" s="6" t="s">
        <v>572</v>
      </c>
      <c r="F1012" s="6">
        <v>87</v>
      </c>
      <c r="G1012" s="6">
        <v>1945</v>
      </c>
      <c r="H1012" s="6">
        <v>505</v>
      </c>
      <c r="I1012" s="6">
        <v>0.93799999999999994</v>
      </c>
      <c r="J1012" s="6">
        <v>93.903999999999996</v>
      </c>
      <c r="K1012" s="6">
        <v>49</v>
      </c>
    </row>
    <row r="1013" spans="1:11" ht="12" customHeight="1">
      <c r="A1013" s="6">
        <v>26010</v>
      </c>
      <c r="B1013" s="6" t="s">
        <v>1452</v>
      </c>
      <c r="C1013" s="6" t="s">
        <v>482</v>
      </c>
      <c r="E1013" s="6" t="s">
        <v>229</v>
      </c>
      <c r="F1013" s="6">
        <v>1</v>
      </c>
      <c r="G1013" s="6">
        <v>1953</v>
      </c>
      <c r="H1013" s="6">
        <v>45</v>
      </c>
      <c r="I1013" s="6">
        <v>29.814</v>
      </c>
      <c r="J1013" s="6">
        <v>1877.8589999999999</v>
      </c>
      <c r="K1013" s="6">
        <v>546</v>
      </c>
    </row>
    <row r="1014" spans="1:11" ht="12" customHeight="1">
      <c r="A1014" s="6">
        <v>14022</v>
      </c>
      <c r="B1014" s="6" t="s">
        <v>1453</v>
      </c>
      <c r="C1014" s="6" t="s">
        <v>536</v>
      </c>
      <c r="D1014" s="6" t="s">
        <v>316</v>
      </c>
      <c r="E1014" s="6" t="s">
        <v>520</v>
      </c>
      <c r="F1014" s="6">
        <v>55</v>
      </c>
      <c r="G1014" s="6">
        <v>1985</v>
      </c>
      <c r="H1014" s="6">
        <v>1013</v>
      </c>
      <c r="I1014" s="6">
        <v>0</v>
      </c>
      <c r="J1014" s="6">
        <v>0</v>
      </c>
      <c r="K1014" s="6">
        <v>0</v>
      </c>
    </row>
    <row r="1015" spans="1:11" ht="12" customHeight="1">
      <c r="A1015" s="6">
        <v>28009</v>
      </c>
      <c r="B1015" s="6" t="s">
        <v>1453</v>
      </c>
      <c r="C1015" s="6" t="s">
        <v>1104</v>
      </c>
      <c r="D1015" s="6" t="s">
        <v>316</v>
      </c>
      <c r="E1015" s="6" t="s">
        <v>229</v>
      </c>
      <c r="F1015" s="6">
        <v>1</v>
      </c>
      <c r="G1015" s="6">
        <v>1955</v>
      </c>
      <c r="H1015" s="6">
        <v>449</v>
      </c>
      <c r="I1015" s="6">
        <v>2.657</v>
      </c>
      <c r="J1015" s="6">
        <v>134.91499999999999</v>
      </c>
      <c r="K1015" s="6">
        <v>33</v>
      </c>
    </row>
    <row r="1016" spans="1:11" ht="12" customHeight="1">
      <c r="A1016" s="6">
        <v>16066</v>
      </c>
      <c r="B1016" s="6" t="s">
        <v>1454</v>
      </c>
      <c r="C1016" s="6" t="s">
        <v>1455</v>
      </c>
      <c r="D1016" s="6" t="s">
        <v>316</v>
      </c>
      <c r="E1016" s="6" t="s">
        <v>456</v>
      </c>
      <c r="F1016" s="6">
        <v>70</v>
      </c>
      <c r="G1016" s="6">
        <v>1945</v>
      </c>
      <c r="H1016" s="6">
        <v>1014</v>
      </c>
      <c r="I1016" s="6">
        <v>0</v>
      </c>
      <c r="J1016" s="6">
        <v>0</v>
      </c>
      <c r="K1016" s="6">
        <v>0</v>
      </c>
    </row>
    <row r="1017" spans="1:11" ht="12" customHeight="1">
      <c r="A1017" s="6">
        <v>20509</v>
      </c>
      <c r="B1017" s="6" t="s">
        <v>1456</v>
      </c>
      <c r="C1017" s="6" t="s">
        <v>852</v>
      </c>
      <c r="E1017" s="6" t="s">
        <v>704</v>
      </c>
      <c r="F1017" s="6">
        <v>45</v>
      </c>
      <c r="G1017" s="6">
        <v>1971</v>
      </c>
      <c r="H1017" s="6">
        <v>399</v>
      </c>
      <c r="I1017" s="6">
        <v>3.125</v>
      </c>
      <c r="J1017" s="6">
        <v>181.60400000000001</v>
      </c>
      <c r="K1017" s="6">
        <v>54</v>
      </c>
    </row>
    <row r="1018" spans="1:11" ht="12" customHeight="1">
      <c r="A1018" s="6">
        <v>19031</v>
      </c>
      <c r="B1018" s="6" t="s">
        <v>1457</v>
      </c>
      <c r="C1018" s="6" t="s">
        <v>638</v>
      </c>
      <c r="D1018" s="6" t="s">
        <v>434</v>
      </c>
      <c r="E1018" s="6" t="s">
        <v>169</v>
      </c>
      <c r="F1018" s="6">
        <v>69</v>
      </c>
      <c r="G1018" s="6">
        <v>2006</v>
      </c>
      <c r="H1018" s="6">
        <v>265</v>
      </c>
      <c r="I1018" s="6">
        <v>8.2210000000000001</v>
      </c>
      <c r="J1018" s="6">
        <v>423.82600000000002</v>
      </c>
      <c r="K1018" s="6">
        <v>141</v>
      </c>
    </row>
    <row r="1019" spans="1:11" ht="12" customHeight="1">
      <c r="A1019" s="6">
        <v>19017</v>
      </c>
      <c r="B1019" s="6" t="s">
        <v>1490</v>
      </c>
      <c r="C1019" s="6" t="s">
        <v>487</v>
      </c>
      <c r="D1019" s="6" t="s">
        <v>316</v>
      </c>
      <c r="E1019" s="6" t="s">
        <v>253</v>
      </c>
      <c r="F1019" s="6">
        <v>86</v>
      </c>
      <c r="G1019" s="6">
        <v>1995</v>
      </c>
      <c r="H1019" s="6">
        <v>1015</v>
      </c>
      <c r="I1019" s="6">
        <v>0</v>
      </c>
      <c r="J1019" s="6">
        <v>0</v>
      </c>
      <c r="K1019" s="6">
        <v>0</v>
      </c>
    </row>
    <row r="1020" spans="1:11" ht="12" customHeight="1">
      <c r="D1020" s="479"/>
      <c r="E1020" s="480"/>
      <c r="F1020" s="479"/>
      <c r="G1020" s="480"/>
    </row>
  </sheetData>
  <mergeCells count="4">
    <mergeCell ref="F2:G2"/>
    <mergeCell ref="D3:E3"/>
    <mergeCell ref="D1020:E1020"/>
    <mergeCell ref="F1020:G1020"/>
  </mergeCell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30</v>
      </c>
      <c r="B1" s="175" t="s">
        <v>1794</v>
      </c>
      <c r="C1" s="274" t="s">
        <v>1856</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AD1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AD2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AD3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AD4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60" priority="1" operator="equal">
      <formula>0</formula>
    </cfRule>
  </conditionalFormatting>
  <conditionalFormatting sqref="J6:K6 N6:O7 R6:S8 V6:W9 Z6:AA10">
    <cfRule type="cellIs" dxfId="59" priority="2" operator="equal">
      <formula>0</formula>
    </cfRule>
  </conditionalFormatting>
  <conditionalFormatting sqref="B6:B11">
    <cfRule type="expression" dxfId="58" priority="3">
      <formula>IF(C6=1,TRUE,FALSE)</formula>
    </cfRule>
  </conditionalFormatting>
  <conditionalFormatting sqref="B6:B11">
    <cfRule type="expression" dxfId="57"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31</v>
      </c>
      <c r="B1" s="175" t="s">
        <v>1794</v>
      </c>
      <c r="C1" s="274" t="s">
        <v>1857</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AE1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AE2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AE3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AE4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56" priority="1" operator="equal">
      <formula>0</formula>
    </cfRule>
  </conditionalFormatting>
  <conditionalFormatting sqref="J6:K6 N6:O7 R6:S8 V6:W9 Z6:AA10">
    <cfRule type="cellIs" dxfId="55" priority="2" operator="equal">
      <formula>0</formula>
    </cfRule>
  </conditionalFormatting>
  <conditionalFormatting sqref="B6:B11">
    <cfRule type="expression" dxfId="54" priority="3">
      <formula>IF(C6=1,TRUE,FALSE)</formula>
    </cfRule>
  </conditionalFormatting>
  <conditionalFormatting sqref="B6:B11">
    <cfRule type="expression" dxfId="53"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B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8" hidden="1" customWidth="1"/>
    <col min="48" max="48" width="10.875" hidden="1" customWidth="1"/>
    <col min="49" max="49" width="8" hidden="1" customWidth="1"/>
    <col min="50" max="55" width="3.25" hidden="1" customWidth="1"/>
    <col min="56" max="56" width="4.375" hidden="1" customWidth="1"/>
    <col min="57" max="57" width="8" hidden="1" customWidth="1"/>
    <col min="58" max="63" width="3.25" hidden="1" customWidth="1"/>
    <col min="64" max="64" width="4.375" hidden="1" customWidth="1"/>
    <col min="65" max="65" width="8" hidden="1" customWidth="1"/>
    <col min="66" max="71" width="3.25" hidden="1" customWidth="1"/>
    <col min="72" max="72" width="4.375" hidden="1" customWidth="1"/>
    <col min="73" max="73" width="8" hidden="1" customWidth="1"/>
    <col min="74" max="79" width="3.25" hidden="1" customWidth="1"/>
    <col min="80" max="80" width="4.375" hidden="1" customWidth="1"/>
  </cols>
  <sheetData>
    <row r="1" spans="1:80" ht="33.75" customHeight="1">
      <c r="A1" s="174">
        <v>32</v>
      </c>
      <c r="B1" s="175" t="s">
        <v>1794</v>
      </c>
      <c r="C1" s="274" t="s">
        <v>1858</v>
      </c>
      <c r="D1" s="69"/>
      <c r="E1" s="69"/>
      <c r="F1" s="177" t="s">
        <v>1712</v>
      </c>
      <c r="G1" s="178">
        <f>$AV$12</f>
        <v>0</v>
      </c>
      <c r="H1" s="179" t="s">
        <v>1796</v>
      </c>
      <c r="I1" s="69"/>
      <c r="J1" s="69"/>
      <c r="K1" s="69"/>
      <c r="L1" s="69"/>
      <c r="M1" s="69"/>
      <c r="N1" s="69"/>
      <c r="O1" s="69"/>
      <c r="P1" s="180" t="s">
        <v>1797</v>
      </c>
      <c r="Q1" s="74"/>
      <c r="R1" s="181">
        <f ca="1">INDIRECT(ADDRESS(4,A1,1,1,"Hřiště"))</f>
        <v>0</v>
      </c>
      <c r="S1" s="181">
        <f ca="1">INDIRECT(ADDRESS(5,A1,1,1,"Hřiště"))</f>
        <v>0</v>
      </c>
      <c r="T1" s="181"/>
      <c r="U1" s="69"/>
      <c r="V1" s="69"/>
      <c r="W1" s="69"/>
      <c r="X1" s="69"/>
      <c r="Y1" s="69"/>
      <c r="Z1" s="177" t="s">
        <v>1798</v>
      </c>
      <c r="AA1" s="178">
        <f>IF(G1=0,0,CHOOSE(G1,0,1,1,2,2,3))</f>
        <v>0</v>
      </c>
      <c r="AB1" s="69"/>
      <c r="AC1" s="69"/>
      <c r="AD1" s="69"/>
      <c r="AE1" s="182" t="s">
        <v>1799</v>
      </c>
      <c r="AF1" s="69"/>
      <c r="AG1" s="69"/>
      <c r="AH1" s="69"/>
      <c r="AI1" s="69"/>
      <c r="AJ1" s="69"/>
      <c r="AK1" s="69"/>
      <c r="AL1" s="69"/>
      <c r="AM1" s="69"/>
      <c r="AN1" s="69"/>
      <c r="AO1" s="69"/>
      <c r="AP1" s="69"/>
      <c r="AQ1" s="69"/>
      <c r="AR1" s="69"/>
      <c r="AS1" s="69"/>
      <c r="AT1" s="69"/>
      <c r="AU1" s="69"/>
      <c r="AV1" s="69"/>
      <c r="AX1" s="182" t="s">
        <v>1800</v>
      </c>
    </row>
    <row r="2" spans="1:80" ht="25.5"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182"/>
      <c r="AF2" s="182"/>
      <c r="AG2" s="182"/>
      <c r="AH2" s="182"/>
      <c r="AI2" s="182"/>
      <c r="AJ2" s="182"/>
      <c r="AK2" s="182"/>
      <c r="AL2" s="182"/>
      <c r="AM2" s="182"/>
      <c r="AN2" s="182"/>
      <c r="AO2" s="182"/>
      <c r="AP2" s="69"/>
      <c r="AQ2" s="69"/>
      <c r="AR2" s="69"/>
      <c r="AS2" s="69"/>
      <c r="AT2" s="69"/>
      <c r="AU2" s="69"/>
      <c r="AV2" s="69"/>
    </row>
    <row r="3" spans="1:80" ht="20.25" customHeight="1">
      <c r="A3" s="183"/>
      <c r="B3" s="183"/>
      <c r="C3" s="69"/>
      <c r="D3" s="69"/>
      <c r="E3" s="69"/>
      <c r="F3" s="69"/>
      <c r="G3" s="184">
        <v>1</v>
      </c>
      <c r="H3" s="69"/>
      <c r="I3" s="69"/>
      <c r="J3" s="69"/>
      <c r="K3" s="184">
        <v>2</v>
      </c>
      <c r="L3" s="69"/>
      <c r="M3" s="69"/>
      <c r="N3" s="69"/>
      <c r="O3" s="184">
        <v>3</v>
      </c>
      <c r="P3" s="69"/>
      <c r="Q3" s="69"/>
      <c r="R3" s="69"/>
      <c r="S3" s="184">
        <v>4</v>
      </c>
      <c r="T3" s="69"/>
      <c r="U3" s="69"/>
      <c r="V3" s="69"/>
      <c r="W3" s="184">
        <v>5</v>
      </c>
      <c r="X3" s="69"/>
      <c r="Y3" s="69"/>
      <c r="Z3" s="69"/>
      <c r="AA3" s="184">
        <v>6</v>
      </c>
      <c r="AB3" s="110"/>
      <c r="AC3" s="110"/>
      <c r="AD3" s="110"/>
      <c r="AE3" s="185">
        <v>1</v>
      </c>
      <c r="AF3" s="185">
        <v>2</v>
      </c>
      <c r="AG3" s="69" t="s">
        <v>1801</v>
      </c>
      <c r="AH3" s="185"/>
      <c r="AI3" s="185"/>
      <c r="AJ3" s="185"/>
      <c r="AK3" s="185">
        <v>3</v>
      </c>
      <c r="AL3" s="69" t="s">
        <v>1801</v>
      </c>
      <c r="AM3" s="185"/>
      <c r="AN3" s="185"/>
      <c r="AO3" s="185"/>
      <c r="AP3" s="185">
        <v>4</v>
      </c>
      <c r="AQ3" s="185">
        <v>5</v>
      </c>
      <c r="AR3" s="185">
        <v>6</v>
      </c>
      <c r="AS3" s="110"/>
      <c r="AT3" s="110"/>
      <c r="AU3" s="110"/>
      <c r="AV3" s="11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W3" s="160"/>
      <c r="BX3" s="160"/>
      <c r="BY3" s="160"/>
      <c r="BZ3" s="160"/>
      <c r="CA3" s="160"/>
      <c r="CB3" s="160"/>
    </row>
    <row r="4" spans="1:80" ht="30" customHeight="1">
      <c r="A4" s="186" t="s">
        <v>1802</v>
      </c>
      <c r="B4" s="187" t="s">
        <v>1743</v>
      </c>
      <c r="C4" s="188" t="s">
        <v>1739</v>
      </c>
      <c r="D4" s="188" t="s">
        <v>1803</v>
      </c>
      <c r="E4" s="189" t="s">
        <v>1797</v>
      </c>
      <c r="F4" s="487" t="s">
        <v>1804</v>
      </c>
      <c r="G4" s="488"/>
      <c r="H4" s="484" t="s">
        <v>1804</v>
      </c>
      <c r="I4" s="485"/>
      <c r="J4" s="485"/>
      <c r="K4" s="486"/>
      <c r="L4" s="484" t="s">
        <v>1804</v>
      </c>
      <c r="M4" s="485"/>
      <c r="N4" s="485"/>
      <c r="O4" s="486"/>
      <c r="P4" s="484" t="s">
        <v>1804</v>
      </c>
      <c r="Q4" s="485"/>
      <c r="R4" s="485"/>
      <c r="S4" s="486"/>
      <c r="T4" s="484" t="s">
        <v>1804</v>
      </c>
      <c r="U4" s="485"/>
      <c r="V4" s="485"/>
      <c r="W4" s="486"/>
      <c r="X4" s="484" t="s">
        <v>1804</v>
      </c>
      <c r="Y4" s="485"/>
      <c r="Z4" s="485"/>
      <c r="AA4" s="486"/>
      <c r="AB4" s="190"/>
      <c r="AC4" s="190"/>
      <c r="AD4" s="191" t="s">
        <v>1805</v>
      </c>
      <c r="AE4" s="192" t="s">
        <v>1806</v>
      </c>
      <c r="AF4" s="192" t="s">
        <v>1807</v>
      </c>
      <c r="AG4" s="193">
        <v>4</v>
      </c>
      <c r="AH4" s="193">
        <v>3</v>
      </c>
      <c r="AI4" s="193">
        <v>2</v>
      </c>
      <c r="AJ4" s="193">
        <v>1</v>
      </c>
      <c r="AK4" s="194" t="s">
        <v>1808</v>
      </c>
      <c r="AL4" s="193">
        <v>4</v>
      </c>
      <c r="AM4" s="193">
        <v>3</v>
      </c>
      <c r="AN4" s="193">
        <v>2</v>
      </c>
      <c r="AO4" s="193">
        <v>1</v>
      </c>
      <c r="AP4" s="194" t="s">
        <v>1809</v>
      </c>
      <c r="AQ4" s="194" t="s">
        <v>1810</v>
      </c>
      <c r="AR4" s="195" t="s">
        <v>1811</v>
      </c>
      <c r="AS4" s="196" t="s">
        <v>1812</v>
      </c>
      <c r="AT4" s="110" t="s">
        <v>1813</v>
      </c>
      <c r="AU4" s="69"/>
      <c r="AV4" s="194" t="s">
        <v>1814</v>
      </c>
      <c r="AX4" s="6" t="s">
        <v>1815</v>
      </c>
      <c r="BF4" s="6" t="s">
        <v>1816</v>
      </c>
      <c r="BN4" s="6" t="s">
        <v>1817</v>
      </c>
      <c r="BV4" s="6" t="s">
        <v>1818</v>
      </c>
    </row>
    <row r="5" spans="1:80" ht="6" customHeight="1">
      <c r="A5" s="197"/>
      <c r="B5" s="198"/>
      <c r="C5" s="199"/>
      <c r="D5" s="199"/>
      <c r="E5" s="199"/>
      <c r="F5" s="200"/>
      <c r="G5" s="201"/>
      <c r="H5" s="199"/>
      <c r="I5" s="199"/>
      <c r="J5" s="200"/>
      <c r="K5" s="201"/>
      <c r="L5" s="199"/>
      <c r="M5" s="199"/>
      <c r="N5" s="200"/>
      <c r="O5" s="201"/>
      <c r="P5" s="199"/>
      <c r="Q5" s="199"/>
      <c r="R5" s="200"/>
      <c r="S5" s="201"/>
      <c r="T5" s="199"/>
      <c r="U5" s="199"/>
      <c r="V5" s="200"/>
      <c r="W5" s="201"/>
      <c r="X5" s="199"/>
      <c r="Y5" s="199"/>
      <c r="Z5" s="200"/>
      <c r="AA5" s="201"/>
      <c r="AB5" s="190"/>
      <c r="AC5" s="190"/>
      <c r="AD5" s="190"/>
      <c r="AE5" s="202"/>
      <c r="AF5" s="202"/>
      <c r="AG5" s="202"/>
      <c r="AH5" s="202"/>
      <c r="AI5" s="202"/>
      <c r="AJ5" s="202"/>
      <c r="AK5" s="202"/>
      <c r="AL5" s="202"/>
      <c r="AM5" s="202"/>
      <c r="AN5" s="202"/>
      <c r="AO5" s="202"/>
      <c r="AP5" s="203"/>
      <c r="AQ5" s="203"/>
      <c r="AR5" s="204"/>
      <c r="AS5" s="205"/>
      <c r="AT5" s="69"/>
      <c r="AU5" s="69"/>
      <c r="AV5" s="69"/>
    </row>
    <row r="6" spans="1:80" ht="36" customHeight="1">
      <c r="A6" s="206">
        <v>1</v>
      </c>
      <c r="B6" s="207" t="str">
        <f>IF(TYPE(VLOOKUP(CONCATENATE($C$1,A6),Skupiny!$A$3:$B$194,2,0))&gt;3," - ",VLOOKUP(CONCATENATE($C$1,A6),Skupiny!$A$3:$B$194,2,0))</f>
        <v xml:space="preserve"> - </v>
      </c>
      <c r="C6" s="208" t="str">
        <f t="shared" ref="C6:C11" si="0">IF(CB6=0,"",CB6)</f>
        <v/>
      </c>
      <c r="D6" s="209"/>
      <c r="E6" s="210"/>
      <c r="F6" s="211"/>
      <c r="G6" s="212"/>
      <c r="H6" s="213" t="str">
        <f>IF(TYPE(VLOOKUP(VALUE(CONCATENATE(TEXT($G$1,"0"),TEXT($A6,"0"),TEXT(K$3,"0"))),RozpisKK!$AA$3:$AD$76,3,0))&gt;3,"",VLOOKUP(VALUE(CONCATENATE(TEXT($G$1,"0"),TEXT($A6,"0"),TEXT(K$3,"0"))),RozpisKK!$AA$3:$AD$76,3,0))</f>
        <v/>
      </c>
      <c r="I6" s="214" t="str">
        <f>IF(TYPE(VLOOKUP(VALUE(CONCATENATE(TEXT($G$1,"0"),TEXT($A6,"0"),TEXT(K$3,"0"))),RozpisKK!$AA$3:$AD$76,3,0))&gt;3,"",VLOOKUP(VALUE(CONCATENATE(TEXT($G$1,"0"),TEXT($A6,"0"),TEXT(K$3,"0"))),RozpisKK!$AA$3:$AD$76,4,0)+$R$1-1)</f>
        <v/>
      </c>
      <c r="J6" s="215">
        <f>$G$7</f>
        <v>0</v>
      </c>
      <c r="K6" s="216">
        <f>$F$7</f>
        <v>0</v>
      </c>
      <c r="L6" s="213" t="str">
        <f>IF(TYPE(VLOOKUP(VALUE(CONCATENATE(TEXT($G$1,"0"),TEXT($A6,"0"),TEXT(O$3,"0"))),RozpisKK!$AA$3:$AD$76,3,0))&gt;3,"",VLOOKUP(VALUE(CONCATENATE(TEXT($G$1,"0"),TEXT($A6,"0"),TEXT(O$3,"0"))),RozpisKK!$AA$3:$AD$76,3,0))</f>
        <v/>
      </c>
      <c r="M6" s="214" t="str">
        <f>IF(TYPE(VLOOKUP(VALUE(CONCATENATE(TEXT($G$1,"0"),TEXT($A6,"0"),TEXT(O$3,"0"))),RozpisKK!$AA$3:$AD$76,3,0))&gt;3,"",VLOOKUP(VALUE(CONCATENATE(TEXT($G$1,"0"),TEXT($A6,"0"),TEXT(O$3,"0"))),RozpisKK!$AA$3:$AD$76,4,0)+$R$1-1)</f>
        <v/>
      </c>
      <c r="N6" s="215">
        <f>$G$8</f>
        <v>0</v>
      </c>
      <c r="O6" s="216">
        <f>$F$8</f>
        <v>0</v>
      </c>
      <c r="P6" s="213" t="str">
        <f>IF(TYPE(VLOOKUP(VALUE(CONCATENATE(TEXT($G$1,"0"),TEXT($A6,"0"),TEXT(S$3,"0"))),RozpisKK!$AA$3:$AD$76,3,0))&gt;3,"",VLOOKUP(VALUE(CONCATENATE(TEXT($G$1,"0"),TEXT($A6,"0"),TEXT(S$3,"0"))),RozpisKK!$AA$3:$AD$76,3,0))</f>
        <v/>
      </c>
      <c r="Q6" s="214" t="str">
        <f>IF(TYPE(VLOOKUP(VALUE(CONCATENATE(TEXT($G$1,"0"),TEXT($A6,"0"),TEXT(S$3,"0"))),RozpisKK!$AA$3:$AD$76,3,0))&gt;3,"",VLOOKUP(VALUE(CONCATENATE(TEXT($G$1,"0"),TEXT($A6,"0"),TEXT(S$3,"0"))),RozpisKK!$AA$3:$AD$76,4,0)+$R$1-1)</f>
        <v/>
      </c>
      <c r="R6" s="215">
        <f>$G$9</f>
        <v>0</v>
      </c>
      <c r="S6" s="216">
        <f>$F$9</f>
        <v>0</v>
      </c>
      <c r="T6" s="213" t="str">
        <f>IF(TYPE(VLOOKUP(VALUE(CONCATENATE(TEXT($G$1,"0"),TEXT($A6,"0"),TEXT(W$3,"0"))),RozpisKK!$AA$3:$AD$76,3,0))&gt;3,"",VLOOKUP(VALUE(CONCATENATE(TEXT($G$1,"0"),TEXT($A6,"0"),TEXT(W$3,"0"))),RozpisKK!$AA$3:$AD$76,3,0))</f>
        <v/>
      </c>
      <c r="U6" s="214" t="str">
        <f>IF(TYPE(VLOOKUP(VALUE(CONCATENATE(TEXT($G$1,"0"),TEXT($A6,"0"),TEXT(W$3,"0"))),RozpisKK!$AA$3:$AD$76,3,0))&gt;3,"",VLOOKUP(VALUE(CONCATENATE(TEXT($G$1,"0"),TEXT($A6,"0"),TEXT(W$3,"0"))),RozpisKK!$AA$3:$AD$76,4,0)+$R$1-1)</f>
        <v/>
      </c>
      <c r="V6" s="215">
        <f>$G$10</f>
        <v>0</v>
      </c>
      <c r="W6" s="216">
        <f>$F$10</f>
        <v>0</v>
      </c>
      <c r="X6" s="213" t="str">
        <f>IF(TYPE(VLOOKUP(VALUE(CONCATENATE(TEXT($G$1,"0"),TEXT($A6,"0"),TEXT(AA$3,"0"))),RozpisKK!$AA$3:$AD$76,3,0))&gt;3,"",VLOOKUP(VALUE(CONCATENATE(TEXT($G$1,"0"),TEXT($A6,"0"),TEXT(AA$3,"0"))),RozpisKK!$AA$3:$AD$76,3,0))</f>
        <v/>
      </c>
      <c r="Y6" s="214" t="str">
        <f>IF(TYPE(VLOOKUP(VALUE(CONCATENATE(TEXT($G$1,"0"),TEXT($A6,"0"),TEXT(AA$3,"0"))),RozpisKK!$AA$3:$AD$76,3,0))&gt;3,"",VLOOKUP(VALUE(CONCATENATE(TEXT($G$1,"0"),TEXT($A6,"0"),TEXT(AA$3,"0"))),RozpisKK!$AA$3:$AD$76,4,0)+$R$1-1)</f>
        <v/>
      </c>
      <c r="Z6" s="215">
        <f>$G$11</f>
        <v>0</v>
      </c>
      <c r="AA6" s="216">
        <f>$F$11</f>
        <v>0</v>
      </c>
      <c r="AB6" s="69"/>
      <c r="AC6" s="69"/>
      <c r="AD6" s="217">
        <f t="shared" ref="AD6:AD11" si="1">IF(OR(F6&gt;0,G6&gt;0,J6&gt;0,K6&gt;0,N6&gt;0,O6&gt;0,R6&gt;0,S6&gt;0,V6&gt;0,W6&gt;0,Z6&gt;0,AA6&gt;0),1,0)</f>
        <v>0</v>
      </c>
      <c r="AE6" s="218">
        <f t="shared" ref="AE6:AE11" si="2">SUM(AX6:BC6)</f>
        <v>0</v>
      </c>
      <c r="AF6" s="219"/>
      <c r="AG6" s="219">
        <f t="shared" ref="AG6:AG11" si="3">BD22</f>
        <v>0</v>
      </c>
      <c r="AH6" s="219">
        <f t="shared" ref="AH6:AH11" si="4">BD31</f>
        <v>0</v>
      </c>
      <c r="AI6" s="219">
        <f t="shared" ref="AI6:AI11" si="5">BD40</f>
        <v>0</v>
      </c>
      <c r="AJ6" s="219">
        <f t="shared" ref="AJ6:AJ11" si="6">BD49</f>
        <v>0</v>
      </c>
      <c r="AK6" s="219"/>
      <c r="AL6" s="219">
        <f t="shared" ref="AL6:AL11" si="7">BL22</f>
        <v>0</v>
      </c>
      <c r="AM6" s="219">
        <f t="shared" ref="AM6:AM11" si="8">BL31</f>
        <v>0</v>
      </c>
      <c r="AN6" s="219">
        <f t="shared" ref="AN6:AN11" si="9">BL40</f>
        <v>0</v>
      </c>
      <c r="AO6" s="219">
        <f t="shared" ref="AO6:AO11" si="10">BL49</f>
        <v>0</v>
      </c>
      <c r="AP6" s="220">
        <f t="shared" ref="AP6:AP11" si="11">SUM(BF6:BK6)</f>
        <v>0</v>
      </c>
      <c r="AQ6" s="220">
        <f t="shared" ref="AQ6:AQ11" si="12">SUM(BN6:BS6)</f>
        <v>0</v>
      </c>
      <c r="AR6" s="221"/>
      <c r="AS6" s="222" t="str">
        <f t="shared" ref="AS6:AS11" si="13">CONCATENATE(TEXT(AD6,"0"),TEXT(AE6,"0"),TEXT(AG6,"0"),TEXT(AH6,"0"),TEXT(AI6,"0"),TEXT(AJ6,"0"),TEXT(100+AL6,"000"),TEXT(100+AM6,"000"),TEXT(100+AN6,"000"),TEXT(100+AO6,"000"),TEXT(100+AP6,"000"),TEXT(AQ6,"000"))</f>
        <v>000000100100100100100000</v>
      </c>
      <c r="AT6" s="223">
        <f t="shared" ref="AT6:AT11" si="14">CB6</f>
        <v>0</v>
      </c>
      <c r="AU6" s="69"/>
      <c r="AV6" s="217">
        <f t="shared" ref="AV6:AV11" si="15">IF(OR(B6="",B6=" - "),0,1)</f>
        <v>0</v>
      </c>
      <c r="AX6" s="224">
        <f t="shared" ref="AX6:AX11" si="16">IF(F6&gt;G6,1,0)</f>
        <v>0</v>
      </c>
      <c r="AY6" s="224">
        <f t="shared" ref="AY6:AY11" si="17">IF(J6&gt;K6,1,0)</f>
        <v>0</v>
      </c>
      <c r="AZ6" s="224">
        <f t="shared" ref="AZ6:AZ11" si="18">IF(N6&gt;O6,1,0)</f>
        <v>0</v>
      </c>
      <c r="BA6" s="224">
        <f t="shared" ref="BA6:BA11" si="19">IF(R6&gt;S6,1,0)</f>
        <v>0</v>
      </c>
      <c r="BB6" s="224">
        <f t="shared" ref="BB6:BB11" si="20">IF(V6&gt;W6,1,0)</f>
        <v>0</v>
      </c>
      <c r="BC6" s="224">
        <f t="shared" ref="BC6:BC11" si="21">IF(Z6&gt;AA6,1,0)</f>
        <v>0</v>
      </c>
      <c r="BD6" s="224">
        <f t="shared" ref="BD6:BD11" si="22">SUM(AX6:BC6)</f>
        <v>0</v>
      </c>
      <c r="BF6" s="224">
        <f t="shared" ref="BF6:BF11" si="23">F6-G6</f>
        <v>0</v>
      </c>
      <c r="BG6" s="224">
        <f t="shared" ref="BG6:BG11" si="24">J6-K6</f>
        <v>0</v>
      </c>
      <c r="BH6" s="224">
        <f t="shared" ref="BH6:BH11" si="25">N6-O6</f>
        <v>0</v>
      </c>
      <c r="BI6" s="224">
        <f t="shared" ref="BI6:BI11" si="26">R6-S6</f>
        <v>0</v>
      </c>
      <c r="BJ6" s="224">
        <f t="shared" ref="BJ6:BJ11" si="27">V6-W6</f>
        <v>0</v>
      </c>
      <c r="BK6" s="224">
        <f t="shared" ref="BK6:BK11" si="28">Z6-AA6</f>
        <v>0</v>
      </c>
      <c r="BL6" s="224">
        <f t="shared" ref="BL6:BL11" si="29">SUM(BF6:BK6)</f>
        <v>0</v>
      </c>
      <c r="BN6" s="224">
        <f t="shared" ref="BN6:BN11" si="30">F6</f>
        <v>0</v>
      </c>
      <c r="BO6" s="224">
        <f t="shared" ref="BO6:BO11" si="31">J6</f>
        <v>0</v>
      </c>
      <c r="BP6" s="224">
        <f t="shared" ref="BP6:BP11" si="32">N6</f>
        <v>0</v>
      </c>
      <c r="BQ6" s="224">
        <f t="shared" ref="BQ6:BQ11" si="33">R6</f>
        <v>0</v>
      </c>
      <c r="BR6" s="224">
        <f t="shared" ref="BR6:BR11" si="34">V6</f>
        <v>0</v>
      </c>
      <c r="BS6" s="224">
        <f t="shared" ref="BS6:BS11" si="35">Z6</f>
        <v>0</v>
      </c>
      <c r="BT6" s="224">
        <f t="shared" ref="BT6:BT11" si="36">SUM(BN6:BS6)</f>
        <v>0</v>
      </c>
      <c r="BV6" s="224">
        <f t="shared" ref="BV6:BV11" si="37">IF(AS6&lt;AS$6,1,0)</f>
        <v>0</v>
      </c>
      <c r="BW6" s="224">
        <f t="shared" ref="BW6:BW11" si="38">IF(AS6&lt;AS$7,1,0)</f>
        <v>0</v>
      </c>
      <c r="BX6" s="224">
        <f t="shared" ref="BX6:BX11" si="39">IF(AS6&lt;AS$8,1,0)</f>
        <v>0</v>
      </c>
      <c r="BY6" s="224">
        <f t="shared" ref="BY6:BY11" si="40">IF(AS6&lt;AS$9,1,0)</f>
        <v>0</v>
      </c>
      <c r="BZ6" s="224">
        <f t="shared" ref="BZ6:BZ11" si="41">IF(AS6&lt;AS$10,1,0)</f>
        <v>0</v>
      </c>
      <c r="CA6" s="224">
        <f t="shared" ref="CA6:CA11" si="42">IF(AS6&lt;AS$11,1,0)</f>
        <v>0</v>
      </c>
      <c r="CB6" s="224">
        <f t="shared" ref="CB6:CB11" si="43">AD6*(SUM(BV6:CA6)+1)</f>
        <v>0</v>
      </c>
    </row>
    <row r="7" spans="1:80" ht="36" customHeight="1">
      <c r="A7" s="225">
        <v>2</v>
      </c>
      <c r="B7" s="226" t="str">
        <f>IF(TYPE(VLOOKUP(CONCATENATE($C$1,A7),Skupiny!$A$3:$B$194,2,0))&gt;3," - ",VLOOKUP(CONCATENATE($C$1,A7),Skupiny!$A$3:$B$194,2,0))</f>
        <v xml:space="preserve"> - </v>
      </c>
      <c r="C7" s="227" t="str">
        <f t="shared" si="0"/>
        <v/>
      </c>
      <c r="D7" s="228" t="str">
        <f>IF(TYPE(VLOOKUP(VALUE(CONCATENATE(TEXT($G$1,"0"),TEXT($A7,"0"),TEXT(G$3,"0"))),RozpisKK!$AA$3:$AD$76,3,0))&gt;3,"",VLOOKUP(VALUE(CONCATENATE(TEXT($G$1,"0"),TEXT($A7,"0"),TEXT(G$3,"0"))),RozpisKK!$AA$3:$AD$76,3,0))</f>
        <v/>
      </c>
      <c r="E7" s="229" t="str">
        <f>IF(TYPE(VLOOKUP(VALUE(CONCATENATE(TEXT($G$1,"0"),TEXT($A7,"0"),TEXT(G$3,"0"))),RozpisKK!$AA$3:$AD$76,3,0))&gt;3,"",VLOOKUP(VALUE(CONCATENATE(TEXT($G$1,"0"),TEXT($A7,"0"),TEXT(G$3,"0"))),RozpisKK!$AA$3:$AD$76,4,0)+$R$1-1)</f>
        <v/>
      </c>
      <c r="F7" s="230"/>
      <c r="G7" s="231"/>
      <c r="H7" s="232"/>
      <c r="I7" s="233"/>
      <c r="J7" s="234"/>
      <c r="K7" s="235"/>
      <c r="L7" s="236" t="str">
        <f>IF(TYPE(VLOOKUP(VALUE(CONCATENATE(TEXT($G$1,"0"),TEXT($A7,"0"),TEXT(O$3,"0"))),RozpisKK!$AA$3:$AD$76,3,0))&gt;3,"",VLOOKUP(VALUE(CONCATENATE(TEXT($G$1,"0"),TEXT($A7,"0"),TEXT(O$3,"0"))),RozpisKK!$AA$3:$AD$76,3,0))</f>
        <v/>
      </c>
      <c r="M7" s="237" t="str">
        <f>IF(TYPE(VLOOKUP(VALUE(CONCATENATE(TEXT($G$1,"0"),TEXT($A7,"0"),TEXT(O$3,"0"))),RozpisKK!$AA$3:$AD$76,3,0))&gt;3,"",VLOOKUP(VALUE(CONCATENATE(TEXT($G$1,"0"),TEXT($A7,"0"),TEXT(O$3,"0"))),RozpisKK!$AA$3:$AD$76,4,0)+$R$1-1)</f>
        <v/>
      </c>
      <c r="N7" s="238">
        <f>$K$8</f>
        <v>0</v>
      </c>
      <c r="O7" s="216">
        <f>$J$8</f>
        <v>0</v>
      </c>
      <c r="P7" s="236" t="str">
        <f>IF(TYPE(VLOOKUP(VALUE(CONCATENATE(TEXT($G$1,"0"),TEXT($A7,"0"),TEXT(S$3,"0"))),RozpisKK!$AA$3:$AD$76,3,0))&gt;3,"",VLOOKUP(VALUE(CONCATENATE(TEXT($G$1,"0"),TEXT($A7,"0"),TEXT(S$3,"0"))),RozpisKK!$AA$3:$AD$76,3,0))</f>
        <v/>
      </c>
      <c r="Q7" s="237" t="str">
        <f>IF(TYPE(VLOOKUP(VALUE(CONCATENATE(TEXT($G$1,"0"),TEXT($A7,"0"),TEXT(S$3,"0"))),RozpisKK!$AA$3:$AD$76,3,0))&gt;3,"",VLOOKUP(VALUE(CONCATENATE(TEXT($G$1,"0"),TEXT($A7,"0"),TEXT(S$3,"0"))),RozpisKK!$AA$3:$AD$76,4,0)+$R$1-1)</f>
        <v/>
      </c>
      <c r="R7" s="238">
        <f>$K$9</f>
        <v>0</v>
      </c>
      <c r="S7" s="216">
        <f>$J$9</f>
        <v>0</v>
      </c>
      <c r="T7" s="236" t="str">
        <f>IF(TYPE(VLOOKUP(VALUE(CONCATENATE(TEXT($G$1,"0"),TEXT($A7,"0"),TEXT(W$3,"0"))),RozpisKK!$AA$3:$AD$76,3,0))&gt;3,"",VLOOKUP(VALUE(CONCATENATE(TEXT($G$1,"0"),TEXT($A7,"0"),TEXT(W$3,"0"))),RozpisKK!$AA$3:$AD$76,3,0))</f>
        <v/>
      </c>
      <c r="U7" s="237" t="str">
        <f>IF(TYPE(VLOOKUP(VALUE(CONCATENATE(TEXT($G$1,"0"),TEXT($A7,"0"),TEXT(W$3,"0"))),RozpisKK!$AA$3:$AD$76,3,0))&gt;3,"",VLOOKUP(VALUE(CONCATENATE(TEXT($G$1,"0"),TEXT($A7,"0"),TEXT(W$3,"0"))),RozpisKK!$AA$3:$AD$76,4,0)+$R$1-1)</f>
        <v/>
      </c>
      <c r="V7" s="238">
        <f>$K$10</f>
        <v>0</v>
      </c>
      <c r="W7" s="216">
        <f>$J$10</f>
        <v>0</v>
      </c>
      <c r="X7" s="236" t="str">
        <f>IF(TYPE(VLOOKUP(VALUE(CONCATENATE(TEXT($G$1,"0"),TEXT($A7,"0"),TEXT(AA$3,"0"))),RozpisKK!$AA$3:$AD$76,3,0))&gt;3,"",VLOOKUP(VALUE(CONCATENATE(TEXT($G$1,"0"),TEXT($A7,"0"),TEXT(AA$3,"0"))),RozpisKK!$AA$3:$AD$76,3,0))</f>
        <v/>
      </c>
      <c r="Y7" s="237" t="str">
        <f>IF(TYPE(VLOOKUP(VALUE(CONCATENATE(TEXT($G$1,"0"),TEXT($A7,"0"),TEXT(AA$3,"0"))),RozpisKK!$AA$3:$AD$76,3,0))&gt;3,"",VLOOKUP(VALUE(CONCATENATE(TEXT($G$1,"0"),TEXT($A7,"0"),TEXT(AA$3,"0"))),RozpisKK!$AA$3:$AD$76,4,0)+$R$1-1)</f>
        <v/>
      </c>
      <c r="Z7" s="238">
        <f>$K$11</f>
        <v>0</v>
      </c>
      <c r="AA7" s="216">
        <f>$J$11</f>
        <v>0</v>
      </c>
      <c r="AB7" s="69"/>
      <c r="AC7" s="69"/>
      <c r="AD7" s="217">
        <f t="shared" si="1"/>
        <v>0</v>
      </c>
      <c r="AE7" s="239">
        <f t="shared" si="2"/>
        <v>0</v>
      </c>
      <c r="AF7" s="240"/>
      <c r="AG7" s="240">
        <f t="shared" si="3"/>
        <v>0</v>
      </c>
      <c r="AH7" s="240">
        <f t="shared" si="4"/>
        <v>0</v>
      </c>
      <c r="AI7" s="240">
        <f t="shared" si="5"/>
        <v>0</v>
      </c>
      <c r="AJ7" s="240">
        <f t="shared" si="6"/>
        <v>0</v>
      </c>
      <c r="AK7" s="240"/>
      <c r="AL7" s="219">
        <f t="shared" si="7"/>
        <v>0</v>
      </c>
      <c r="AM7" s="219">
        <f t="shared" si="8"/>
        <v>0</v>
      </c>
      <c r="AN7" s="219">
        <f t="shared" si="9"/>
        <v>0</v>
      </c>
      <c r="AO7" s="219">
        <f t="shared" si="10"/>
        <v>0</v>
      </c>
      <c r="AP7" s="220">
        <f t="shared" si="11"/>
        <v>0</v>
      </c>
      <c r="AQ7" s="220">
        <f t="shared" si="12"/>
        <v>0</v>
      </c>
      <c r="AR7" s="241"/>
      <c r="AS7" s="242" t="str">
        <f t="shared" si="13"/>
        <v>000000100100100100100000</v>
      </c>
      <c r="AT7" s="243">
        <f t="shared" si="14"/>
        <v>0</v>
      </c>
      <c r="AU7" s="69"/>
      <c r="AV7" s="217">
        <f t="shared" si="15"/>
        <v>0</v>
      </c>
      <c r="AX7" s="224">
        <f t="shared" si="16"/>
        <v>0</v>
      </c>
      <c r="AY7" s="224">
        <f t="shared" si="17"/>
        <v>0</v>
      </c>
      <c r="AZ7" s="224">
        <f t="shared" si="18"/>
        <v>0</v>
      </c>
      <c r="BA7" s="224">
        <f t="shared" si="19"/>
        <v>0</v>
      </c>
      <c r="BB7" s="224">
        <f t="shared" si="20"/>
        <v>0</v>
      </c>
      <c r="BC7" s="224">
        <f t="shared" si="21"/>
        <v>0</v>
      </c>
      <c r="BD7" s="224">
        <f t="shared" si="22"/>
        <v>0</v>
      </c>
      <c r="BF7" s="224">
        <f t="shared" si="23"/>
        <v>0</v>
      </c>
      <c r="BG7" s="224">
        <f t="shared" si="24"/>
        <v>0</v>
      </c>
      <c r="BH7" s="224">
        <f t="shared" si="25"/>
        <v>0</v>
      </c>
      <c r="BI7" s="224">
        <f t="shared" si="26"/>
        <v>0</v>
      </c>
      <c r="BJ7" s="224">
        <f t="shared" si="27"/>
        <v>0</v>
      </c>
      <c r="BK7" s="224">
        <f t="shared" si="28"/>
        <v>0</v>
      </c>
      <c r="BL7" s="224">
        <f t="shared" si="29"/>
        <v>0</v>
      </c>
      <c r="BN7" s="224">
        <f t="shared" si="30"/>
        <v>0</v>
      </c>
      <c r="BO7" s="224">
        <f t="shared" si="31"/>
        <v>0</v>
      </c>
      <c r="BP7" s="224">
        <f t="shared" si="32"/>
        <v>0</v>
      </c>
      <c r="BQ7" s="224">
        <f t="shared" si="33"/>
        <v>0</v>
      </c>
      <c r="BR7" s="224">
        <f t="shared" si="34"/>
        <v>0</v>
      </c>
      <c r="BS7" s="224">
        <f t="shared" si="35"/>
        <v>0</v>
      </c>
      <c r="BT7" s="224">
        <f t="shared" si="36"/>
        <v>0</v>
      </c>
      <c r="BV7" s="224">
        <f t="shared" si="37"/>
        <v>0</v>
      </c>
      <c r="BW7" s="224">
        <f t="shared" si="38"/>
        <v>0</v>
      </c>
      <c r="BX7" s="224">
        <f t="shared" si="39"/>
        <v>0</v>
      </c>
      <c r="BY7" s="224">
        <f t="shared" si="40"/>
        <v>0</v>
      </c>
      <c r="BZ7" s="224">
        <f t="shared" si="41"/>
        <v>0</v>
      </c>
      <c r="CA7" s="224">
        <f t="shared" si="42"/>
        <v>0</v>
      </c>
      <c r="CB7" s="224">
        <f t="shared" si="43"/>
        <v>0</v>
      </c>
    </row>
    <row r="8" spans="1:80" ht="36" customHeight="1">
      <c r="A8" s="225">
        <v>3</v>
      </c>
      <c r="B8" s="226" t="str">
        <f>IF(TYPE(VLOOKUP(CONCATENATE($C$1,A8),Skupiny!$A$3:$B$194,2,0))&gt;3," - ",VLOOKUP(CONCATENATE($C$1,A8),Skupiny!$A$3:$B$194,2,0))</f>
        <v xml:space="preserve"> - </v>
      </c>
      <c r="C8" s="227" t="str">
        <f t="shared" si="0"/>
        <v/>
      </c>
      <c r="D8" s="228" t="str">
        <f>IF(TYPE(VLOOKUP(VALUE(CONCATENATE(TEXT($G$1,"0"),TEXT($A8,"0"),TEXT(G$3,"0"))),RozpisKK!$AA$3:$AD$76,3,0))&gt;3,"",VLOOKUP(VALUE(CONCATENATE(TEXT($G$1,"0"),TEXT($A8,"0"),TEXT(G$3,"0"))),RozpisKK!$AA$3:$AD$76,3,0))</f>
        <v/>
      </c>
      <c r="E8" s="229" t="str">
        <f>IF(TYPE(VLOOKUP(VALUE(CONCATENATE(TEXT($G$1,"0"),TEXT($A8,"0"),TEXT(G$3,"0"))),RozpisKK!$AA$3:$AD$76,3,0))&gt;3,"",VLOOKUP(VALUE(CONCATENATE(TEXT($G$1,"0"),TEXT($A8,"0"),TEXT(G$3,"0"))),RozpisKK!$AA$3:$AD$76,4,0)+$R$1-1)</f>
        <v/>
      </c>
      <c r="F8" s="230"/>
      <c r="G8" s="231"/>
      <c r="H8" s="228" t="str">
        <f>IF(TYPE(VLOOKUP(VALUE(CONCATENATE(TEXT($G$1,"0"),TEXT($A8,"0"),TEXT(K$3,"0"))),RozpisKK!$AA$3:$AD$76,3,0))&gt;3,"",VLOOKUP(VALUE(CONCATENATE(TEXT($G$1,"0"),TEXT($A8,"0"),TEXT(K$3,"0"))),RozpisKK!$AA$3:$AD$76,3,0))</f>
        <v/>
      </c>
      <c r="I8" s="229" t="str">
        <f>IF(TYPE(VLOOKUP(VALUE(CONCATENATE(TEXT($G$1,"0"),TEXT($A8,"0"),TEXT(K$3,"0"))),RozpisKK!$AA$3:$AD$76,3,0))&gt;3,"",VLOOKUP(VALUE(CONCATENATE(TEXT($G$1,"0"),TEXT($A8,"0"),TEXT(K$3,"0"))),RozpisKK!$AA$3:$AD$76,4,0)+$R$1-1)</f>
        <v/>
      </c>
      <c r="J8" s="230"/>
      <c r="K8" s="231"/>
      <c r="L8" s="232"/>
      <c r="M8" s="233"/>
      <c r="N8" s="234"/>
      <c r="O8" s="235"/>
      <c r="P8" s="236" t="str">
        <f>IF(TYPE(VLOOKUP(VALUE(CONCATENATE(TEXT($G$1,"0"),TEXT($A8,"0"),TEXT(S$3,"0"))),RozpisKK!$AA$3:$AD$76,3,0))&gt;3,"",VLOOKUP(VALUE(CONCATENATE(TEXT($G$1,"0"),TEXT($A8,"0"),TEXT(S$3,"0"))),RozpisKK!$AA$3:$AD$76,3,0))</f>
        <v/>
      </c>
      <c r="Q8" s="237" t="str">
        <f>IF(TYPE(VLOOKUP(VALUE(CONCATENATE(TEXT($G$1,"0"),TEXT($A8,"0"),TEXT(S$3,"0"))),RozpisKK!$AA$3:$AD$76,3,0))&gt;3,"",VLOOKUP(VALUE(CONCATENATE(TEXT($G$1,"0"),TEXT($A8,"0"),TEXT(S$3,"0"))),RozpisKK!$AA$3:$AD$76,4,0)+$R$1-1)</f>
        <v/>
      </c>
      <c r="R8" s="238">
        <f>$O$9</f>
        <v>0</v>
      </c>
      <c r="S8" s="216">
        <f>$N$9</f>
        <v>0</v>
      </c>
      <c r="T8" s="236" t="str">
        <f>IF(TYPE(VLOOKUP(VALUE(CONCATENATE(TEXT($G$1,"0"),TEXT($A8,"0"),TEXT(W$3,"0"))),RozpisKK!$AA$3:$AD$76,3,0))&gt;3,"",VLOOKUP(VALUE(CONCATENATE(TEXT($G$1,"0"),TEXT($A8,"0"),TEXT(W$3,"0"))),RozpisKK!$AA$3:$AD$76,3,0))</f>
        <v/>
      </c>
      <c r="U8" s="237" t="str">
        <f>IF(TYPE(VLOOKUP(VALUE(CONCATENATE(TEXT($G$1,"0"),TEXT($A8,"0"),TEXT(W$3,"0"))),RozpisKK!$AA$3:$AD$76,3,0))&gt;3,"",VLOOKUP(VALUE(CONCATENATE(TEXT($G$1,"0"),TEXT($A8,"0"),TEXT(W$3,"0"))),RozpisKK!$AA$3:$AD$76,4,0)+$R$1-1)</f>
        <v/>
      </c>
      <c r="V8" s="238">
        <f>$O$10</f>
        <v>0</v>
      </c>
      <c r="W8" s="216">
        <f>$N$10</f>
        <v>0</v>
      </c>
      <c r="X8" s="236" t="str">
        <f>IF(TYPE(VLOOKUP(VALUE(CONCATENATE(TEXT($G$1,"0"),TEXT($A8,"0"),TEXT(AA$3,"0"))),RozpisKK!$AA$3:$AD$76,3,0))&gt;3,"",VLOOKUP(VALUE(CONCATENATE(TEXT($G$1,"0"),TEXT($A8,"0"),TEXT(AA$3,"0"))),RozpisKK!$AA$3:$AD$76,3,0))</f>
        <v/>
      </c>
      <c r="Y8" s="237" t="str">
        <f>IF(TYPE(VLOOKUP(VALUE(CONCATENATE(TEXT($G$1,"0"),TEXT($A8,"0"),TEXT(AA$3,"0"))),RozpisKK!$AA$3:$AD$76,3,0))&gt;3,"",VLOOKUP(VALUE(CONCATENATE(TEXT($G$1,"0"),TEXT($A8,"0"),TEXT(AA$3,"0"))),RozpisKK!$AA$3:$AD$76,4,0)+$R$1-1)</f>
        <v/>
      </c>
      <c r="Z8" s="238">
        <f>$O$11</f>
        <v>0</v>
      </c>
      <c r="AA8" s="216">
        <f>$N$11</f>
        <v>0</v>
      </c>
      <c r="AB8" s="69"/>
      <c r="AC8" s="69"/>
      <c r="AD8" s="217">
        <f t="shared" si="1"/>
        <v>0</v>
      </c>
      <c r="AE8" s="239">
        <f t="shared" si="2"/>
        <v>0</v>
      </c>
      <c r="AF8" s="240"/>
      <c r="AG8" s="240">
        <f t="shared" si="3"/>
        <v>0</v>
      </c>
      <c r="AH8" s="240">
        <f t="shared" si="4"/>
        <v>0</v>
      </c>
      <c r="AI8" s="240">
        <f t="shared" si="5"/>
        <v>0</v>
      </c>
      <c r="AJ8" s="240">
        <f t="shared" si="6"/>
        <v>0</v>
      </c>
      <c r="AK8" s="240"/>
      <c r="AL8" s="219">
        <f t="shared" si="7"/>
        <v>0</v>
      </c>
      <c r="AM8" s="219">
        <f t="shared" si="8"/>
        <v>0</v>
      </c>
      <c r="AN8" s="219">
        <f t="shared" si="9"/>
        <v>0</v>
      </c>
      <c r="AO8" s="219">
        <f t="shared" si="10"/>
        <v>0</v>
      </c>
      <c r="AP8" s="220">
        <f t="shared" si="11"/>
        <v>0</v>
      </c>
      <c r="AQ8" s="220">
        <f t="shared" si="12"/>
        <v>0</v>
      </c>
      <c r="AR8" s="241"/>
      <c r="AS8" s="242" t="str">
        <f t="shared" si="13"/>
        <v>000000100100100100100000</v>
      </c>
      <c r="AT8" s="243">
        <f t="shared" si="14"/>
        <v>0</v>
      </c>
      <c r="AU8" s="69"/>
      <c r="AV8" s="217">
        <f t="shared" si="15"/>
        <v>0</v>
      </c>
      <c r="AX8" s="224">
        <f t="shared" si="16"/>
        <v>0</v>
      </c>
      <c r="AY8" s="224">
        <f t="shared" si="17"/>
        <v>0</v>
      </c>
      <c r="AZ8" s="224">
        <f t="shared" si="18"/>
        <v>0</v>
      </c>
      <c r="BA8" s="224">
        <f t="shared" si="19"/>
        <v>0</v>
      </c>
      <c r="BB8" s="224">
        <f t="shared" si="20"/>
        <v>0</v>
      </c>
      <c r="BC8" s="224">
        <f t="shared" si="21"/>
        <v>0</v>
      </c>
      <c r="BD8" s="224">
        <f t="shared" si="22"/>
        <v>0</v>
      </c>
      <c r="BF8" s="224">
        <f t="shared" si="23"/>
        <v>0</v>
      </c>
      <c r="BG8" s="224">
        <f t="shared" si="24"/>
        <v>0</v>
      </c>
      <c r="BH8" s="224">
        <f t="shared" si="25"/>
        <v>0</v>
      </c>
      <c r="BI8" s="224">
        <f t="shared" si="26"/>
        <v>0</v>
      </c>
      <c r="BJ8" s="224">
        <f t="shared" si="27"/>
        <v>0</v>
      </c>
      <c r="BK8" s="224">
        <f t="shared" si="28"/>
        <v>0</v>
      </c>
      <c r="BL8" s="224">
        <f t="shared" si="29"/>
        <v>0</v>
      </c>
      <c r="BN8" s="224">
        <f t="shared" si="30"/>
        <v>0</v>
      </c>
      <c r="BO8" s="224">
        <f t="shared" si="31"/>
        <v>0</v>
      </c>
      <c r="BP8" s="224">
        <f t="shared" si="32"/>
        <v>0</v>
      </c>
      <c r="BQ8" s="224">
        <f t="shared" si="33"/>
        <v>0</v>
      </c>
      <c r="BR8" s="224">
        <f t="shared" si="34"/>
        <v>0</v>
      </c>
      <c r="BS8" s="224">
        <f t="shared" si="35"/>
        <v>0</v>
      </c>
      <c r="BT8" s="224">
        <f t="shared" si="36"/>
        <v>0</v>
      </c>
      <c r="BV8" s="224">
        <f t="shared" si="37"/>
        <v>0</v>
      </c>
      <c r="BW8" s="224">
        <f t="shared" si="38"/>
        <v>0</v>
      </c>
      <c r="BX8" s="224">
        <f t="shared" si="39"/>
        <v>0</v>
      </c>
      <c r="BY8" s="224">
        <f t="shared" si="40"/>
        <v>0</v>
      </c>
      <c r="BZ8" s="224">
        <f t="shared" si="41"/>
        <v>0</v>
      </c>
      <c r="CA8" s="224">
        <f t="shared" si="42"/>
        <v>0</v>
      </c>
      <c r="CB8" s="224">
        <f t="shared" si="43"/>
        <v>0</v>
      </c>
    </row>
    <row r="9" spans="1:80" ht="36" customHeight="1">
      <c r="A9" s="225">
        <v>4</v>
      </c>
      <c r="B9" s="226" t="str">
        <f>IF(TYPE(VLOOKUP(CONCATENATE($C$1,A9),Skupiny!$A$3:$B$194,2,0))&gt;3," - ",VLOOKUP(CONCATENATE($C$1,A9),Skupiny!$A$3:$B$194,2,0))</f>
        <v xml:space="preserve"> - </v>
      </c>
      <c r="C9" s="227" t="str">
        <f t="shared" si="0"/>
        <v/>
      </c>
      <c r="D9" s="228" t="str">
        <f>IF(TYPE(VLOOKUP(VALUE(CONCATENATE(TEXT($G$1,"0"),TEXT($A9,"0"),TEXT(G$3,"0"))),RozpisKK!$AA$3:$AD$76,3,0))&gt;3,"",VLOOKUP(VALUE(CONCATENATE(TEXT($G$1,"0"),TEXT($A9,"0"),TEXT(G$3,"0"))),RozpisKK!$AA$3:$AD$76,3,0))</f>
        <v/>
      </c>
      <c r="E9" s="229" t="str">
        <f>IF(TYPE(VLOOKUP(VALUE(CONCATENATE(TEXT($G$1,"0"),TEXT($A9,"0"),TEXT(G$3,"0"))),RozpisKK!$AA$3:$AD$76,3,0))&gt;3,"",VLOOKUP(VALUE(CONCATENATE(TEXT($G$1,"0"),TEXT($A9,"0"),TEXT(G$3,"0"))),RozpisKK!$AA$3:$AD$76,4,0)+$R$1-1)</f>
        <v/>
      </c>
      <c r="F9" s="230"/>
      <c r="G9" s="231"/>
      <c r="H9" s="228" t="str">
        <f>IF(TYPE(VLOOKUP(VALUE(CONCATENATE(TEXT($G$1,"0"),TEXT($A9,"0"),TEXT(K$3,"0"))),RozpisKK!$AA$3:$AD$76,3,0))&gt;3,"",VLOOKUP(VALUE(CONCATENATE(TEXT($G$1,"0"),TEXT($A9,"0"),TEXT(K$3,"0"))),RozpisKK!$AA$3:$AD$76,3,0))</f>
        <v/>
      </c>
      <c r="I9" s="229" t="str">
        <f>IF(TYPE(VLOOKUP(VALUE(CONCATENATE(TEXT($G$1,"0"),TEXT($A9,"0"),TEXT(K$3,"0"))),RozpisKK!$AA$3:$AD$76,3,0))&gt;3,"",VLOOKUP(VALUE(CONCATENATE(TEXT($G$1,"0"),TEXT($A9,"0"),TEXT(K$3,"0"))),RozpisKK!$AA$3:$AD$76,4,0)+$R$1-1)</f>
        <v/>
      </c>
      <c r="J9" s="230"/>
      <c r="K9" s="231"/>
      <c r="L9" s="228" t="str">
        <f>IF(TYPE(VLOOKUP(VALUE(CONCATENATE(TEXT($G$1,"0"),TEXT($A9,"0"),TEXT(O$3,"0"))),RozpisKK!$AA$3:$AD$76,3,0))&gt;3,"",VLOOKUP(VALUE(CONCATENATE(TEXT($G$1,"0"),TEXT($A9,"0"),TEXT(O$3,"0"))),RozpisKK!$AA$3:$AD$76,3,0))</f>
        <v/>
      </c>
      <c r="M9" s="229" t="str">
        <f>IF(TYPE(VLOOKUP(VALUE(CONCATENATE(TEXT($G$1,"0"),TEXT($A9,"0"),TEXT(O$3,"0"))),RozpisKK!$AA$3:$AD$76,3,0))&gt;3,"",VLOOKUP(VALUE(CONCATENATE(TEXT($G$1,"0"),TEXT($A9,"0"),TEXT(O$3,"0"))),RozpisKK!$AA$3:$AD$76,4,0)+$R$1-1)</f>
        <v/>
      </c>
      <c r="N9" s="230"/>
      <c r="O9" s="231"/>
      <c r="P9" s="232"/>
      <c r="Q9" s="233"/>
      <c r="R9" s="234"/>
      <c r="S9" s="235"/>
      <c r="T9" s="236" t="str">
        <f>IF(TYPE(VLOOKUP(VALUE(CONCATENATE(TEXT($G$1,"0"),TEXT($A9,"0"),TEXT(W$3,"0"))),RozpisKK!$AA$3:$AD$76,3,0))&gt;3,"",VLOOKUP(VALUE(CONCATENATE(TEXT($G$1,"0"),TEXT($A9,"0"),TEXT(W$3,"0"))),RozpisKK!$AA$3:$AD$76,3,0))</f>
        <v/>
      </c>
      <c r="U9" s="237" t="str">
        <f>IF(TYPE(VLOOKUP(VALUE(CONCATENATE(TEXT($G$1,"0"),TEXT($A9,"0"),TEXT(W$3,"0"))),RozpisKK!$AA$3:$AD$76,3,0))&gt;3,"",VLOOKUP(VALUE(CONCATENATE(TEXT($G$1,"0"),TEXT($A9,"0"),TEXT(W$3,"0"))),RozpisKK!$AA$3:$AD$76,4,0)+$R$1-1)</f>
        <v/>
      </c>
      <c r="V9" s="238">
        <f>$S$10</f>
        <v>0</v>
      </c>
      <c r="W9" s="216">
        <f>$R$10</f>
        <v>0</v>
      </c>
      <c r="X9" s="236" t="str">
        <f>IF(TYPE(VLOOKUP(VALUE(CONCATENATE(TEXT($G$1,"0"),TEXT($A9,"0"),TEXT(AA$3,"0"))),RozpisKK!$AA$3:$AD$76,3,0))&gt;3,"",VLOOKUP(VALUE(CONCATENATE(TEXT($G$1,"0"),TEXT($A9,"0"),TEXT(AA$3,"0"))),RozpisKK!$AA$3:$AD$76,3,0))</f>
        <v/>
      </c>
      <c r="Y9" s="237" t="str">
        <f>IF(TYPE(VLOOKUP(VALUE(CONCATENATE(TEXT($G$1,"0"),TEXT($A9,"0"),TEXT(AA$3,"0"))),RozpisKK!$AA$3:$AD$76,3,0))&gt;3,"",VLOOKUP(VALUE(CONCATENATE(TEXT($G$1,"0"),TEXT($A9,"0"),TEXT(AA$3,"0"))),RozpisKK!$AA$3:$AD$76,4,0)+$R$1-1)</f>
        <v/>
      </c>
      <c r="Z9" s="238">
        <f>$S$11</f>
        <v>0</v>
      </c>
      <c r="AA9" s="216">
        <f>$R$11</f>
        <v>0</v>
      </c>
      <c r="AB9" s="69"/>
      <c r="AC9" s="69"/>
      <c r="AD9" s="217">
        <f t="shared" si="1"/>
        <v>0</v>
      </c>
      <c r="AE9" s="239">
        <f t="shared" si="2"/>
        <v>0</v>
      </c>
      <c r="AF9" s="240"/>
      <c r="AG9" s="240">
        <f t="shared" si="3"/>
        <v>0</v>
      </c>
      <c r="AH9" s="240">
        <f t="shared" si="4"/>
        <v>0</v>
      </c>
      <c r="AI9" s="240">
        <f t="shared" si="5"/>
        <v>0</v>
      </c>
      <c r="AJ9" s="240">
        <f t="shared" si="6"/>
        <v>0</v>
      </c>
      <c r="AK9" s="240"/>
      <c r="AL9" s="219">
        <f t="shared" si="7"/>
        <v>0</v>
      </c>
      <c r="AM9" s="219">
        <f t="shared" si="8"/>
        <v>0</v>
      </c>
      <c r="AN9" s="219">
        <f t="shared" si="9"/>
        <v>0</v>
      </c>
      <c r="AO9" s="219">
        <f t="shared" si="10"/>
        <v>0</v>
      </c>
      <c r="AP9" s="220">
        <f t="shared" si="11"/>
        <v>0</v>
      </c>
      <c r="AQ9" s="220">
        <f t="shared" si="12"/>
        <v>0</v>
      </c>
      <c r="AR9" s="241"/>
      <c r="AS9" s="242" t="str">
        <f t="shared" si="13"/>
        <v>000000100100100100100000</v>
      </c>
      <c r="AT9" s="243">
        <f t="shared" si="14"/>
        <v>0</v>
      </c>
      <c r="AU9" s="69"/>
      <c r="AV9" s="217">
        <f t="shared" si="15"/>
        <v>0</v>
      </c>
      <c r="AX9" s="224">
        <f t="shared" si="16"/>
        <v>0</v>
      </c>
      <c r="AY9" s="224">
        <f t="shared" si="17"/>
        <v>0</v>
      </c>
      <c r="AZ9" s="224">
        <f t="shared" si="18"/>
        <v>0</v>
      </c>
      <c r="BA9" s="224">
        <f t="shared" si="19"/>
        <v>0</v>
      </c>
      <c r="BB9" s="224">
        <f t="shared" si="20"/>
        <v>0</v>
      </c>
      <c r="BC9" s="224">
        <f t="shared" si="21"/>
        <v>0</v>
      </c>
      <c r="BD9" s="224">
        <f t="shared" si="22"/>
        <v>0</v>
      </c>
      <c r="BF9" s="224">
        <f t="shared" si="23"/>
        <v>0</v>
      </c>
      <c r="BG9" s="224">
        <f t="shared" si="24"/>
        <v>0</v>
      </c>
      <c r="BH9" s="224">
        <f t="shared" si="25"/>
        <v>0</v>
      </c>
      <c r="BI9" s="224">
        <f t="shared" si="26"/>
        <v>0</v>
      </c>
      <c r="BJ9" s="224">
        <f t="shared" si="27"/>
        <v>0</v>
      </c>
      <c r="BK9" s="224">
        <f t="shared" si="28"/>
        <v>0</v>
      </c>
      <c r="BL9" s="224">
        <f t="shared" si="29"/>
        <v>0</v>
      </c>
      <c r="BN9" s="224">
        <f t="shared" si="30"/>
        <v>0</v>
      </c>
      <c r="BO9" s="224">
        <f t="shared" si="31"/>
        <v>0</v>
      </c>
      <c r="BP9" s="224">
        <f t="shared" si="32"/>
        <v>0</v>
      </c>
      <c r="BQ9" s="224">
        <f t="shared" si="33"/>
        <v>0</v>
      </c>
      <c r="BR9" s="224">
        <f t="shared" si="34"/>
        <v>0</v>
      </c>
      <c r="BS9" s="224">
        <f t="shared" si="35"/>
        <v>0</v>
      </c>
      <c r="BT9" s="224">
        <f t="shared" si="36"/>
        <v>0</v>
      </c>
      <c r="BV9" s="224">
        <f t="shared" si="37"/>
        <v>0</v>
      </c>
      <c r="BW9" s="224">
        <f t="shared" si="38"/>
        <v>0</v>
      </c>
      <c r="BX9" s="224">
        <f t="shared" si="39"/>
        <v>0</v>
      </c>
      <c r="BY9" s="224">
        <f t="shared" si="40"/>
        <v>0</v>
      </c>
      <c r="BZ9" s="224">
        <f t="shared" si="41"/>
        <v>0</v>
      </c>
      <c r="CA9" s="224">
        <f t="shared" si="42"/>
        <v>0</v>
      </c>
      <c r="CB9" s="224">
        <f t="shared" si="43"/>
        <v>0</v>
      </c>
    </row>
    <row r="10" spans="1:80" ht="36" customHeight="1">
      <c r="A10" s="225">
        <v>5</v>
      </c>
      <c r="B10" s="226" t="str">
        <f>IF(TYPE(VLOOKUP(CONCATENATE($C$1,A10),Skupiny!$A$3:$B$194,2,0))&gt;3," - ",VLOOKUP(CONCATENATE($C$1,A10),Skupiny!$A$3:$B$194,2,0))</f>
        <v xml:space="preserve"> - </v>
      </c>
      <c r="C10" s="227" t="str">
        <f t="shared" si="0"/>
        <v/>
      </c>
      <c r="D10" s="228" t="str">
        <f>IF(TYPE(VLOOKUP(VALUE(CONCATENATE(TEXT($G$1,"0"),TEXT($A10,"0"),TEXT(G$3,"0"))),RozpisKK!$AA$3:$AD$76,3,0))&gt;3,"",VLOOKUP(VALUE(CONCATENATE(TEXT($G$1,"0"),TEXT($A10,"0"),TEXT(G$3,"0"))),RozpisKK!$AA$3:$AD$76,3,0))</f>
        <v/>
      </c>
      <c r="E10" s="229" t="str">
        <f>IF(TYPE(VLOOKUP(VALUE(CONCATENATE(TEXT($G$1,"0"),TEXT($A10,"0"),TEXT(G$3,"0"))),RozpisKK!$AA$3:$AD$76,3,0))&gt;3,"",VLOOKUP(VALUE(CONCATENATE(TEXT($G$1,"0"),TEXT($A10,"0"),TEXT(G$3,"0"))),RozpisKK!$AA$3:$AD$76,4,0)+$R$1-1)</f>
        <v/>
      </c>
      <c r="F10" s="230"/>
      <c r="G10" s="231"/>
      <c r="H10" s="228" t="str">
        <f>IF(TYPE(VLOOKUP(VALUE(CONCATENATE(TEXT($G$1,"0"),TEXT($A10,"0"),TEXT(K$3,"0"))),RozpisKK!$AA$3:$AD$76,3,0))&gt;3,"",VLOOKUP(VALUE(CONCATENATE(TEXT($G$1,"0"),TEXT($A10,"0"),TEXT(K$3,"0"))),RozpisKK!$AA$3:$AD$76,3,0))</f>
        <v/>
      </c>
      <c r="I10" s="229" t="str">
        <f>IF(TYPE(VLOOKUP(VALUE(CONCATENATE(TEXT($G$1,"0"),TEXT($A10,"0"),TEXT(K$3,"0"))),RozpisKK!$AA$3:$AD$76,3,0))&gt;3,"",VLOOKUP(VALUE(CONCATENATE(TEXT($G$1,"0"),TEXT($A10,"0"),TEXT(K$3,"0"))),RozpisKK!$AA$3:$AD$76,4,0)+$R$1-1)</f>
        <v/>
      </c>
      <c r="J10" s="230"/>
      <c r="K10" s="231"/>
      <c r="L10" s="228" t="str">
        <f>IF(TYPE(VLOOKUP(VALUE(CONCATENATE(TEXT($G$1,"0"),TEXT($A10,"0"),TEXT(O$3,"0"))),RozpisKK!$AA$3:$AD$76,3,0))&gt;3,"",VLOOKUP(VALUE(CONCATENATE(TEXT($G$1,"0"),TEXT($A10,"0"),TEXT(O$3,"0"))),RozpisKK!$AA$3:$AD$76,3,0))</f>
        <v/>
      </c>
      <c r="M10" s="229" t="str">
        <f>IF(TYPE(VLOOKUP(VALUE(CONCATENATE(TEXT($G$1,"0"),TEXT($A10,"0"),TEXT(O$3,"0"))),RozpisKK!$AA$3:$AD$76,3,0))&gt;3,"",VLOOKUP(VALUE(CONCATENATE(TEXT($G$1,"0"),TEXT($A10,"0"),TEXT(O$3,"0"))),RozpisKK!$AA$3:$AD$76,4,0)+$R$1-1)</f>
        <v/>
      </c>
      <c r="N10" s="230"/>
      <c r="O10" s="231"/>
      <c r="P10" s="228" t="str">
        <f>IF(TYPE(VLOOKUP(VALUE(CONCATENATE(TEXT($G$1,"0"),TEXT($A10,"0"),TEXT(S$3,"0"))),RozpisKK!$AA$3:$AD$76,3,0))&gt;3,"",VLOOKUP(VALUE(CONCATENATE(TEXT($G$1,"0"),TEXT($A10,"0"),TEXT(S$3,"0"))),RozpisKK!$AA$3:$AD$76,3,0))</f>
        <v/>
      </c>
      <c r="Q10" s="229" t="str">
        <f>IF(TYPE(VLOOKUP(VALUE(CONCATENATE(TEXT($G$1,"0"),TEXT($A10,"0"),TEXT(S$3,"0"))),RozpisKK!$AA$3:$AD$76,3,0))&gt;3,"",VLOOKUP(VALUE(CONCATENATE(TEXT($G$1,"0"),TEXT($A10,"0"),TEXT(S$3,"0"))),RozpisKK!$AA$3:$AD$76,4,0)+$R$1-1)</f>
        <v/>
      </c>
      <c r="R10" s="230"/>
      <c r="S10" s="231"/>
      <c r="T10" s="232"/>
      <c r="U10" s="233"/>
      <c r="V10" s="234"/>
      <c r="W10" s="235"/>
      <c r="X10" s="236" t="str">
        <f>IF(TYPE(VLOOKUP(VALUE(CONCATENATE(TEXT($G$1,"0"),TEXT($A10,"0"),TEXT(AA$3,"0"))),RozpisKK!$AA$3:$AD$76,3,0))&gt;3,"",VLOOKUP(VALUE(CONCATENATE(TEXT($G$1,"0"),TEXT($A10,"0"),TEXT(AA$3,"0"))),RozpisKK!$AA$3:$AD$76,3,0))</f>
        <v/>
      </c>
      <c r="Y10" s="237" t="str">
        <f>IF(TYPE(VLOOKUP(VALUE(CONCATENATE(TEXT($G$1,"0"),TEXT($A10,"0"),TEXT(AA$3,"0"))),RozpisKK!$AA$3:$AD$76,3,0))&gt;3,"",VLOOKUP(VALUE(CONCATENATE(TEXT($G$1,"0"),TEXT($A10,"0"),TEXT(AA$3,"0"))),RozpisKK!$AA$3:$AD$76,4,0)+$R$1-1)</f>
        <v/>
      </c>
      <c r="Z10" s="238">
        <f>$W$11</f>
        <v>0</v>
      </c>
      <c r="AA10" s="216">
        <f>$V$11</f>
        <v>0</v>
      </c>
      <c r="AB10" s="69"/>
      <c r="AC10" s="69"/>
      <c r="AD10" s="217">
        <f t="shared" si="1"/>
        <v>0</v>
      </c>
      <c r="AE10" s="239">
        <f t="shared" si="2"/>
        <v>0</v>
      </c>
      <c r="AF10" s="240"/>
      <c r="AG10" s="240">
        <f t="shared" si="3"/>
        <v>0</v>
      </c>
      <c r="AH10" s="240">
        <f t="shared" si="4"/>
        <v>0</v>
      </c>
      <c r="AI10" s="240">
        <f t="shared" si="5"/>
        <v>0</v>
      </c>
      <c r="AJ10" s="240">
        <f t="shared" si="6"/>
        <v>0</v>
      </c>
      <c r="AK10" s="240"/>
      <c r="AL10" s="219">
        <f t="shared" si="7"/>
        <v>0</v>
      </c>
      <c r="AM10" s="219">
        <f t="shared" si="8"/>
        <v>0</v>
      </c>
      <c r="AN10" s="219">
        <f t="shared" si="9"/>
        <v>0</v>
      </c>
      <c r="AO10" s="219">
        <f t="shared" si="10"/>
        <v>0</v>
      </c>
      <c r="AP10" s="220">
        <f t="shared" si="11"/>
        <v>0</v>
      </c>
      <c r="AQ10" s="220">
        <f t="shared" si="12"/>
        <v>0</v>
      </c>
      <c r="AR10" s="241"/>
      <c r="AS10" s="242" t="str">
        <f t="shared" si="13"/>
        <v>000000100100100100100000</v>
      </c>
      <c r="AT10" s="243">
        <f t="shared" si="14"/>
        <v>0</v>
      </c>
      <c r="AU10" s="69"/>
      <c r="AV10" s="217">
        <f t="shared" si="15"/>
        <v>0</v>
      </c>
      <c r="AX10" s="224">
        <f t="shared" si="16"/>
        <v>0</v>
      </c>
      <c r="AY10" s="224">
        <f t="shared" si="17"/>
        <v>0</v>
      </c>
      <c r="AZ10" s="224">
        <f t="shared" si="18"/>
        <v>0</v>
      </c>
      <c r="BA10" s="224">
        <f t="shared" si="19"/>
        <v>0</v>
      </c>
      <c r="BB10" s="224">
        <f t="shared" si="20"/>
        <v>0</v>
      </c>
      <c r="BC10" s="224">
        <f t="shared" si="21"/>
        <v>0</v>
      </c>
      <c r="BD10" s="224">
        <f t="shared" si="22"/>
        <v>0</v>
      </c>
      <c r="BF10" s="224">
        <f t="shared" si="23"/>
        <v>0</v>
      </c>
      <c r="BG10" s="224">
        <f t="shared" si="24"/>
        <v>0</v>
      </c>
      <c r="BH10" s="224">
        <f t="shared" si="25"/>
        <v>0</v>
      </c>
      <c r="BI10" s="224">
        <f t="shared" si="26"/>
        <v>0</v>
      </c>
      <c r="BJ10" s="224">
        <f t="shared" si="27"/>
        <v>0</v>
      </c>
      <c r="BK10" s="224">
        <f t="shared" si="28"/>
        <v>0</v>
      </c>
      <c r="BL10" s="224">
        <f t="shared" si="29"/>
        <v>0</v>
      </c>
      <c r="BN10" s="224">
        <f t="shared" si="30"/>
        <v>0</v>
      </c>
      <c r="BO10" s="224">
        <f t="shared" si="31"/>
        <v>0</v>
      </c>
      <c r="BP10" s="224">
        <f t="shared" si="32"/>
        <v>0</v>
      </c>
      <c r="BQ10" s="224">
        <f t="shared" si="33"/>
        <v>0</v>
      </c>
      <c r="BR10" s="224">
        <f t="shared" si="34"/>
        <v>0</v>
      </c>
      <c r="BS10" s="224">
        <f t="shared" si="35"/>
        <v>0</v>
      </c>
      <c r="BT10" s="224">
        <f t="shared" si="36"/>
        <v>0</v>
      </c>
      <c r="BV10" s="224">
        <f t="shared" si="37"/>
        <v>0</v>
      </c>
      <c r="BW10" s="224">
        <f t="shared" si="38"/>
        <v>0</v>
      </c>
      <c r="BX10" s="224">
        <f t="shared" si="39"/>
        <v>0</v>
      </c>
      <c r="BY10" s="224">
        <f t="shared" si="40"/>
        <v>0</v>
      </c>
      <c r="BZ10" s="224">
        <f t="shared" si="41"/>
        <v>0</v>
      </c>
      <c r="CA10" s="224">
        <f t="shared" si="42"/>
        <v>0</v>
      </c>
      <c r="CB10" s="224">
        <f t="shared" si="43"/>
        <v>0</v>
      </c>
    </row>
    <row r="11" spans="1:80" ht="38.25" customHeight="1">
      <c r="A11" s="225">
        <v>6</v>
      </c>
      <c r="B11" s="244" t="str">
        <f>IF(TYPE(VLOOKUP(CONCATENATE($C$1,A11),Skupiny!$A$3:$B$194,2,0))&gt;3," - ",VLOOKUP(CONCATENATE($C$1,A11),Skupiny!$A$3:$B$194,2,0))</f>
        <v xml:space="preserve"> - </v>
      </c>
      <c r="C11" s="245" t="str">
        <f t="shared" si="0"/>
        <v/>
      </c>
      <c r="D11" s="246" t="str">
        <f>IF(TYPE(VLOOKUP(VALUE(CONCATENATE(TEXT($G$1,"0"),TEXT($A11,"0"),TEXT(G$3,"0"))),RozpisKK!$AA$3:$AD$76,3,0))&gt;3,"",VLOOKUP(VALUE(CONCATENATE(TEXT($G$1,"0"),TEXT($A11,"0"),TEXT(G$3,"0"))),RozpisKK!$AA$3:$AD$76,3,0))</f>
        <v/>
      </c>
      <c r="E11" s="247" t="str">
        <f>IF(TYPE(VLOOKUP(VALUE(CONCATENATE(TEXT($G$1,"0"),TEXT($A11,"0"),TEXT(G$3,"0"))),RozpisKK!$AA$3:$AD$76,3,0))&gt;3,"",VLOOKUP(VALUE(CONCATENATE(TEXT($G$1,"0"),TEXT($A11,"0"),TEXT(G$3,"0"))),RozpisKK!$AA$3:$AD$76,4,0)+$R$1-1)</f>
        <v/>
      </c>
      <c r="F11" s="248"/>
      <c r="G11" s="249"/>
      <c r="H11" s="246" t="str">
        <f>IF(TYPE(VLOOKUP(VALUE(CONCATENATE(TEXT($G$1,"0"),TEXT($A11,"0"),TEXT(K$3,"0"))),RozpisKK!$AA$3:$AD$76,3,0))&gt;3,"",VLOOKUP(VALUE(CONCATENATE(TEXT($G$1,"0"),TEXT($A11,"0"),TEXT(K$3,"0"))),RozpisKK!$AA$3:$AD$76,3,0))</f>
        <v/>
      </c>
      <c r="I11" s="247" t="str">
        <f>IF(TYPE(VLOOKUP(VALUE(CONCATENATE(TEXT($G$1,"0"),TEXT($A11,"0"),TEXT(K$3,"0"))),RozpisKK!$AA$3:$AD$76,3,0))&gt;3,"",VLOOKUP(VALUE(CONCATENATE(TEXT($G$1,"0"),TEXT($A11,"0"),TEXT(K$3,"0"))),RozpisKK!$AA$3:$AD$76,4,0)+$R$1-1)</f>
        <v/>
      </c>
      <c r="J11" s="248"/>
      <c r="K11" s="249"/>
      <c r="L11" s="246" t="str">
        <f>IF(TYPE(VLOOKUP(VALUE(CONCATENATE(TEXT($G$1,"0"),TEXT($A11,"0"),TEXT(O$3,"0"))),RozpisKK!$AA$3:$AD$76,3,0))&gt;3,"",VLOOKUP(VALUE(CONCATENATE(TEXT($G$1,"0"),TEXT($A11,"0"),TEXT(O$3,"0"))),RozpisKK!$AA$3:$AD$76,3,0))</f>
        <v/>
      </c>
      <c r="M11" s="247" t="str">
        <f>IF(TYPE(VLOOKUP(VALUE(CONCATENATE(TEXT($G$1,"0"),TEXT($A11,"0"),TEXT(O$3,"0"))),RozpisKK!$AA$3:$AD$76,3,0))&gt;3,"",VLOOKUP(VALUE(CONCATENATE(TEXT($G$1,"0"),TEXT($A11,"0"),TEXT(O$3,"0"))),RozpisKK!$AA$3:$AD$76,4,0)+$R$1-1)</f>
        <v/>
      </c>
      <c r="N11" s="248"/>
      <c r="O11" s="249"/>
      <c r="P11" s="246" t="str">
        <f>IF(TYPE(VLOOKUP(VALUE(CONCATENATE(TEXT($G$1,"0"),TEXT($A11,"0"),TEXT(S$3,"0"))),RozpisKK!$AA$3:$AD$76,3,0))&gt;3,"",VLOOKUP(VALUE(CONCATENATE(TEXT($G$1,"0"),TEXT($A11,"0"),TEXT(S$3,"0"))),RozpisKK!$AA$3:$AD$76,3,0))</f>
        <v/>
      </c>
      <c r="Q11" s="247" t="str">
        <f>IF(TYPE(VLOOKUP(VALUE(CONCATENATE(TEXT($G$1,"0"),TEXT($A11,"0"),TEXT(S$3,"0"))),RozpisKK!$AA$3:$AD$76,3,0))&gt;3,"",VLOOKUP(VALUE(CONCATENATE(TEXT($G$1,"0"),TEXT($A11,"0"),TEXT(S$3,"0"))),RozpisKK!$AA$3:$AD$76,4,0)+$R$1-1)</f>
        <v/>
      </c>
      <c r="R11" s="248"/>
      <c r="S11" s="249"/>
      <c r="T11" s="246" t="str">
        <f>IF(TYPE(VLOOKUP(VALUE(CONCATENATE(TEXT($G$1,"0"),TEXT($A11,"0"),TEXT(W$3,"0"))),RozpisKK!$AA$3:$AD$76,3,0))&gt;3,"",VLOOKUP(VALUE(CONCATENATE(TEXT($G$1,"0"),TEXT($A11,"0"),TEXT(W$3,"0"))),RozpisKK!$AA$3:$AD$76,3,0))</f>
        <v/>
      </c>
      <c r="U11" s="247" t="str">
        <f>IF(TYPE(VLOOKUP(VALUE(CONCATENATE(TEXT($G$1,"0"),TEXT($A11,"0"),TEXT(W$3,"0"))),RozpisKK!$AA$3:$AD$76,3,0))&gt;3,"",VLOOKUP(VALUE(CONCATENATE(TEXT($G$1,"0"),TEXT($A11,"0"),TEXT(W$3,"0"))),RozpisKK!$AA$3:$AD$76,4,0)+$R$1-1)</f>
        <v/>
      </c>
      <c r="V11" s="248"/>
      <c r="W11" s="249"/>
      <c r="X11" s="232"/>
      <c r="Y11" s="233"/>
      <c r="Z11" s="234"/>
      <c r="AA11" s="235"/>
      <c r="AB11" s="69"/>
      <c r="AC11" s="69"/>
      <c r="AD11" s="217">
        <f t="shared" si="1"/>
        <v>0</v>
      </c>
      <c r="AE11" s="250">
        <f t="shared" si="2"/>
        <v>0</v>
      </c>
      <c r="AF11" s="251"/>
      <c r="AG11" s="251">
        <f t="shared" si="3"/>
        <v>0</v>
      </c>
      <c r="AH11" s="251">
        <f t="shared" si="4"/>
        <v>0</v>
      </c>
      <c r="AI11" s="251">
        <f t="shared" si="5"/>
        <v>0</v>
      </c>
      <c r="AJ11" s="251">
        <f t="shared" si="6"/>
        <v>0</v>
      </c>
      <c r="AK11" s="251"/>
      <c r="AL11" s="251">
        <f t="shared" si="7"/>
        <v>0</v>
      </c>
      <c r="AM11" s="251">
        <f t="shared" si="8"/>
        <v>0</v>
      </c>
      <c r="AN11" s="251">
        <f t="shared" si="9"/>
        <v>0</v>
      </c>
      <c r="AO11" s="251">
        <f t="shared" si="10"/>
        <v>0</v>
      </c>
      <c r="AP11" s="247">
        <f t="shared" si="11"/>
        <v>0</v>
      </c>
      <c r="AQ11" s="247">
        <f t="shared" si="12"/>
        <v>0</v>
      </c>
      <c r="AR11" s="252"/>
      <c r="AS11" s="253" t="str">
        <f t="shared" si="13"/>
        <v>000000100100100100100000</v>
      </c>
      <c r="AT11" s="254">
        <f t="shared" si="14"/>
        <v>0</v>
      </c>
      <c r="AU11" s="69"/>
      <c r="AV11" s="217">
        <f t="shared" si="15"/>
        <v>0</v>
      </c>
      <c r="AX11" s="224">
        <f t="shared" si="16"/>
        <v>0</v>
      </c>
      <c r="AY11" s="224">
        <f t="shared" si="17"/>
        <v>0</v>
      </c>
      <c r="AZ11" s="224">
        <f t="shared" si="18"/>
        <v>0</v>
      </c>
      <c r="BA11" s="224">
        <f t="shared" si="19"/>
        <v>0</v>
      </c>
      <c r="BB11" s="224">
        <f t="shared" si="20"/>
        <v>0</v>
      </c>
      <c r="BC11" s="224">
        <f t="shared" si="21"/>
        <v>0</v>
      </c>
      <c r="BD11" s="224">
        <f t="shared" si="22"/>
        <v>0</v>
      </c>
      <c r="BF11" s="224">
        <f t="shared" si="23"/>
        <v>0</v>
      </c>
      <c r="BG11" s="224">
        <f t="shared" si="24"/>
        <v>0</v>
      </c>
      <c r="BH11" s="224">
        <f t="shared" si="25"/>
        <v>0</v>
      </c>
      <c r="BI11" s="224">
        <f t="shared" si="26"/>
        <v>0</v>
      </c>
      <c r="BJ11" s="224">
        <f t="shared" si="27"/>
        <v>0</v>
      </c>
      <c r="BK11" s="224">
        <f t="shared" si="28"/>
        <v>0</v>
      </c>
      <c r="BL11" s="224">
        <f t="shared" si="29"/>
        <v>0</v>
      </c>
      <c r="BN11" s="224">
        <f t="shared" si="30"/>
        <v>0</v>
      </c>
      <c r="BO11" s="224">
        <f t="shared" si="31"/>
        <v>0</v>
      </c>
      <c r="BP11" s="224">
        <f t="shared" si="32"/>
        <v>0</v>
      </c>
      <c r="BQ11" s="224">
        <f t="shared" si="33"/>
        <v>0</v>
      </c>
      <c r="BR11" s="224">
        <f t="shared" si="34"/>
        <v>0</v>
      </c>
      <c r="BS11" s="224">
        <f t="shared" si="35"/>
        <v>0</v>
      </c>
      <c r="BT11" s="224">
        <f t="shared" si="36"/>
        <v>0</v>
      </c>
      <c r="BV11" s="224">
        <f t="shared" si="37"/>
        <v>0</v>
      </c>
      <c r="BW11" s="224">
        <f t="shared" si="38"/>
        <v>0</v>
      </c>
      <c r="BX11" s="224">
        <f t="shared" si="39"/>
        <v>0</v>
      </c>
      <c r="BY11" s="224">
        <f t="shared" si="40"/>
        <v>0</v>
      </c>
      <c r="BZ11" s="224">
        <f t="shared" si="41"/>
        <v>0</v>
      </c>
      <c r="CA11" s="224">
        <f t="shared" si="42"/>
        <v>0</v>
      </c>
      <c r="CB11" s="224">
        <f t="shared" si="43"/>
        <v>0</v>
      </c>
    </row>
    <row r="12" spans="1:80" ht="18" customHeight="1">
      <c r="A12" s="69"/>
      <c r="B12" s="69" t="s">
        <v>1819</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256">
        <f>SUM(AV6:AV11)</f>
        <v>0</v>
      </c>
    </row>
    <row r="13" spans="1:80" ht="64.5" hidden="1" customHeight="1">
      <c r="A13" s="69"/>
      <c r="B13" s="257" t="s">
        <v>1820</v>
      </c>
      <c r="C13" s="258" t="s">
        <v>1821</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80" ht="18" hidden="1" customHeight="1">
      <c r="A14" s="259" t="s">
        <v>1822</v>
      </c>
      <c r="B14" s="260" t="str">
        <f t="shared" ref="B14:B17" ca="1" si="44">IF(TYPE(INDIRECT(ADDRESS(5+MATCH(A6,C$6:C$11,0),2,1,1)))&gt;3," - ",INDIRECT(ADDRESS(5+MATCH(A6,C$6:C$11,0),2,1,1)))</f>
        <v xml:space="preserve"> - </v>
      </c>
      <c r="C14" s="261" t="str">
        <f t="shared" ref="C14:C17" si="45">CONCATENATE($C$1,A6)</f>
        <v>AF1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80" ht="18" hidden="1" customHeight="1">
      <c r="A15" s="262" t="s">
        <v>1823</v>
      </c>
      <c r="B15" s="260" t="str">
        <f t="shared" ca="1" si="44"/>
        <v xml:space="preserve"> - </v>
      </c>
      <c r="C15" s="261" t="str">
        <f t="shared" si="45"/>
        <v>AF2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80" ht="18" hidden="1" customHeight="1">
      <c r="A16" s="263" t="s">
        <v>1824</v>
      </c>
      <c r="B16" s="260" t="str">
        <f t="shared" ca="1" si="44"/>
        <v xml:space="preserve"> - </v>
      </c>
      <c r="C16" s="261" t="str">
        <f t="shared" si="45"/>
        <v>AF3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64" ht="18" hidden="1" customHeight="1">
      <c r="A17" s="263" t="s">
        <v>1825</v>
      </c>
      <c r="B17" s="260" t="str">
        <f t="shared" ca="1" si="44"/>
        <v xml:space="preserve"> - </v>
      </c>
      <c r="C17" s="261" t="str">
        <f t="shared" si="45"/>
        <v>AF4</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64" ht="15.75" hidden="1" customHeight="1">
      <c r="A18" s="264"/>
      <c r="B18" s="260" t="s">
        <v>38</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64" ht="15.75" hidden="1" customHeight="1">
      <c r="A19" s="264"/>
      <c r="B19" s="260" t="s">
        <v>38</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64" ht="55.5" hidden="1" customHeight="1">
      <c r="A20" s="264" t="s">
        <v>1800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64" ht="19.5" hidden="1" customHeight="1">
      <c r="A21" s="185">
        <v>4</v>
      </c>
      <c r="B21" s="69" t="s">
        <v>1826</v>
      </c>
      <c r="C21" s="69"/>
      <c r="D21" s="69"/>
      <c r="E21" s="69"/>
      <c r="F21" s="69">
        <f>AD22</f>
        <v>0</v>
      </c>
      <c r="G21" s="69">
        <f>AD22</f>
        <v>0</v>
      </c>
      <c r="H21" s="69"/>
      <c r="I21" s="69"/>
      <c r="J21" s="69">
        <f>AD23</f>
        <v>0</v>
      </c>
      <c r="K21" s="69">
        <f>AD23</f>
        <v>0</v>
      </c>
      <c r="L21" s="69"/>
      <c r="M21" s="69"/>
      <c r="N21" s="69">
        <f>AD24</f>
        <v>0</v>
      </c>
      <c r="O21" s="69">
        <f>AD24</f>
        <v>0</v>
      </c>
      <c r="P21" s="69"/>
      <c r="Q21" s="69"/>
      <c r="R21" s="69">
        <f>AD25</f>
        <v>0</v>
      </c>
      <c r="S21" s="69">
        <f>AD25</f>
        <v>0</v>
      </c>
      <c r="T21" s="69"/>
      <c r="U21" s="69"/>
      <c r="V21" s="69">
        <f>AD26</f>
        <v>0</v>
      </c>
      <c r="W21" s="69">
        <f>AD26</f>
        <v>0</v>
      </c>
      <c r="X21" s="69"/>
      <c r="Y21" s="69"/>
      <c r="Z21" s="69">
        <f>AD27</f>
        <v>0</v>
      </c>
      <c r="AA21" s="69">
        <f>AD27</f>
        <v>0</v>
      </c>
      <c r="AB21" s="69"/>
      <c r="AC21" s="69"/>
      <c r="AD21" s="110" t="s">
        <v>1827</v>
      </c>
      <c r="AE21" s="69"/>
      <c r="AF21" s="69"/>
      <c r="AG21" s="69"/>
      <c r="AH21" s="69"/>
      <c r="AI21" s="69"/>
      <c r="AJ21" s="69"/>
      <c r="AK21" s="69"/>
      <c r="AL21" s="69"/>
      <c r="AM21" s="69"/>
      <c r="AN21" s="69"/>
      <c r="AO21" s="69"/>
      <c r="AP21" s="69"/>
      <c r="AQ21" s="69"/>
      <c r="AR21" s="69"/>
      <c r="AS21" s="69"/>
      <c r="AT21" s="69"/>
      <c r="AU21" s="69"/>
      <c r="AV21" s="69"/>
    </row>
    <row r="22" spans="1:64" ht="12" hidden="1" customHeight="1">
      <c r="A22" s="6">
        <f t="shared" ref="A22:A27" si="46">$A6</f>
        <v>1</v>
      </c>
      <c r="F22" s="6">
        <f t="shared" ref="F22:F27" si="47">F$21*$AD22*$F6</f>
        <v>0</v>
      </c>
      <c r="G22" s="6">
        <f t="shared" ref="G22:G27" si="48">G$21*$AD22*$G6</f>
        <v>0</v>
      </c>
      <c r="J22" s="6">
        <f t="shared" ref="J22:J27" si="49">J$21*$AD22*$J6</f>
        <v>0</v>
      </c>
      <c r="K22" s="6">
        <f t="shared" ref="K22:K27" si="50">K$21*$AD22*$K6</f>
        <v>0</v>
      </c>
      <c r="N22" s="6">
        <f t="shared" ref="N22:N27" si="51">N$21*$AD22*$N6</f>
        <v>0</v>
      </c>
      <c r="O22" s="6">
        <f t="shared" ref="O22:O27" si="52">O$21*$AD22*$O6</f>
        <v>0</v>
      </c>
      <c r="R22" s="6">
        <f t="shared" ref="R22:R27" si="53">R$21*$AD22*$R6</f>
        <v>0</v>
      </c>
      <c r="S22" s="6">
        <f t="shared" ref="S22:S27" si="54">S$21*$AD22*$S6</f>
        <v>0</v>
      </c>
      <c r="V22" s="6">
        <f t="shared" ref="V22:V27" si="55">V$21*$AD22*$V6</f>
        <v>0</v>
      </c>
      <c r="W22" s="6">
        <f t="shared" ref="W22:W27" si="56">W$21*$AD22*$W6</f>
        <v>0</v>
      </c>
      <c r="Z22" s="6">
        <f t="shared" ref="Z22:Z27" si="57">Z$21*$AD22*$Z6</f>
        <v>0</v>
      </c>
      <c r="AA22" s="6">
        <f t="shared" ref="AA22:AA27" si="58">AA$21*$AD22*$AA6</f>
        <v>0</v>
      </c>
      <c r="AD22" s="6">
        <f t="shared" ref="AD22:AD27" si="59">IF(AE22=$A$21,1,0)</f>
        <v>0</v>
      </c>
      <c r="AE22" s="6">
        <f t="shared" ref="AE22:AE27" si="60">$AE6</f>
        <v>0</v>
      </c>
      <c r="AX22" s="6">
        <f t="shared" ref="AX22:AX27" si="61">IF(F22&gt;G22,1,0)</f>
        <v>0</v>
      </c>
      <c r="AY22" s="6">
        <f t="shared" ref="AY22:AY27" si="62">IF(J22&gt;K22,1,0)</f>
        <v>0</v>
      </c>
      <c r="AZ22" s="6">
        <f t="shared" ref="AZ22:AZ27" si="63">IF(N22&gt;O22,1,0)</f>
        <v>0</v>
      </c>
      <c r="BA22" s="6">
        <f t="shared" ref="BA22:BA27" si="64">IF(R22&gt;S22,1,0)</f>
        <v>0</v>
      </c>
      <c r="BB22" s="6">
        <f t="shared" ref="BB22:BB27" si="65">IF(V22&gt;W22,1,0)</f>
        <v>0</v>
      </c>
      <c r="BC22" s="6">
        <f t="shared" ref="BC22:BC27" si="66">IF(Z22&gt;AA22,1,0)</f>
        <v>0</v>
      </c>
      <c r="BD22" s="6">
        <f t="shared" ref="BD22:BD27" si="67">SUM(AX22:BC22)</f>
        <v>0</v>
      </c>
      <c r="BF22" s="6">
        <f t="shared" ref="BF22:BF27" si="68">F22-G22</f>
        <v>0</v>
      </c>
      <c r="BG22" s="6">
        <f t="shared" ref="BG22:BG27" si="69">J22-K22</f>
        <v>0</v>
      </c>
      <c r="BH22" s="6">
        <f t="shared" ref="BH22:BH27" si="70">N22-O22</f>
        <v>0</v>
      </c>
      <c r="BI22" s="6">
        <f t="shared" ref="BI22:BI27" si="71">R22-S22</f>
        <v>0</v>
      </c>
      <c r="BJ22" s="6">
        <f t="shared" ref="BJ22:BJ27" si="72">V22-W22</f>
        <v>0</v>
      </c>
      <c r="BK22" s="6">
        <f t="shared" ref="BK22:BK27" si="73">Z22-AA22</f>
        <v>0</v>
      </c>
      <c r="BL22" s="6">
        <f t="shared" ref="BL22:BL27" si="74">SUM(BF22:BK22)</f>
        <v>0</v>
      </c>
    </row>
    <row r="23" spans="1:64" ht="12" hidden="1" customHeight="1">
      <c r="A23" s="6">
        <f t="shared" si="46"/>
        <v>2</v>
      </c>
      <c r="F23" s="6">
        <f t="shared" si="47"/>
        <v>0</v>
      </c>
      <c r="G23" s="6">
        <f t="shared" si="48"/>
        <v>0</v>
      </c>
      <c r="J23" s="6">
        <f t="shared" si="49"/>
        <v>0</v>
      </c>
      <c r="K23" s="6">
        <f t="shared" si="50"/>
        <v>0</v>
      </c>
      <c r="N23" s="6">
        <f t="shared" si="51"/>
        <v>0</v>
      </c>
      <c r="O23" s="6">
        <f t="shared" si="52"/>
        <v>0</v>
      </c>
      <c r="R23" s="6">
        <f t="shared" si="53"/>
        <v>0</v>
      </c>
      <c r="S23" s="6">
        <f t="shared" si="54"/>
        <v>0</v>
      </c>
      <c r="V23" s="6">
        <f t="shared" si="55"/>
        <v>0</v>
      </c>
      <c r="W23" s="6">
        <f t="shared" si="56"/>
        <v>0</v>
      </c>
      <c r="Z23" s="6">
        <f t="shared" si="57"/>
        <v>0</v>
      </c>
      <c r="AA23" s="6">
        <f t="shared" si="58"/>
        <v>0</v>
      </c>
      <c r="AD23" s="6">
        <f t="shared" si="59"/>
        <v>0</v>
      </c>
      <c r="AE23" s="6">
        <f t="shared" si="60"/>
        <v>0</v>
      </c>
      <c r="AX23" s="6">
        <f t="shared" si="61"/>
        <v>0</v>
      </c>
      <c r="AY23" s="6">
        <f t="shared" si="62"/>
        <v>0</v>
      </c>
      <c r="AZ23" s="6">
        <f t="shared" si="63"/>
        <v>0</v>
      </c>
      <c r="BA23" s="6">
        <f t="shared" si="64"/>
        <v>0</v>
      </c>
      <c r="BB23" s="6">
        <f t="shared" si="65"/>
        <v>0</v>
      </c>
      <c r="BC23" s="6">
        <f t="shared" si="66"/>
        <v>0</v>
      </c>
      <c r="BD23" s="6">
        <f t="shared" si="67"/>
        <v>0</v>
      </c>
      <c r="BF23" s="6">
        <f t="shared" si="68"/>
        <v>0</v>
      </c>
      <c r="BG23" s="6">
        <f t="shared" si="69"/>
        <v>0</v>
      </c>
      <c r="BH23" s="6">
        <f t="shared" si="70"/>
        <v>0</v>
      </c>
      <c r="BI23" s="6">
        <f t="shared" si="71"/>
        <v>0</v>
      </c>
      <c r="BJ23" s="6">
        <f t="shared" si="72"/>
        <v>0</v>
      </c>
      <c r="BK23" s="6">
        <f t="shared" si="73"/>
        <v>0</v>
      </c>
      <c r="BL23" s="6">
        <f t="shared" si="74"/>
        <v>0</v>
      </c>
    </row>
    <row r="24" spans="1:64" ht="12" hidden="1" customHeight="1">
      <c r="A24" s="6">
        <f t="shared" si="46"/>
        <v>3</v>
      </c>
      <c r="F24" s="6">
        <f t="shared" si="47"/>
        <v>0</v>
      </c>
      <c r="G24" s="6">
        <f t="shared" si="48"/>
        <v>0</v>
      </c>
      <c r="J24" s="6">
        <f t="shared" si="49"/>
        <v>0</v>
      </c>
      <c r="K24" s="6">
        <f t="shared" si="50"/>
        <v>0</v>
      </c>
      <c r="N24" s="6">
        <f t="shared" si="51"/>
        <v>0</v>
      </c>
      <c r="O24" s="6">
        <f t="shared" si="52"/>
        <v>0</v>
      </c>
      <c r="R24" s="6">
        <f t="shared" si="53"/>
        <v>0</v>
      </c>
      <c r="S24" s="6">
        <f t="shared" si="54"/>
        <v>0</v>
      </c>
      <c r="V24" s="6">
        <f t="shared" si="55"/>
        <v>0</v>
      </c>
      <c r="W24" s="6">
        <f t="shared" si="56"/>
        <v>0</v>
      </c>
      <c r="Z24" s="6">
        <f t="shared" si="57"/>
        <v>0</v>
      </c>
      <c r="AA24" s="6">
        <f t="shared" si="58"/>
        <v>0</v>
      </c>
      <c r="AD24" s="6">
        <f t="shared" si="59"/>
        <v>0</v>
      </c>
      <c r="AE24" s="6">
        <f t="shared" si="60"/>
        <v>0</v>
      </c>
      <c r="AX24" s="6">
        <f t="shared" si="61"/>
        <v>0</v>
      </c>
      <c r="AY24" s="6">
        <f t="shared" si="62"/>
        <v>0</v>
      </c>
      <c r="AZ24" s="6">
        <f t="shared" si="63"/>
        <v>0</v>
      </c>
      <c r="BA24" s="6">
        <f t="shared" si="64"/>
        <v>0</v>
      </c>
      <c r="BB24" s="6">
        <f t="shared" si="65"/>
        <v>0</v>
      </c>
      <c r="BC24" s="6">
        <f t="shared" si="66"/>
        <v>0</v>
      </c>
      <c r="BD24" s="6">
        <f t="shared" si="67"/>
        <v>0</v>
      </c>
      <c r="BF24" s="6">
        <f t="shared" si="68"/>
        <v>0</v>
      </c>
      <c r="BG24" s="6">
        <f t="shared" si="69"/>
        <v>0</v>
      </c>
      <c r="BH24" s="6">
        <f t="shared" si="70"/>
        <v>0</v>
      </c>
      <c r="BI24" s="6">
        <f t="shared" si="71"/>
        <v>0</v>
      </c>
      <c r="BJ24" s="6">
        <f t="shared" si="72"/>
        <v>0</v>
      </c>
      <c r="BK24" s="6">
        <f t="shared" si="73"/>
        <v>0</v>
      </c>
      <c r="BL24" s="6">
        <f t="shared" si="74"/>
        <v>0</v>
      </c>
    </row>
    <row r="25" spans="1:64" ht="12" hidden="1" customHeight="1">
      <c r="A25" s="6">
        <f t="shared" si="46"/>
        <v>4</v>
      </c>
      <c r="F25" s="6">
        <f t="shared" si="47"/>
        <v>0</v>
      </c>
      <c r="G25" s="6">
        <f t="shared" si="48"/>
        <v>0</v>
      </c>
      <c r="J25" s="6">
        <f t="shared" si="49"/>
        <v>0</v>
      </c>
      <c r="K25" s="6">
        <f t="shared" si="50"/>
        <v>0</v>
      </c>
      <c r="N25" s="6">
        <f t="shared" si="51"/>
        <v>0</v>
      </c>
      <c r="O25" s="6">
        <f t="shared" si="52"/>
        <v>0</v>
      </c>
      <c r="R25" s="6">
        <f t="shared" si="53"/>
        <v>0</v>
      </c>
      <c r="S25" s="6">
        <f t="shared" si="54"/>
        <v>0</v>
      </c>
      <c r="V25" s="6">
        <f t="shared" si="55"/>
        <v>0</v>
      </c>
      <c r="W25" s="6">
        <f t="shared" si="56"/>
        <v>0</v>
      </c>
      <c r="Z25" s="6">
        <f t="shared" si="57"/>
        <v>0</v>
      </c>
      <c r="AA25" s="6">
        <f t="shared" si="58"/>
        <v>0</v>
      </c>
      <c r="AD25" s="6">
        <f t="shared" si="59"/>
        <v>0</v>
      </c>
      <c r="AE25" s="6">
        <f t="shared" si="60"/>
        <v>0</v>
      </c>
      <c r="AX25" s="6">
        <f t="shared" si="61"/>
        <v>0</v>
      </c>
      <c r="AY25" s="6">
        <f t="shared" si="62"/>
        <v>0</v>
      </c>
      <c r="AZ25" s="6">
        <f t="shared" si="63"/>
        <v>0</v>
      </c>
      <c r="BA25" s="6">
        <f t="shared" si="64"/>
        <v>0</v>
      </c>
      <c r="BB25" s="6">
        <f t="shared" si="65"/>
        <v>0</v>
      </c>
      <c r="BC25" s="6">
        <f t="shared" si="66"/>
        <v>0</v>
      </c>
      <c r="BD25" s="6">
        <f t="shared" si="67"/>
        <v>0</v>
      </c>
      <c r="BF25" s="6">
        <f t="shared" si="68"/>
        <v>0</v>
      </c>
      <c r="BG25" s="6">
        <f t="shared" si="69"/>
        <v>0</v>
      </c>
      <c r="BH25" s="6">
        <f t="shared" si="70"/>
        <v>0</v>
      </c>
      <c r="BI25" s="6">
        <f t="shared" si="71"/>
        <v>0</v>
      </c>
      <c r="BJ25" s="6">
        <f t="shared" si="72"/>
        <v>0</v>
      </c>
      <c r="BK25" s="6">
        <f t="shared" si="73"/>
        <v>0</v>
      </c>
      <c r="BL25" s="6">
        <f t="shared" si="74"/>
        <v>0</v>
      </c>
    </row>
    <row r="26" spans="1:64" ht="12" hidden="1" customHeight="1">
      <c r="A26" s="6">
        <f t="shared" si="46"/>
        <v>5</v>
      </c>
      <c r="F26" s="6">
        <f t="shared" si="47"/>
        <v>0</v>
      </c>
      <c r="G26" s="6">
        <f t="shared" si="48"/>
        <v>0</v>
      </c>
      <c r="J26" s="6">
        <f t="shared" si="49"/>
        <v>0</v>
      </c>
      <c r="K26" s="6">
        <f t="shared" si="50"/>
        <v>0</v>
      </c>
      <c r="N26" s="6">
        <f t="shared" si="51"/>
        <v>0</v>
      </c>
      <c r="O26" s="6">
        <f t="shared" si="52"/>
        <v>0</v>
      </c>
      <c r="R26" s="6">
        <f t="shared" si="53"/>
        <v>0</v>
      </c>
      <c r="S26" s="6">
        <f t="shared" si="54"/>
        <v>0</v>
      </c>
      <c r="V26" s="6">
        <f t="shared" si="55"/>
        <v>0</v>
      </c>
      <c r="W26" s="6">
        <f t="shared" si="56"/>
        <v>0</v>
      </c>
      <c r="Z26" s="6">
        <f t="shared" si="57"/>
        <v>0</v>
      </c>
      <c r="AA26" s="6">
        <f t="shared" si="58"/>
        <v>0</v>
      </c>
      <c r="AD26" s="6">
        <f t="shared" si="59"/>
        <v>0</v>
      </c>
      <c r="AE26" s="6">
        <f t="shared" si="60"/>
        <v>0</v>
      </c>
      <c r="AX26" s="6">
        <f t="shared" si="61"/>
        <v>0</v>
      </c>
      <c r="AY26" s="6">
        <f t="shared" si="62"/>
        <v>0</v>
      </c>
      <c r="AZ26" s="6">
        <f t="shared" si="63"/>
        <v>0</v>
      </c>
      <c r="BA26" s="6">
        <f t="shared" si="64"/>
        <v>0</v>
      </c>
      <c r="BB26" s="6">
        <f t="shared" si="65"/>
        <v>0</v>
      </c>
      <c r="BC26" s="6">
        <f t="shared" si="66"/>
        <v>0</v>
      </c>
      <c r="BD26" s="6">
        <f t="shared" si="67"/>
        <v>0</v>
      </c>
      <c r="BF26" s="6">
        <f t="shared" si="68"/>
        <v>0</v>
      </c>
      <c r="BG26" s="6">
        <f t="shared" si="69"/>
        <v>0</v>
      </c>
      <c r="BH26" s="6">
        <f t="shared" si="70"/>
        <v>0</v>
      </c>
      <c r="BI26" s="6">
        <f t="shared" si="71"/>
        <v>0</v>
      </c>
      <c r="BJ26" s="6">
        <f t="shared" si="72"/>
        <v>0</v>
      </c>
      <c r="BK26" s="6">
        <f t="shared" si="73"/>
        <v>0</v>
      </c>
      <c r="BL26" s="6">
        <f t="shared" si="74"/>
        <v>0</v>
      </c>
    </row>
    <row r="27" spans="1:64" ht="12" hidden="1" customHeight="1">
      <c r="A27" s="6">
        <f t="shared" si="46"/>
        <v>6</v>
      </c>
      <c r="F27" s="6">
        <f t="shared" si="47"/>
        <v>0</v>
      </c>
      <c r="G27" s="6">
        <f t="shared" si="48"/>
        <v>0</v>
      </c>
      <c r="J27" s="6">
        <f t="shared" si="49"/>
        <v>0</v>
      </c>
      <c r="K27" s="6">
        <f t="shared" si="50"/>
        <v>0</v>
      </c>
      <c r="N27" s="6">
        <f t="shared" si="51"/>
        <v>0</v>
      </c>
      <c r="O27" s="6">
        <f t="shared" si="52"/>
        <v>0</v>
      </c>
      <c r="R27" s="6">
        <f t="shared" si="53"/>
        <v>0</v>
      </c>
      <c r="S27" s="6">
        <f t="shared" si="54"/>
        <v>0</v>
      </c>
      <c r="V27" s="6">
        <f t="shared" si="55"/>
        <v>0</v>
      </c>
      <c r="W27" s="6">
        <f t="shared" si="56"/>
        <v>0</v>
      </c>
      <c r="Z27" s="6">
        <f t="shared" si="57"/>
        <v>0</v>
      </c>
      <c r="AA27" s="6">
        <f t="shared" si="58"/>
        <v>0</v>
      </c>
      <c r="AD27" s="6">
        <f t="shared" si="59"/>
        <v>0</v>
      </c>
      <c r="AE27" s="6">
        <f t="shared" si="60"/>
        <v>0</v>
      </c>
      <c r="AX27" s="6">
        <f t="shared" si="61"/>
        <v>0</v>
      </c>
      <c r="AY27" s="6">
        <f t="shared" si="62"/>
        <v>0</v>
      </c>
      <c r="AZ27" s="6">
        <f t="shared" si="63"/>
        <v>0</v>
      </c>
      <c r="BA27" s="6">
        <f t="shared" si="64"/>
        <v>0</v>
      </c>
      <c r="BB27" s="6">
        <f t="shared" si="65"/>
        <v>0</v>
      </c>
      <c r="BC27" s="6">
        <f t="shared" si="66"/>
        <v>0</v>
      </c>
      <c r="BD27" s="6">
        <f t="shared" si="67"/>
        <v>0</v>
      </c>
      <c r="BF27" s="6">
        <f t="shared" si="68"/>
        <v>0</v>
      </c>
      <c r="BG27" s="6">
        <f t="shared" si="69"/>
        <v>0</v>
      </c>
      <c r="BH27" s="6">
        <f t="shared" si="70"/>
        <v>0</v>
      </c>
      <c r="BI27" s="6">
        <f t="shared" si="71"/>
        <v>0</v>
      </c>
      <c r="BJ27" s="6">
        <f t="shared" si="72"/>
        <v>0</v>
      </c>
      <c r="BK27" s="6">
        <f t="shared" si="73"/>
        <v>0</v>
      </c>
      <c r="BL27" s="6">
        <f t="shared" si="74"/>
        <v>0</v>
      </c>
    </row>
    <row r="28" spans="1:64" ht="12" hidden="1" customHeight="1"/>
    <row r="29" spans="1:64" ht="12" hidden="1" customHeight="1"/>
    <row r="30" spans="1:64" ht="19.5" hidden="1" customHeight="1">
      <c r="A30" s="185">
        <v>3</v>
      </c>
      <c r="B30" s="69" t="s">
        <v>1828</v>
      </c>
      <c r="C30" s="69"/>
      <c r="D30" s="69"/>
      <c r="E30" s="69"/>
      <c r="F30" s="69">
        <f>AD31</f>
        <v>0</v>
      </c>
      <c r="G30" s="69">
        <f>AD31</f>
        <v>0</v>
      </c>
      <c r="H30" s="69"/>
      <c r="I30" s="69"/>
      <c r="J30" s="69">
        <f>AD32</f>
        <v>0</v>
      </c>
      <c r="K30" s="69">
        <f>AD32</f>
        <v>0</v>
      </c>
      <c r="L30" s="69"/>
      <c r="M30" s="69"/>
      <c r="N30" s="69">
        <f>AD33</f>
        <v>0</v>
      </c>
      <c r="O30" s="69">
        <f>AD33</f>
        <v>0</v>
      </c>
      <c r="P30" s="69"/>
      <c r="Q30" s="69"/>
      <c r="R30" s="69">
        <f>AD34</f>
        <v>0</v>
      </c>
      <c r="S30" s="69">
        <f>AD34</f>
        <v>0</v>
      </c>
      <c r="T30" s="69"/>
      <c r="U30" s="69"/>
      <c r="V30" s="69">
        <f>AD35</f>
        <v>0</v>
      </c>
      <c r="W30" s="69">
        <f>AD35</f>
        <v>0</v>
      </c>
      <c r="X30" s="69"/>
      <c r="Y30" s="69"/>
      <c r="Z30" s="69">
        <f>AD36</f>
        <v>0</v>
      </c>
      <c r="AA30" s="69">
        <f>AD36</f>
        <v>0</v>
      </c>
      <c r="AB30" s="69"/>
      <c r="AC30" s="69"/>
      <c r="AD30" s="110" t="s">
        <v>1827</v>
      </c>
      <c r="AE30" s="69"/>
      <c r="AF30" s="69"/>
      <c r="AG30" s="69"/>
      <c r="AH30" s="69"/>
      <c r="AI30" s="69"/>
      <c r="AJ30" s="69"/>
      <c r="AK30" s="69"/>
      <c r="AL30" s="69"/>
      <c r="AM30" s="69"/>
      <c r="AN30" s="69"/>
      <c r="AO30" s="69"/>
      <c r="AP30" s="69"/>
      <c r="AQ30" s="69"/>
      <c r="AR30" s="69"/>
      <c r="AS30" s="69"/>
      <c r="AT30" s="69"/>
      <c r="AU30" s="69"/>
      <c r="AV30" s="69"/>
    </row>
    <row r="31" spans="1:64" ht="12" hidden="1" customHeight="1">
      <c r="A31" s="6">
        <f t="shared" ref="A31:A36" si="75">$A6</f>
        <v>1</v>
      </c>
      <c r="F31" s="6">
        <f t="shared" ref="F31:F36" si="76">F$30*$AD31*$F6</f>
        <v>0</v>
      </c>
      <c r="G31" s="6">
        <f t="shared" ref="G31:G36" si="77">G$30*$AD31*$G6</f>
        <v>0</v>
      </c>
      <c r="J31" s="6">
        <f t="shared" ref="J31:J36" si="78">J$30*$AD31*$J6</f>
        <v>0</v>
      </c>
      <c r="K31" s="6">
        <f t="shared" ref="K31:K36" si="79">K$30*$AD31*$K6</f>
        <v>0</v>
      </c>
      <c r="N31" s="6">
        <f t="shared" ref="N31:N36" si="80">N$30*$AD31*$N6</f>
        <v>0</v>
      </c>
      <c r="O31" s="6">
        <f t="shared" ref="O31:O36" si="81">O$30*$AD31*$O6</f>
        <v>0</v>
      </c>
      <c r="R31" s="6">
        <f t="shared" ref="R31:R36" si="82">R$30*$AD31*$R6</f>
        <v>0</v>
      </c>
      <c r="S31" s="6">
        <f t="shared" ref="S31:S36" si="83">S$30*$AD31*$S6</f>
        <v>0</v>
      </c>
      <c r="V31" s="6">
        <f t="shared" ref="V31:V36" si="84">V$30*$AD31*$V6</f>
        <v>0</v>
      </c>
      <c r="W31" s="6">
        <f t="shared" ref="W31:W36" si="85">W$30*$AD31*$W6</f>
        <v>0</v>
      </c>
      <c r="Z31" s="6">
        <f t="shared" ref="Z31:Z36" si="86">Z$30*$AD31*$Z6</f>
        <v>0</v>
      </c>
      <c r="AA31" s="6">
        <f t="shared" ref="AA31:AA36" si="87">AA$30*$AD31*$AA6</f>
        <v>0</v>
      </c>
      <c r="AD31" s="6">
        <f t="shared" ref="AD31:AD36" si="88">IF(AE31=$A$30,1,0)</f>
        <v>0</v>
      </c>
      <c r="AE31" s="6">
        <f t="shared" ref="AE31:AE36" si="89">$AE6</f>
        <v>0</v>
      </c>
      <c r="AX31" s="6">
        <f t="shared" ref="AX31:AX36" si="90">IF(F31&gt;G31,1,0)</f>
        <v>0</v>
      </c>
      <c r="AY31" s="6">
        <f t="shared" ref="AY31:AY36" si="91">IF(J31&gt;K31,1,0)</f>
        <v>0</v>
      </c>
      <c r="AZ31" s="6">
        <f t="shared" ref="AZ31:AZ36" si="92">IF(N31&gt;O31,1,0)</f>
        <v>0</v>
      </c>
      <c r="BA31" s="6">
        <f t="shared" ref="BA31:BA36" si="93">IF(R31&gt;S31,1,0)</f>
        <v>0</v>
      </c>
      <c r="BB31" s="6">
        <f t="shared" ref="BB31:BB36" si="94">IF(V31&gt;W31,1,0)</f>
        <v>0</v>
      </c>
      <c r="BC31" s="6">
        <f t="shared" ref="BC31:BC36" si="95">IF(Z31&gt;AA31,1,0)</f>
        <v>0</v>
      </c>
      <c r="BD31" s="6">
        <f t="shared" ref="BD31:BD36" si="96">SUM(AX31:BC31)</f>
        <v>0</v>
      </c>
      <c r="BF31" s="6">
        <f t="shared" ref="BF31:BF36" si="97">F31-G31</f>
        <v>0</v>
      </c>
      <c r="BG31" s="6">
        <f t="shared" ref="BG31:BG36" si="98">J31-K31</f>
        <v>0</v>
      </c>
      <c r="BH31" s="6">
        <f t="shared" ref="BH31:BH36" si="99">N31-O31</f>
        <v>0</v>
      </c>
      <c r="BI31" s="6">
        <f t="shared" ref="BI31:BI36" si="100">R31-S31</f>
        <v>0</v>
      </c>
      <c r="BJ31" s="6">
        <f t="shared" ref="BJ31:BJ36" si="101">V31-W31</f>
        <v>0</v>
      </c>
      <c r="BK31" s="6">
        <f t="shared" ref="BK31:BK36" si="102">Z31-AA31</f>
        <v>0</v>
      </c>
      <c r="BL31" s="6">
        <f t="shared" ref="BL31:BL36" si="103">SUM(BF31:BK31)</f>
        <v>0</v>
      </c>
    </row>
    <row r="32" spans="1:64" ht="12" hidden="1" customHeight="1">
      <c r="A32" s="6">
        <f t="shared" si="75"/>
        <v>2</v>
      </c>
      <c r="F32" s="6">
        <f t="shared" si="76"/>
        <v>0</v>
      </c>
      <c r="G32" s="6">
        <f t="shared" si="77"/>
        <v>0</v>
      </c>
      <c r="J32" s="6">
        <f t="shared" si="78"/>
        <v>0</v>
      </c>
      <c r="K32" s="6">
        <f t="shared" si="79"/>
        <v>0</v>
      </c>
      <c r="N32" s="6">
        <f t="shared" si="80"/>
        <v>0</v>
      </c>
      <c r="O32" s="6">
        <f t="shared" si="81"/>
        <v>0</v>
      </c>
      <c r="R32" s="6">
        <f t="shared" si="82"/>
        <v>0</v>
      </c>
      <c r="S32" s="6">
        <f t="shared" si="83"/>
        <v>0</v>
      </c>
      <c r="V32" s="6">
        <f t="shared" si="84"/>
        <v>0</v>
      </c>
      <c r="W32" s="6">
        <f t="shared" si="85"/>
        <v>0</v>
      </c>
      <c r="Z32" s="6">
        <f t="shared" si="86"/>
        <v>0</v>
      </c>
      <c r="AA32" s="6">
        <f t="shared" si="87"/>
        <v>0</v>
      </c>
      <c r="AD32" s="6">
        <f t="shared" si="88"/>
        <v>0</v>
      </c>
      <c r="AE32" s="6">
        <f t="shared" si="89"/>
        <v>0</v>
      </c>
      <c r="AX32" s="6">
        <f t="shared" si="90"/>
        <v>0</v>
      </c>
      <c r="AY32" s="6">
        <f t="shared" si="91"/>
        <v>0</v>
      </c>
      <c r="AZ32" s="6">
        <f t="shared" si="92"/>
        <v>0</v>
      </c>
      <c r="BA32" s="6">
        <f t="shared" si="93"/>
        <v>0</v>
      </c>
      <c r="BB32" s="6">
        <f t="shared" si="94"/>
        <v>0</v>
      </c>
      <c r="BC32" s="6">
        <f t="shared" si="95"/>
        <v>0</v>
      </c>
      <c r="BD32" s="6">
        <f t="shared" si="96"/>
        <v>0</v>
      </c>
      <c r="BF32" s="6">
        <f t="shared" si="97"/>
        <v>0</v>
      </c>
      <c r="BG32" s="6">
        <f t="shared" si="98"/>
        <v>0</v>
      </c>
      <c r="BH32" s="6">
        <f t="shared" si="99"/>
        <v>0</v>
      </c>
      <c r="BI32" s="6">
        <f t="shared" si="100"/>
        <v>0</v>
      </c>
      <c r="BJ32" s="6">
        <f t="shared" si="101"/>
        <v>0</v>
      </c>
      <c r="BK32" s="6">
        <f t="shared" si="102"/>
        <v>0</v>
      </c>
      <c r="BL32" s="6">
        <f t="shared" si="103"/>
        <v>0</v>
      </c>
    </row>
    <row r="33" spans="1:64" ht="12" hidden="1" customHeight="1">
      <c r="A33" s="6">
        <f t="shared" si="75"/>
        <v>3</v>
      </c>
      <c r="F33" s="6">
        <f t="shared" si="76"/>
        <v>0</v>
      </c>
      <c r="G33" s="6">
        <f t="shared" si="77"/>
        <v>0</v>
      </c>
      <c r="J33" s="6">
        <f t="shared" si="78"/>
        <v>0</v>
      </c>
      <c r="K33" s="6">
        <f t="shared" si="79"/>
        <v>0</v>
      </c>
      <c r="N33" s="6">
        <f t="shared" si="80"/>
        <v>0</v>
      </c>
      <c r="O33" s="6">
        <f t="shared" si="81"/>
        <v>0</v>
      </c>
      <c r="R33" s="6">
        <f t="shared" si="82"/>
        <v>0</v>
      </c>
      <c r="S33" s="6">
        <f t="shared" si="83"/>
        <v>0</v>
      </c>
      <c r="V33" s="6">
        <f t="shared" si="84"/>
        <v>0</v>
      </c>
      <c r="W33" s="6">
        <f t="shared" si="85"/>
        <v>0</v>
      </c>
      <c r="Z33" s="6">
        <f t="shared" si="86"/>
        <v>0</v>
      </c>
      <c r="AA33" s="6">
        <f t="shared" si="87"/>
        <v>0</v>
      </c>
      <c r="AD33" s="6">
        <f t="shared" si="88"/>
        <v>0</v>
      </c>
      <c r="AE33" s="6">
        <f t="shared" si="89"/>
        <v>0</v>
      </c>
      <c r="AX33" s="6">
        <f t="shared" si="90"/>
        <v>0</v>
      </c>
      <c r="AY33" s="6">
        <f t="shared" si="91"/>
        <v>0</v>
      </c>
      <c r="AZ33" s="6">
        <f t="shared" si="92"/>
        <v>0</v>
      </c>
      <c r="BA33" s="6">
        <f t="shared" si="93"/>
        <v>0</v>
      </c>
      <c r="BB33" s="6">
        <f t="shared" si="94"/>
        <v>0</v>
      </c>
      <c r="BC33" s="6">
        <f t="shared" si="95"/>
        <v>0</v>
      </c>
      <c r="BD33" s="6">
        <f t="shared" si="96"/>
        <v>0</v>
      </c>
      <c r="BF33" s="6">
        <f t="shared" si="97"/>
        <v>0</v>
      </c>
      <c r="BG33" s="6">
        <f t="shared" si="98"/>
        <v>0</v>
      </c>
      <c r="BH33" s="6">
        <f t="shared" si="99"/>
        <v>0</v>
      </c>
      <c r="BI33" s="6">
        <f t="shared" si="100"/>
        <v>0</v>
      </c>
      <c r="BJ33" s="6">
        <f t="shared" si="101"/>
        <v>0</v>
      </c>
      <c r="BK33" s="6">
        <f t="shared" si="102"/>
        <v>0</v>
      </c>
      <c r="BL33" s="6">
        <f t="shared" si="103"/>
        <v>0</v>
      </c>
    </row>
    <row r="34" spans="1:64" ht="12" hidden="1" customHeight="1">
      <c r="A34" s="6">
        <f t="shared" si="75"/>
        <v>4</v>
      </c>
      <c r="F34" s="6">
        <f t="shared" si="76"/>
        <v>0</v>
      </c>
      <c r="G34" s="6">
        <f t="shared" si="77"/>
        <v>0</v>
      </c>
      <c r="J34" s="6">
        <f t="shared" si="78"/>
        <v>0</v>
      </c>
      <c r="K34" s="6">
        <f t="shared" si="79"/>
        <v>0</v>
      </c>
      <c r="N34" s="6">
        <f t="shared" si="80"/>
        <v>0</v>
      </c>
      <c r="O34" s="6">
        <f t="shared" si="81"/>
        <v>0</v>
      </c>
      <c r="R34" s="6">
        <f t="shared" si="82"/>
        <v>0</v>
      </c>
      <c r="S34" s="6">
        <f t="shared" si="83"/>
        <v>0</v>
      </c>
      <c r="V34" s="6">
        <f t="shared" si="84"/>
        <v>0</v>
      </c>
      <c r="W34" s="6">
        <f t="shared" si="85"/>
        <v>0</v>
      </c>
      <c r="Z34" s="6">
        <f t="shared" si="86"/>
        <v>0</v>
      </c>
      <c r="AA34" s="6">
        <f t="shared" si="87"/>
        <v>0</v>
      </c>
      <c r="AD34" s="6">
        <f t="shared" si="88"/>
        <v>0</v>
      </c>
      <c r="AE34" s="6">
        <f t="shared" si="89"/>
        <v>0</v>
      </c>
      <c r="AX34" s="6">
        <f t="shared" si="90"/>
        <v>0</v>
      </c>
      <c r="AY34" s="6">
        <f t="shared" si="91"/>
        <v>0</v>
      </c>
      <c r="AZ34" s="6">
        <f t="shared" si="92"/>
        <v>0</v>
      </c>
      <c r="BA34" s="6">
        <f t="shared" si="93"/>
        <v>0</v>
      </c>
      <c r="BB34" s="6">
        <f t="shared" si="94"/>
        <v>0</v>
      </c>
      <c r="BC34" s="6">
        <f t="shared" si="95"/>
        <v>0</v>
      </c>
      <c r="BD34" s="6">
        <f t="shared" si="96"/>
        <v>0</v>
      </c>
      <c r="BF34" s="6">
        <f t="shared" si="97"/>
        <v>0</v>
      </c>
      <c r="BG34" s="6">
        <f t="shared" si="98"/>
        <v>0</v>
      </c>
      <c r="BH34" s="6">
        <f t="shared" si="99"/>
        <v>0</v>
      </c>
      <c r="BI34" s="6">
        <f t="shared" si="100"/>
        <v>0</v>
      </c>
      <c r="BJ34" s="6">
        <f t="shared" si="101"/>
        <v>0</v>
      </c>
      <c r="BK34" s="6">
        <f t="shared" si="102"/>
        <v>0</v>
      </c>
      <c r="BL34" s="6">
        <f t="shared" si="103"/>
        <v>0</v>
      </c>
    </row>
    <row r="35" spans="1:64" ht="12" hidden="1" customHeight="1">
      <c r="A35" s="6">
        <f t="shared" si="75"/>
        <v>5</v>
      </c>
      <c r="F35" s="6">
        <f t="shared" si="76"/>
        <v>0</v>
      </c>
      <c r="G35" s="6">
        <f t="shared" si="77"/>
        <v>0</v>
      </c>
      <c r="J35" s="6">
        <f t="shared" si="78"/>
        <v>0</v>
      </c>
      <c r="K35" s="6">
        <f t="shared" si="79"/>
        <v>0</v>
      </c>
      <c r="N35" s="6">
        <f t="shared" si="80"/>
        <v>0</v>
      </c>
      <c r="O35" s="6">
        <f t="shared" si="81"/>
        <v>0</v>
      </c>
      <c r="R35" s="6">
        <f t="shared" si="82"/>
        <v>0</v>
      </c>
      <c r="S35" s="6">
        <f t="shared" si="83"/>
        <v>0</v>
      </c>
      <c r="V35" s="6">
        <f t="shared" si="84"/>
        <v>0</v>
      </c>
      <c r="W35" s="6">
        <f t="shared" si="85"/>
        <v>0</v>
      </c>
      <c r="Z35" s="6">
        <f t="shared" si="86"/>
        <v>0</v>
      </c>
      <c r="AA35" s="6">
        <f t="shared" si="87"/>
        <v>0</v>
      </c>
      <c r="AD35" s="6">
        <f t="shared" si="88"/>
        <v>0</v>
      </c>
      <c r="AE35" s="6">
        <f t="shared" si="89"/>
        <v>0</v>
      </c>
      <c r="AX35" s="6">
        <f t="shared" si="90"/>
        <v>0</v>
      </c>
      <c r="AY35" s="6">
        <f t="shared" si="91"/>
        <v>0</v>
      </c>
      <c r="AZ35" s="6">
        <f t="shared" si="92"/>
        <v>0</v>
      </c>
      <c r="BA35" s="6">
        <f t="shared" si="93"/>
        <v>0</v>
      </c>
      <c r="BB35" s="6">
        <f t="shared" si="94"/>
        <v>0</v>
      </c>
      <c r="BC35" s="6">
        <f t="shared" si="95"/>
        <v>0</v>
      </c>
      <c r="BD35" s="6">
        <f t="shared" si="96"/>
        <v>0</v>
      </c>
      <c r="BF35" s="6">
        <f t="shared" si="97"/>
        <v>0</v>
      </c>
      <c r="BG35" s="6">
        <f t="shared" si="98"/>
        <v>0</v>
      </c>
      <c r="BH35" s="6">
        <f t="shared" si="99"/>
        <v>0</v>
      </c>
      <c r="BI35" s="6">
        <f t="shared" si="100"/>
        <v>0</v>
      </c>
      <c r="BJ35" s="6">
        <f t="shared" si="101"/>
        <v>0</v>
      </c>
      <c r="BK35" s="6">
        <f t="shared" si="102"/>
        <v>0</v>
      </c>
      <c r="BL35" s="6">
        <f t="shared" si="103"/>
        <v>0</v>
      </c>
    </row>
    <row r="36" spans="1:64" ht="12" hidden="1" customHeight="1">
      <c r="A36" s="6">
        <f t="shared" si="75"/>
        <v>6</v>
      </c>
      <c r="F36" s="6">
        <f t="shared" si="76"/>
        <v>0</v>
      </c>
      <c r="G36" s="6">
        <f t="shared" si="77"/>
        <v>0</v>
      </c>
      <c r="J36" s="6">
        <f t="shared" si="78"/>
        <v>0</v>
      </c>
      <c r="K36" s="6">
        <f t="shared" si="79"/>
        <v>0</v>
      </c>
      <c r="N36" s="6">
        <f t="shared" si="80"/>
        <v>0</v>
      </c>
      <c r="O36" s="6">
        <f t="shared" si="81"/>
        <v>0</v>
      </c>
      <c r="R36" s="6">
        <f t="shared" si="82"/>
        <v>0</v>
      </c>
      <c r="S36" s="6">
        <f t="shared" si="83"/>
        <v>0</v>
      </c>
      <c r="V36" s="6">
        <f t="shared" si="84"/>
        <v>0</v>
      </c>
      <c r="W36" s="6">
        <f t="shared" si="85"/>
        <v>0</v>
      </c>
      <c r="Z36" s="6">
        <f t="shared" si="86"/>
        <v>0</v>
      </c>
      <c r="AA36" s="6">
        <f t="shared" si="87"/>
        <v>0</v>
      </c>
      <c r="AD36" s="6">
        <f t="shared" si="88"/>
        <v>0</v>
      </c>
      <c r="AE36" s="6">
        <f t="shared" si="89"/>
        <v>0</v>
      </c>
      <c r="AX36" s="6">
        <f t="shared" si="90"/>
        <v>0</v>
      </c>
      <c r="AY36" s="6">
        <f t="shared" si="91"/>
        <v>0</v>
      </c>
      <c r="AZ36" s="6">
        <f t="shared" si="92"/>
        <v>0</v>
      </c>
      <c r="BA36" s="6">
        <f t="shared" si="93"/>
        <v>0</v>
      </c>
      <c r="BB36" s="6">
        <f t="shared" si="94"/>
        <v>0</v>
      </c>
      <c r="BC36" s="6">
        <f t="shared" si="95"/>
        <v>0</v>
      </c>
      <c r="BD36" s="6">
        <f t="shared" si="96"/>
        <v>0</v>
      </c>
      <c r="BF36" s="6">
        <f t="shared" si="97"/>
        <v>0</v>
      </c>
      <c r="BG36" s="6">
        <f t="shared" si="98"/>
        <v>0</v>
      </c>
      <c r="BH36" s="6">
        <f t="shared" si="99"/>
        <v>0</v>
      </c>
      <c r="BI36" s="6">
        <f t="shared" si="100"/>
        <v>0</v>
      </c>
      <c r="BJ36" s="6">
        <f t="shared" si="101"/>
        <v>0</v>
      </c>
      <c r="BK36" s="6">
        <f t="shared" si="102"/>
        <v>0</v>
      </c>
      <c r="BL36" s="6">
        <f t="shared" si="103"/>
        <v>0</v>
      </c>
    </row>
    <row r="37" spans="1:64" ht="12" hidden="1" customHeight="1"/>
    <row r="38" spans="1:64" ht="12" hidden="1" customHeight="1"/>
    <row r="39" spans="1:64" ht="19.5" hidden="1" customHeight="1">
      <c r="A39" s="185">
        <v>2</v>
      </c>
      <c r="B39" s="69" t="s">
        <v>1829</v>
      </c>
      <c r="C39" s="69"/>
      <c r="D39" s="69"/>
      <c r="E39" s="69"/>
      <c r="F39" s="69">
        <f>AD40</f>
        <v>0</v>
      </c>
      <c r="G39" s="69">
        <f>AD40</f>
        <v>0</v>
      </c>
      <c r="H39" s="69"/>
      <c r="I39" s="69"/>
      <c r="J39" s="69">
        <f>AD41</f>
        <v>0</v>
      </c>
      <c r="K39" s="69">
        <f>AD41</f>
        <v>0</v>
      </c>
      <c r="L39" s="69"/>
      <c r="M39" s="69"/>
      <c r="N39" s="69">
        <f>AD42</f>
        <v>0</v>
      </c>
      <c r="O39" s="69">
        <f>AD42</f>
        <v>0</v>
      </c>
      <c r="P39" s="69"/>
      <c r="Q39" s="69"/>
      <c r="R39" s="69">
        <f>AD43</f>
        <v>0</v>
      </c>
      <c r="S39" s="69">
        <f>AD43</f>
        <v>0</v>
      </c>
      <c r="T39" s="69"/>
      <c r="U39" s="69"/>
      <c r="V39" s="69">
        <f>AD44</f>
        <v>0</v>
      </c>
      <c r="W39" s="69">
        <f>AD44</f>
        <v>0</v>
      </c>
      <c r="X39" s="69"/>
      <c r="Y39" s="69"/>
      <c r="Z39" s="69">
        <f>AD45</f>
        <v>0</v>
      </c>
      <c r="AA39" s="69">
        <f>AD45</f>
        <v>0</v>
      </c>
      <c r="AB39" s="69"/>
      <c r="AC39" s="69"/>
      <c r="AD39" s="110" t="s">
        <v>1827</v>
      </c>
      <c r="AE39" s="69"/>
      <c r="AF39" s="69"/>
      <c r="AG39" s="69"/>
      <c r="AH39" s="69"/>
      <c r="AI39" s="69"/>
      <c r="AJ39" s="69"/>
      <c r="AK39" s="69"/>
      <c r="AL39" s="69"/>
      <c r="AM39" s="69"/>
      <c r="AN39" s="69"/>
      <c r="AO39" s="69"/>
      <c r="AP39" s="69"/>
      <c r="AQ39" s="69"/>
      <c r="AR39" s="69"/>
      <c r="AS39" s="69"/>
      <c r="AT39" s="69"/>
      <c r="AU39" s="69"/>
      <c r="AV39" s="69"/>
    </row>
    <row r="40" spans="1:64" ht="12" hidden="1" customHeight="1">
      <c r="A40" s="6">
        <f t="shared" ref="A40:A45" si="104">$A6</f>
        <v>1</v>
      </c>
      <c r="F40" s="6">
        <f t="shared" ref="F40:F45" si="105">F$39*$AD40*$F6</f>
        <v>0</v>
      </c>
      <c r="G40" s="6">
        <f t="shared" ref="G40:G45" si="106">G$39*$AD40*$G6</f>
        <v>0</v>
      </c>
      <c r="J40" s="6">
        <f t="shared" ref="J40:J45" si="107">J$39*$AD40*$J6</f>
        <v>0</v>
      </c>
      <c r="K40" s="6">
        <f t="shared" ref="K40:K45" si="108">K$39*$AD40*$K6</f>
        <v>0</v>
      </c>
      <c r="N40" s="6">
        <f t="shared" ref="N40:N45" si="109">N$39*$AD40*$N6</f>
        <v>0</v>
      </c>
      <c r="O40" s="6">
        <f t="shared" ref="O40:O45" si="110">O$39*$AD40*$O6</f>
        <v>0</v>
      </c>
      <c r="R40" s="6">
        <f t="shared" ref="R40:R45" si="111">R$39*$AD40*$R6</f>
        <v>0</v>
      </c>
      <c r="S40" s="6">
        <f t="shared" ref="S40:S45" si="112">S$39*$AD40*$S6</f>
        <v>0</v>
      </c>
      <c r="V40" s="6">
        <f t="shared" ref="V40:V45" si="113">V$39*$AD40*$V6</f>
        <v>0</v>
      </c>
      <c r="W40" s="6">
        <f t="shared" ref="W40:W45" si="114">W$39*$AD40*$W6</f>
        <v>0</v>
      </c>
      <c r="Z40" s="6">
        <f t="shared" ref="Z40:Z45" si="115">Z$39*$AD40*$Z6</f>
        <v>0</v>
      </c>
      <c r="AA40" s="6">
        <f t="shared" ref="AA40:AA45" si="116">AA$39*$AD40*$AA6</f>
        <v>0</v>
      </c>
      <c r="AD40" s="6">
        <f t="shared" ref="AD40:AD45" si="117">IF(AE40=$A$39,1,0)</f>
        <v>0</v>
      </c>
      <c r="AE40" s="6">
        <f t="shared" ref="AE40:AE45" si="118">$AE6</f>
        <v>0</v>
      </c>
      <c r="AX40" s="6">
        <f t="shared" ref="AX40:AX45" si="119">IF(F40&gt;G40,1,0)</f>
        <v>0</v>
      </c>
      <c r="AY40" s="6">
        <f t="shared" ref="AY40:AY45" si="120">IF(J40&gt;K40,1,0)</f>
        <v>0</v>
      </c>
      <c r="AZ40" s="6">
        <f t="shared" ref="AZ40:AZ45" si="121">IF(N40&gt;O40,1,0)</f>
        <v>0</v>
      </c>
      <c r="BA40" s="6">
        <f t="shared" ref="BA40:BA45" si="122">IF(R40&gt;S40,1,0)</f>
        <v>0</v>
      </c>
      <c r="BB40" s="6">
        <f t="shared" ref="BB40:BB45" si="123">IF(V40&gt;W40,1,0)</f>
        <v>0</v>
      </c>
      <c r="BC40" s="6">
        <f t="shared" ref="BC40:BC45" si="124">IF(Z40&gt;AA40,1,0)</f>
        <v>0</v>
      </c>
      <c r="BD40" s="6">
        <f t="shared" ref="BD40:BD45" si="125">SUM(AX40:BC40)</f>
        <v>0</v>
      </c>
      <c r="BF40" s="6">
        <f t="shared" ref="BF40:BF45" si="126">F40-G40</f>
        <v>0</v>
      </c>
      <c r="BG40" s="6">
        <f t="shared" ref="BG40:BG45" si="127">J40-K40</f>
        <v>0</v>
      </c>
      <c r="BH40" s="6">
        <f t="shared" ref="BH40:BH45" si="128">N40-O40</f>
        <v>0</v>
      </c>
      <c r="BI40" s="6">
        <f t="shared" ref="BI40:BI45" si="129">R40-S40</f>
        <v>0</v>
      </c>
      <c r="BJ40" s="6">
        <f t="shared" ref="BJ40:BJ45" si="130">V40-W40</f>
        <v>0</v>
      </c>
      <c r="BK40" s="6">
        <f t="shared" ref="BK40:BK45" si="131">Z40-AA40</f>
        <v>0</v>
      </c>
      <c r="BL40" s="6">
        <f t="shared" ref="BL40:BL45" si="132">SUM(BF40:BK40)</f>
        <v>0</v>
      </c>
    </row>
    <row r="41" spans="1:64" ht="12" hidden="1" customHeight="1">
      <c r="A41" s="6">
        <f t="shared" si="104"/>
        <v>2</v>
      </c>
      <c r="F41" s="6">
        <f t="shared" si="105"/>
        <v>0</v>
      </c>
      <c r="G41" s="6">
        <f t="shared" si="106"/>
        <v>0</v>
      </c>
      <c r="J41" s="6">
        <f t="shared" si="107"/>
        <v>0</v>
      </c>
      <c r="K41" s="6">
        <f t="shared" si="108"/>
        <v>0</v>
      </c>
      <c r="N41" s="6">
        <f t="shared" si="109"/>
        <v>0</v>
      </c>
      <c r="O41" s="6">
        <f t="shared" si="110"/>
        <v>0</v>
      </c>
      <c r="R41" s="6">
        <f t="shared" si="111"/>
        <v>0</v>
      </c>
      <c r="S41" s="6">
        <f t="shared" si="112"/>
        <v>0</v>
      </c>
      <c r="V41" s="6">
        <f t="shared" si="113"/>
        <v>0</v>
      </c>
      <c r="W41" s="6">
        <f t="shared" si="114"/>
        <v>0</v>
      </c>
      <c r="Z41" s="6">
        <f t="shared" si="115"/>
        <v>0</v>
      </c>
      <c r="AA41" s="6">
        <f t="shared" si="116"/>
        <v>0</v>
      </c>
      <c r="AD41" s="6">
        <f t="shared" si="117"/>
        <v>0</v>
      </c>
      <c r="AE41" s="6">
        <f t="shared" si="118"/>
        <v>0</v>
      </c>
      <c r="AX41" s="6">
        <f t="shared" si="119"/>
        <v>0</v>
      </c>
      <c r="AY41" s="6">
        <f t="shared" si="120"/>
        <v>0</v>
      </c>
      <c r="AZ41" s="6">
        <f t="shared" si="121"/>
        <v>0</v>
      </c>
      <c r="BA41" s="6">
        <f t="shared" si="122"/>
        <v>0</v>
      </c>
      <c r="BB41" s="6">
        <f t="shared" si="123"/>
        <v>0</v>
      </c>
      <c r="BC41" s="6">
        <f t="shared" si="124"/>
        <v>0</v>
      </c>
      <c r="BD41" s="6">
        <f t="shared" si="125"/>
        <v>0</v>
      </c>
      <c r="BF41" s="6">
        <f t="shared" si="126"/>
        <v>0</v>
      </c>
      <c r="BG41" s="6">
        <f t="shared" si="127"/>
        <v>0</v>
      </c>
      <c r="BH41" s="6">
        <f t="shared" si="128"/>
        <v>0</v>
      </c>
      <c r="BI41" s="6">
        <f t="shared" si="129"/>
        <v>0</v>
      </c>
      <c r="BJ41" s="6">
        <f t="shared" si="130"/>
        <v>0</v>
      </c>
      <c r="BK41" s="6">
        <f t="shared" si="131"/>
        <v>0</v>
      </c>
      <c r="BL41" s="6">
        <f t="shared" si="132"/>
        <v>0</v>
      </c>
    </row>
    <row r="42" spans="1:64" ht="12" hidden="1" customHeight="1">
      <c r="A42" s="6">
        <f t="shared" si="104"/>
        <v>3</v>
      </c>
      <c r="F42" s="6">
        <f t="shared" si="105"/>
        <v>0</v>
      </c>
      <c r="G42" s="6">
        <f t="shared" si="106"/>
        <v>0</v>
      </c>
      <c r="J42" s="6">
        <f t="shared" si="107"/>
        <v>0</v>
      </c>
      <c r="K42" s="6">
        <f t="shared" si="108"/>
        <v>0</v>
      </c>
      <c r="N42" s="6">
        <f t="shared" si="109"/>
        <v>0</v>
      </c>
      <c r="O42" s="6">
        <f t="shared" si="110"/>
        <v>0</v>
      </c>
      <c r="R42" s="6">
        <f t="shared" si="111"/>
        <v>0</v>
      </c>
      <c r="S42" s="6">
        <f t="shared" si="112"/>
        <v>0</v>
      </c>
      <c r="V42" s="6">
        <f t="shared" si="113"/>
        <v>0</v>
      </c>
      <c r="W42" s="6">
        <f t="shared" si="114"/>
        <v>0</v>
      </c>
      <c r="Z42" s="6">
        <f t="shared" si="115"/>
        <v>0</v>
      </c>
      <c r="AA42" s="6">
        <f t="shared" si="116"/>
        <v>0</v>
      </c>
      <c r="AD42" s="6">
        <f t="shared" si="117"/>
        <v>0</v>
      </c>
      <c r="AE42" s="6">
        <f t="shared" si="118"/>
        <v>0</v>
      </c>
      <c r="AX42" s="6">
        <f t="shared" si="119"/>
        <v>0</v>
      </c>
      <c r="AY42" s="6">
        <f t="shared" si="120"/>
        <v>0</v>
      </c>
      <c r="AZ42" s="6">
        <f t="shared" si="121"/>
        <v>0</v>
      </c>
      <c r="BA42" s="6">
        <f t="shared" si="122"/>
        <v>0</v>
      </c>
      <c r="BB42" s="6">
        <f t="shared" si="123"/>
        <v>0</v>
      </c>
      <c r="BC42" s="6">
        <f t="shared" si="124"/>
        <v>0</v>
      </c>
      <c r="BD42" s="6">
        <f t="shared" si="125"/>
        <v>0</v>
      </c>
      <c r="BF42" s="6">
        <f t="shared" si="126"/>
        <v>0</v>
      </c>
      <c r="BG42" s="6">
        <f t="shared" si="127"/>
        <v>0</v>
      </c>
      <c r="BH42" s="6">
        <f t="shared" si="128"/>
        <v>0</v>
      </c>
      <c r="BI42" s="6">
        <f t="shared" si="129"/>
        <v>0</v>
      </c>
      <c r="BJ42" s="6">
        <f t="shared" si="130"/>
        <v>0</v>
      </c>
      <c r="BK42" s="6">
        <f t="shared" si="131"/>
        <v>0</v>
      </c>
      <c r="BL42" s="6">
        <f t="shared" si="132"/>
        <v>0</v>
      </c>
    </row>
    <row r="43" spans="1:64" ht="12" hidden="1" customHeight="1">
      <c r="A43" s="6">
        <f t="shared" si="104"/>
        <v>4</v>
      </c>
      <c r="F43" s="6">
        <f t="shared" si="105"/>
        <v>0</v>
      </c>
      <c r="G43" s="6">
        <f t="shared" si="106"/>
        <v>0</v>
      </c>
      <c r="J43" s="6">
        <f t="shared" si="107"/>
        <v>0</v>
      </c>
      <c r="K43" s="6">
        <f t="shared" si="108"/>
        <v>0</v>
      </c>
      <c r="N43" s="6">
        <f t="shared" si="109"/>
        <v>0</v>
      </c>
      <c r="O43" s="6">
        <f t="shared" si="110"/>
        <v>0</v>
      </c>
      <c r="R43" s="6">
        <f t="shared" si="111"/>
        <v>0</v>
      </c>
      <c r="S43" s="6">
        <f t="shared" si="112"/>
        <v>0</v>
      </c>
      <c r="V43" s="6">
        <f t="shared" si="113"/>
        <v>0</v>
      </c>
      <c r="W43" s="6">
        <f t="shared" si="114"/>
        <v>0</v>
      </c>
      <c r="Z43" s="6">
        <f t="shared" si="115"/>
        <v>0</v>
      </c>
      <c r="AA43" s="6">
        <f t="shared" si="116"/>
        <v>0</v>
      </c>
      <c r="AD43" s="6">
        <f t="shared" si="117"/>
        <v>0</v>
      </c>
      <c r="AE43" s="6">
        <f t="shared" si="118"/>
        <v>0</v>
      </c>
      <c r="AX43" s="6">
        <f t="shared" si="119"/>
        <v>0</v>
      </c>
      <c r="AY43" s="6">
        <f t="shared" si="120"/>
        <v>0</v>
      </c>
      <c r="AZ43" s="6">
        <f t="shared" si="121"/>
        <v>0</v>
      </c>
      <c r="BA43" s="6">
        <f t="shared" si="122"/>
        <v>0</v>
      </c>
      <c r="BB43" s="6">
        <f t="shared" si="123"/>
        <v>0</v>
      </c>
      <c r="BC43" s="6">
        <f t="shared" si="124"/>
        <v>0</v>
      </c>
      <c r="BD43" s="6">
        <f t="shared" si="125"/>
        <v>0</v>
      </c>
      <c r="BF43" s="6">
        <f t="shared" si="126"/>
        <v>0</v>
      </c>
      <c r="BG43" s="6">
        <f t="shared" si="127"/>
        <v>0</v>
      </c>
      <c r="BH43" s="6">
        <f t="shared" si="128"/>
        <v>0</v>
      </c>
      <c r="BI43" s="6">
        <f t="shared" si="129"/>
        <v>0</v>
      </c>
      <c r="BJ43" s="6">
        <f t="shared" si="130"/>
        <v>0</v>
      </c>
      <c r="BK43" s="6">
        <f t="shared" si="131"/>
        <v>0</v>
      </c>
      <c r="BL43" s="6">
        <f t="shared" si="132"/>
        <v>0</v>
      </c>
    </row>
    <row r="44" spans="1:64" ht="12" hidden="1" customHeight="1">
      <c r="A44" s="6">
        <f t="shared" si="104"/>
        <v>5</v>
      </c>
      <c r="F44" s="6">
        <f t="shared" si="105"/>
        <v>0</v>
      </c>
      <c r="G44" s="6">
        <f t="shared" si="106"/>
        <v>0</v>
      </c>
      <c r="J44" s="6">
        <f t="shared" si="107"/>
        <v>0</v>
      </c>
      <c r="K44" s="6">
        <f t="shared" si="108"/>
        <v>0</v>
      </c>
      <c r="N44" s="6">
        <f t="shared" si="109"/>
        <v>0</v>
      </c>
      <c r="O44" s="6">
        <f t="shared" si="110"/>
        <v>0</v>
      </c>
      <c r="R44" s="6">
        <f t="shared" si="111"/>
        <v>0</v>
      </c>
      <c r="S44" s="6">
        <f t="shared" si="112"/>
        <v>0</v>
      </c>
      <c r="V44" s="6">
        <f t="shared" si="113"/>
        <v>0</v>
      </c>
      <c r="W44" s="6">
        <f t="shared" si="114"/>
        <v>0</v>
      </c>
      <c r="Z44" s="6">
        <f t="shared" si="115"/>
        <v>0</v>
      </c>
      <c r="AA44" s="6">
        <f t="shared" si="116"/>
        <v>0</v>
      </c>
      <c r="AD44" s="6">
        <f t="shared" si="117"/>
        <v>0</v>
      </c>
      <c r="AE44" s="6">
        <f t="shared" si="118"/>
        <v>0</v>
      </c>
      <c r="AX44" s="6">
        <f t="shared" si="119"/>
        <v>0</v>
      </c>
      <c r="AY44" s="6">
        <f t="shared" si="120"/>
        <v>0</v>
      </c>
      <c r="AZ44" s="6">
        <f t="shared" si="121"/>
        <v>0</v>
      </c>
      <c r="BA44" s="6">
        <f t="shared" si="122"/>
        <v>0</v>
      </c>
      <c r="BB44" s="6">
        <f t="shared" si="123"/>
        <v>0</v>
      </c>
      <c r="BC44" s="6">
        <f t="shared" si="124"/>
        <v>0</v>
      </c>
      <c r="BD44" s="6">
        <f t="shared" si="125"/>
        <v>0</v>
      </c>
      <c r="BF44" s="6">
        <f t="shared" si="126"/>
        <v>0</v>
      </c>
      <c r="BG44" s="6">
        <f t="shared" si="127"/>
        <v>0</v>
      </c>
      <c r="BH44" s="6">
        <f t="shared" si="128"/>
        <v>0</v>
      </c>
      <c r="BI44" s="6">
        <f t="shared" si="129"/>
        <v>0</v>
      </c>
      <c r="BJ44" s="6">
        <f t="shared" si="130"/>
        <v>0</v>
      </c>
      <c r="BK44" s="6">
        <f t="shared" si="131"/>
        <v>0</v>
      </c>
      <c r="BL44" s="6">
        <f t="shared" si="132"/>
        <v>0</v>
      </c>
    </row>
    <row r="45" spans="1:64" ht="12" hidden="1" customHeight="1">
      <c r="A45" s="6">
        <f t="shared" si="104"/>
        <v>6</v>
      </c>
      <c r="F45" s="6">
        <f t="shared" si="105"/>
        <v>0</v>
      </c>
      <c r="G45" s="6">
        <f t="shared" si="106"/>
        <v>0</v>
      </c>
      <c r="J45" s="6">
        <f t="shared" si="107"/>
        <v>0</v>
      </c>
      <c r="K45" s="6">
        <f t="shared" si="108"/>
        <v>0</v>
      </c>
      <c r="N45" s="6">
        <f t="shared" si="109"/>
        <v>0</v>
      </c>
      <c r="O45" s="6">
        <f t="shared" si="110"/>
        <v>0</v>
      </c>
      <c r="R45" s="6">
        <f t="shared" si="111"/>
        <v>0</v>
      </c>
      <c r="S45" s="6">
        <f t="shared" si="112"/>
        <v>0</v>
      </c>
      <c r="V45" s="6">
        <f t="shared" si="113"/>
        <v>0</v>
      </c>
      <c r="W45" s="6">
        <f t="shared" si="114"/>
        <v>0</v>
      </c>
      <c r="Z45" s="6">
        <f t="shared" si="115"/>
        <v>0</v>
      </c>
      <c r="AA45" s="6">
        <f t="shared" si="116"/>
        <v>0</v>
      </c>
      <c r="AD45" s="6">
        <f t="shared" si="117"/>
        <v>0</v>
      </c>
      <c r="AE45" s="6">
        <f t="shared" si="118"/>
        <v>0</v>
      </c>
      <c r="AX45" s="6">
        <f t="shared" si="119"/>
        <v>0</v>
      </c>
      <c r="AY45" s="6">
        <f t="shared" si="120"/>
        <v>0</v>
      </c>
      <c r="AZ45" s="6">
        <f t="shared" si="121"/>
        <v>0</v>
      </c>
      <c r="BA45" s="6">
        <f t="shared" si="122"/>
        <v>0</v>
      </c>
      <c r="BB45" s="6">
        <f t="shared" si="123"/>
        <v>0</v>
      </c>
      <c r="BC45" s="6">
        <f t="shared" si="124"/>
        <v>0</v>
      </c>
      <c r="BD45" s="6">
        <f t="shared" si="125"/>
        <v>0</v>
      </c>
      <c r="BF45" s="6">
        <f t="shared" si="126"/>
        <v>0</v>
      </c>
      <c r="BG45" s="6">
        <f t="shared" si="127"/>
        <v>0</v>
      </c>
      <c r="BH45" s="6">
        <f t="shared" si="128"/>
        <v>0</v>
      </c>
      <c r="BI45" s="6">
        <f t="shared" si="129"/>
        <v>0</v>
      </c>
      <c r="BJ45" s="6">
        <f t="shared" si="130"/>
        <v>0</v>
      </c>
      <c r="BK45" s="6">
        <f t="shared" si="131"/>
        <v>0</v>
      </c>
      <c r="BL45" s="6">
        <f t="shared" si="132"/>
        <v>0</v>
      </c>
    </row>
    <row r="46" spans="1:64" ht="12" hidden="1" customHeight="1"/>
    <row r="47" spans="1:64" ht="12" hidden="1" customHeight="1"/>
    <row r="48" spans="1:64" ht="19.5" hidden="1" customHeight="1">
      <c r="A48" s="185">
        <v>1</v>
      </c>
      <c r="B48" s="69" t="s">
        <v>1830</v>
      </c>
      <c r="C48" s="69"/>
      <c r="D48" s="69"/>
      <c r="E48" s="69"/>
      <c r="F48" s="69">
        <f>AD49</f>
        <v>0</v>
      </c>
      <c r="G48" s="69">
        <f>AD49</f>
        <v>0</v>
      </c>
      <c r="H48" s="69"/>
      <c r="I48" s="69"/>
      <c r="J48" s="69">
        <f>AD50</f>
        <v>0</v>
      </c>
      <c r="K48" s="69">
        <f>AD50</f>
        <v>0</v>
      </c>
      <c r="L48" s="69"/>
      <c r="M48" s="69"/>
      <c r="N48" s="69">
        <f>AD51</f>
        <v>0</v>
      </c>
      <c r="O48" s="69">
        <f>AD51</f>
        <v>0</v>
      </c>
      <c r="P48" s="69"/>
      <c r="Q48" s="69"/>
      <c r="R48" s="69">
        <f>AD52</f>
        <v>0</v>
      </c>
      <c r="S48" s="69">
        <f>AD52</f>
        <v>0</v>
      </c>
      <c r="T48" s="69"/>
      <c r="U48" s="69"/>
      <c r="V48" s="69">
        <f>AD53</f>
        <v>0</v>
      </c>
      <c r="W48" s="69">
        <f>AD53</f>
        <v>0</v>
      </c>
      <c r="X48" s="69"/>
      <c r="Y48" s="69"/>
      <c r="Z48" s="69">
        <f>AD54</f>
        <v>0</v>
      </c>
      <c r="AA48" s="69">
        <f>AD54</f>
        <v>0</v>
      </c>
      <c r="AB48" s="69"/>
      <c r="AC48" s="69"/>
      <c r="AD48" s="110" t="s">
        <v>1827</v>
      </c>
      <c r="AE48" s="69"/>
      <c r="AF48" s="69"/>
      <c r="AG48" s="69"/>
      <c r="AH48" s="69"/>
      <c r="AI48" s="69"/>
      <c r="AJ48" s="69"/>
      <c r="AK48" s="69"/>
      <c r="AL48" s="69"/>
      <c r="AM48" s="69"/>
      <c r="AN48" s="69"/>
      <c r="AO48" s="69"/>
      <c r="AP48" s="69"/>
      <c r="AQ48" s="69"/>
      <c r="AR48" s="69"/>
      <c r="AS48" s="69"/>
      <c r="AT48" s="69"/>
      <c r="AU48" s="69"/>
      <c r="AV48" s="69"/>
    </row>
    <row r="49" spans="1:64" ht="12" hidden="1" customHeight="1">
      <c r="A49" s="6">
        <f t="shared" ref="A49:A54" si="133">$A6</f>
        <v>1</v>
      </c>
      <c r="F49" s="6">
        <f t="shared" ref="F49:F54" si="134">F$48*$AD49*$F6</f>
        <v>0</v>
      </c>
      <c r="G49" s="6">
        <f t="shared" ref="G49:G54" si="135">G$48*$AD49*$G6</f>
        <v>0</v>
      </c>
      <c r="J49" s="6">
        <f t="shared" ref="J49:J54" si="136">J$48*$AD49*$J6</f>
        <v>0</v>
      </c>
      <c r="K49" s="6">
        <f t="shared" ref="K49:K54" si="137">K$48*$AD49*$K6</f>
        <v>0</v>
      </c>
      <c r="N49" s="6">
        <f t="shared" ref="N49:N54" si="138">N$48*$AD49*$N6</f>
        <v>0</v>
      </c>
      <c r="O49" s="6">
        <f t="shared" ref="O49:O54" si="139">O$48*$AD49*$O6</f>
        <v>0</v>
      </c>
      <c r="R49" s="6">
        <f t="shared" ref="R49:R54" si="140">R$48*$AD49*$R6</f>
        <v>0</v>
      </c>
      <c r="S49" s="6">
        <f t="shared" ref="S49:S54" si="141">S$48*$AD49*$S6</f>
        <v>0</v>
      </c>
      <c r="V49" s="6">
        <f t="shared" ref="V49:V54" si="142">V$48*$AD49*$V6</f>
        <v>0</v>
      </c>
      <c r="W49" s="6">
        <f t="shared" ref="W49:W54" si="143">W$48*$AD49*$W6</f>
        <v>0</v>
      </c>
      <c r="Z49" s="6">
        <f t="shared" ref="Z49:Z54" si="144">Z$48*$AD49*$Z6</f>
        <v>0</v>
      </c>
      <c r="AA49" s="6">
        <f t="shared" ref="AA49:AA54" si="145">AA$48*$AD49*$AA6</f>
        <v>0</v>
      </c>
      <c r="AD49" s="6">
        <f t="shared" ref="AD49:AD54" si="146">IF(AE49=$A$48,1,0)</f>
        <v>0</v>
      </c>
      <c r="AE49" s="6">
        <f t="shared" ref="AE49:AE54" si="147">$AE6</f>
        <v>0</v>
      </c>
      <c r="AX49" s="6">
        <f t="shared" ref="AX49:AX54" si="148">IF(F49&gt;G49,1,0)</f>
        <v>0</v>
      </c>
      <c r="AY49" s="6">
        <f t="shared" ref="AY49:AY54" si="149">IF(J49&gt;K49,1,0)</f>
        <v>0</v>
      </c>
      <c r="AZ49" s="6">
        <f t="shared" ref="AZ49:AZ54" si="150">IF(N49&gt;O49,1,0)</f>
        <v>0</v>
      </c>
      <c r="BA49" s="6">
        <f t="shared" ref="BA49:BA54" si="151">IF(R49&gt;S49,1,0)</f>
        <v>0</v>
      </c>
      <c r="BB49" s="6">
        <f t="shared" ref="BB49:BB54" si="152">IF(V49&gt;W49,1,0)</f>
        <v>0</v>
      </c>
      <c r="BC49" s="6">
        <f t="shared" ref="BC49:BC54" si="153">IF(Z49&gt;AA49,1,0)</f>
        <v>0</v>
      </c>
      <c r="BD49" s="6">
        <f t="shared" ref="BD49:BD54" si="154">SUM(AX49:BC49)</f>
        <v>0</v>
      </c>
      <c r="BF49" s="6">
        <f t="shared" ref="BF49:BF54" si="155">F49-G49</f>
        <v>0</v>
      </c>
      <c r="BG49" s="6">
        <f t="shared" ref="BG49:BG54" si="156">J49-K49</f>
        <v>0</v>
      </c>
      <c r="BH49" s="6">
        <f t="shared" ref="BH49:BH54" si="157">N49-O49</f>
        <v>0</v>
      </c>
      <c r="BI49" s="6">
        <f t="shared" ref="BI49:BI54" si="158">R49-S49</f>
        <v>0</v>
      </c>
      <c r="BJ49" s="6">
        <f t="shared" ref="BJ49:BJ54" si="159">V49-W49</f>
        <v>0</v>
      </c>
      <c r="BK49" s="6">
        <f t="shared" ref="BK49:BK54" si="160">Z49-AA49</f>
        <v>0</v>
      </c>
      <c r="BL49" s="6">
        <f t="shared" ref="BL49:BL54" si="161">SUM(BF49:BK49)</f>
        <v>0</v>
      </c>
    </row>
    <row r="50" spans="1:64" ht="12" hidden="1" customHeight="1">
      <c r="A50" s="6">
        <f t="shared" si="133"/>
        <v>2</v>
      </c>
      <c r="F50" s="6">
        <f t="shared" si="134"/>
        <v>0</v>
      </c>
      <c r="G50" s="6">
        <f t="shared" si="135"/>
        <v>0</v>
      </c>
      <c r="J50" s="6">
        <f t="shared" si="136"/>
        <v>0</v>
      </c>
      <c r="K50" s="6">
        <f t="shared" si="137"/>
        <v>0</v>
      </c>
      <c r="N50" s="6">
        <f t="shared" si="138"/>
        <v>0</v>
      </c>
      <c r="O50" s="6">
        <f t="shared" si="139"/>
        <v>0</v>
      </c>
      <c r="R50" s="6">
        <f t="shared" si="140"/>
        <v>0</v>
      </c>
      <c r="S50" s="6">
        <f t="shared" si="141"/>
        <v>0</v>
      </c>
      <c r="V50" s="6">
        <f t="shared" si="142"/>
        <v>0</v>
      </c>
      <c r="W50" s="6">
        <f t="shared" si="143"/>
        <v>0</v>
      </c>
      <c r="Z50" s="6">
        <f t="shared" si="144"/>
        <v>0</v>
      </c>
      <c r="AA50" s="6">
        <f t="shared" si="145"/>
        <v>0</v>
      </c>
      <c r="AD50" s="6">
        <f t="shared" si="146"/>
        <v>0</v>
      </c>
      <c r="AE50" s="6">
        <f t="shared" si="147"/>
        <v>0</v>
      </c>
      <c r="AX50" s="6">
        <f t="shared" si="148"/>
        <v>0</v>
      </c>
      <c r="AY50" s="6">
        <f t="shared" si="149"/>
        <v>0</v>
      </c>
      <c r="AZ50" s="6">
        <f t="shared" si="150"/>
        <v>0</v>
      </c>
      <c r="BA50" s="6">
        <f t="shared" si="151"/>
        <v>0</v>
      </c>
      <c r="BB50" s="6">
        <f t="shared" si="152"/>
        <v>0</v>
      </c>
      <c r="BC50" s="6">
        <f t="shared" si="153"/>
        <v>0</v>
      </c>
      <c r="BD50" s="6">
        <f t="shared" si="154"/>
        <v>0</v>
      </c>
      <c r="BF50" s="6">
        <f t="shared" si="155"/>
        <v>0</v>
      </c>
      <c r="BG50" s="6">
        <f t="shared" si="156"/>
        <v>0</v>
      </c>
      <c r="BH50" s="6">
        <f t="shared" si="157"/>
        <v>0</v>
      </c>
      <c r="BI50" s="6">
        <f t="shared" si="158"/>
        <v>0</v>
      </c>
      <c r="BJ50" s="6">
        <f t="shared" si="159"/>
        <v>0</v>
      </c>
      <c r="BK50" s="6">
        <f t="shared" si="160"/>
        <v>0</v>
      </c>
      <c r="BL50" s="6">
        <f t="shared" si="161"/>
        <v>0</v>
      </c>
    </row>
    <row r="51" spans="1:64" ht="12" hidden="1" customHeight="1">
      <c r="A51" s="6">
        <f t="shared" si="133"/>
        <v>3</v>
      </c>
      <c r="F51" s="6">
        <f t="shared" si="134"/>
        <v>0</v>
      </c>
      <c r="G51" s="6">
        <f t="shared" si="135"/>
        <v>0</v>
      </c>
      <c r="J51" s="6">
        <f t="shared" si="136"/>
        <v>0</v>
      </c>
      <c r="K51" s="6">
        <f t="shared" si="137"/>
        <v>0</v>
      </c>
      <c r="N51" s="6">
        <f t="shared" si="138"/>
        <v>0</v>
      </c>
      <c r="O51" s="6">
        <f t="shared" si="139"/>
        <v>0</v>
      </c>
      <c r="R51" s="6">
        <f t="shared" si="140"/>
        <v>0</v>
      </c>
      <c r="S51" s="6">
        <f t="shared" si="141"/>
        <v>0</v>
      </c>
      <c r="V51" s="6">
        <f t="shared" si="142"/>
        <v>0</v>
      </c>
      <c r="W51" s="6">
        <f t="shared" si="143"/>
        <v>0</v>
      </c>
      <c r="Z51" s="6">
        <f t="shared" si="144"/>
        <v>0</v>
      </c>
      <c r="AA51" s="6">
        <f t="shared" si="145"/>
        <v>0</v>
      </c>
      <c r="AD51" s="6">
        <f t="shared" si="146"/>
        <v>0</v>
      </c>
      <c r="AE51" s="6">
        <f t="shared" si="147"/>
        <v>0</v>
      </c>
      <c r="AX51" s="6">
        <f t="shared" si="148"/>
        <v>0</v>
      </c>
      <c r="AY51" s="6">
        <f t="shared" si="149"/>
        <v>0</v>
      </c>
      <c r="AZ51" s="6">
        <f t="shared" si="150"/>
        <v>0</v>
      </c>
      <c r="BA51" s="6">
        <f t="shared" si="151"/>
        <v>0</v>
      </c>
      <c r="BB51" s="6">
        <f t="shared" si="152"/>
        <v>0</v>
      </c>
      <c r="BC51" s="6">
        <f t="shared" si="153"/>
        <v>0</v>
      </c>
      <c r="BD51" s="6">
        <f t="shared" si="154"/>
        <v>0</v>
      </c>
      <c r="BF51" s="6">
        <f t="shared" si="155"/>
        <v>0</v>
      </c>
      <c r="BG51" s="6">
        <f t="shared" si="156"/>
        <v>0</v>
      </c>
      <c r="BH51" s="6">
        <f t="shared" si="157"/>
        <v>0</v>
      </c>
      <c r="BI51" s="6">
        <f t="shared" si="158"/>
        <v>0</v>
      </c>
      <c r="BJ51" s="6">
        <f t="shared" si="159"/>
        <v>0</v>
      </c>
      <c r="BK51" s="6">
        <f t="shared" si="160"/>
        <v>0</v>
      </c>
      <c r="BL51" s="6">
        <f t="shared" si="161"/>
        <v>0</v>
      </c>
    </row>
    <row r="52" spans="1:64" ht="12" hidden="1" customHeight="1">
      <c r="A52" s="6">
        <f t="shared" si="133"/>
        <v>4</v>
      </c>
      <c r="F52" s="6">
        <f t="shared" si="134"/>
        <v>0</v>
      </c>
      <c r="G52" s="6">
        <f t="shared" si="135"/>
        <v>0</v>
      </c>
      <c r="J52" s="6">
        <f t="shared" si="136"/>
        <v>0</v>
      </c>
      <c r="K52" s="6">
        <f t="shared" si="137"/>
        <v>0</v>
      </c>
      <c r="N52" s="6">
        <f t="shared" si="138"/>
        <v>0</v>
      </c>
      <c r="O52" s="6">
        <f t="shared" si="139"/>
        <v>0</v>
      </c>
      <c r="R52" s="6">
        <f t="shared" si="140"/>
        <v>0</v>
      </c>
      <c r="S52" s="6">
        <f t="shared" si="141"/>
        <v>0</v>
      </c>
      <c r="V52" s="6">
        <f t="shared" si="142"/>
        <v>0</v>
      </c>
      <c r="W52" s="6">
        <f t="shared" si="143"/>
        <v>0</v>
      </c>
      <c r="Z52" s="6">
        <f t="shared" si="144"/>
        <v>0</v>
      </c>
      <c r="AA52" s="6">
        <f t="shared" si="145"/>
        <v>0</v>
      </c>
      <c r="AD52" s="6">
        <f t="shared" si="146"/>
        <v>0</v>
      </c>
      <c r="AE52" s="6">
        <f t="shared" si="147"/>
        <v>0</v>
      </c>
      <c r="AX52" s="6">
        <f t="shared" si="148"/>
        <v>0</v>
      </c>
      <c r="AY52" s="6">
        <f t="shared" si="149"/>
        <v>0</v>
      </c>
      <c r="AZ52" s="6">
        <f t="shared" si="150"/>
        <v>0</v>
      </c>
      <c r="BA52" s="6">
        <f t="shared" si="151"/>
        <v>0</v>
      </c>
      <c r="BB52" s="6">
        <f t="shared" si="152"/>
        <v>0</v>
      </c>
      <c r="BC52" s="6">
        <f t="shared" si="153"/>
        <v>0</v>
      </c>
      <c r="BD52" s="6">
        <f t="shared" si="154"/>
        <v>0</v>
      </c>
      <c r="BF52" s="6">
        <f t="shared" si="155"/>
        <v>0</v>
      </c>
      <c r="BG52" s="6">
        <f t="shared" si="156"/>
        <v>0</v>
      </c>
      <c r="BH52" s="6">
        <f t="shared" si="157"/>
        <v>0</v>
      </c>
      <c r="BI52" s="6">
        <f t="shared" si="158"/>
        <v>0</v>
      </c>
      <c r="BJ52" s="6">
        <f t="shared" si="159"/>
        <v>0</v>
      </c>
      <c r="BK52" s="6">
        <f t="shared" si="160"/>
        <v>0</v>
      </c>
      <c r="BL52" s="6">
        <f t="shared" si="161"/>
        <v>0</v>
      </c>
    </row>
    <row r="53" spans="1:64" ht="12" hidden="1" customHeight="1">
      <c r="A53" s="6">
        <f t="shared" si="133"/>
        <v>5</v>
      </c>
      <c r="F53" s="6">
        <f t="shared" si="134"/>
        <v>0</v>
      </c>
      <c r="G53" s="6">
        <f t="shared" si="135"/>
        <v>0</v>
      </c>
      <c r="J53" s="6">
        <f t="shared" si="136"/>
        <v>0</v>
      </c>
      <c r="K53" s="6">
        <f t="shared" si="137"/>
        <v>0</v>
      </c>
      <c r="N53" s="6">
        <f t="shared" si="138"/>
        <v>0</v>
      </c>
      <c r="O53" s="6">
        <f t="shared" si="139"/>
        <v>0</v>
      </c>
      <c r="R53" s="6">
        <f t="shared" si="140"/>
        <v>0</v>
      </c>
      <c r="S53" s="6">
        <f t="shared" si="141"/>
        <v>0</v>
      </c>
      <c r="V53" s="6">
        <f t="shared" si="142"/>
        <v>0</v>
      </c>
      <c r="W53" s="6">
        <f t="shared" si="143"/>
        <v>0</v>
      </c>
      <c r="Z53" s="6">
        <f t="shared" si="144"/>
        <v>0</v>
      </c>
      <c r="AA53" s="6">
        <f t="shared" si="145"/>
        <v>0</v>
      </c>
      <c r="AD53" s="6">
        <f t="shared" si="146"/>
        <v>0</v>
      </c>
      <c r="AE53" s="6">
        <f t="shared" si="147"/>
        <v>0</v>
      </c>
      <c r="AX53" s="6">
        <f t="shared" si="148"/>
        <v>0</v>
      </c>
      <c r="AY53" s="6">
        <f t="shared" si="149"/>
        <v>0</v>
      </c>
      <c r="AZ53" s="6">
        <f t="shared" si="150"/>
        <v>0</v>
      </c>
      <c r="BA53" s="6">
        <f t="shared" si="151"/>
        <v>0</v>
      </c>
      <c r="BB53" s="6">
        <f t="shared" si="152"/>
        <v>0</v>
      </c>
      <c r="BC53" s="6">
        <f t="shared" si="153"/>
        <v>0</v>
      </c>
      <c r="BD53" s="6">
        <f t="shared" si="154"/>
        <v>0</v>
      </c>
      <c r="BF53" s="6">
        <f t="shared" si="155"/>
        <v>0</v>
      </c>
      <c r="BG53" s="6">
        <f t="shared" si="156"/>
        <v>0</v>
      </c>
      <c r="BH53" s="6">
        <f t="shared" si="157"/>
        <v>0</v>
      </c>
      <c r="BI53" s="6">
        <f t="shared" si="158"/>
        <v>0</v>
      </c>
      <c r="BJ53" s="6">
        <f t="shared" si="159"/>
        <v>0</v>
      </c>
      <c r="BK53" s="6">
        <f t="shared" si="160"/>
        <v>0</v>
      </c>
      <c r="BL53" s="6">
        <f t="shared" si="161"/>
        <v>0</v>
      </c>
    </row>
    <row r="54" spans="1:64" ht="12" hidden="1" customHeight="1">
      <c r="A54" s="6">
        <f t="shared" si="133"/>
        <v>6</v>
      </c>
      <c r="F54" s="6">
        <f t="shared" si="134"/>
        <v>0</v>
      </c>
      <c r="G54" s="6">
        <f t="shared" si="135"/>
        <v>0</v>
      </c>
      <c r="J54" s="6">
        <f t="shared" si="136"/>
        <v>0</v>
      </c>
      <c r="K54" s="6">
        <f t="shared" si="137"/>
        <v>0</v>
      </c>
      <c r="N54" s="6">
        <f t="shared" si="138"/>
        <v>0</v>
      </c>
      <c r="O54" s="6">
        <f t="shared" si="139"/>
        <v>0</v>
      </c>
      <c r="R54" s="6">
        <f t="shared" si="140"/>
        <v>0</v>
      </c>
      <c r="S54" s="6">
        <f t="shared" si="141"/>
        <v>0</v>
      </c>
      <c r="V54" s="6">
        <f t="shared" si="142"/>
        <v>0</v>
      </c>
      <c r="W54" s="6">
        <f t="shared" si="143"/>
        <v>0</v>
      </c>
      <c r="Z54" s="6">
        <f t="shared" si="144"/>
        <v>0</v>
      </c>
      <c r="AA54" s="6">
        <f t="shared" si="145"/>
        <v>0</v>
      </c>
      <c r="AD54" s="6">
        <f t="shared" si="146"/>
        <v>0</v>
      </c>
      <c r="AE54" s="6">
        <f t="shared" si="147"/>
        <v>0</v>
      </c>
      <c r="AX54" s="6">
        <f t="shared" si="148"/>
        <v>0</v>
      </c>
      <c r="AY54" s="6">
        <f t="shared" si="149"/>
        <v>0</v>
      </c>
      <c r="AZ54" s="6">
        <f t="shared" si="150"/>
        <v>0</v>
      </c>
      <c r="BA54" s="6">
        <f t="shared" si="151"/>
        <v>0</v>
      </c>
      <c r="BB54" s="6">
        <f t="shared" si="152"/>
        <v>0</v>
      </c>
      <c r="BC54" s="6">
        <f t="shared" si="153"/>
        <v>0</v>
      </c>
      <c r="BD54" s="6">
        <f t="shared" si="154"/>
        <v>0</v>
      </c>
      <c r="BF54" s="6">
        <f t="shared" si="155"/>
        <v>0</v>
      </c>
      <c r="BG54" s="6">
        <f t="shared" si="156"/>
        <v>0</v>
      </c>
      <c r="BH54" s="6">
        <f t="shared" si="157"/>
        <v>0</v>
      </c>
      <c r="BI54" s="6">
        <f t="shared" si="158"/>
        <v>0</v>
      </c>
      <c r="BJ54" s="6">
        <f t="shared" si="159"/>
        <v>0</v>
      </c>
      <c r="BK54" s="6">
        <f t="shared" si="160"/>
        <v>0</v>
      </c>
      <c r="BL54" s="6">
        <f t="shared" si="161"/>
        <v>0</v>
      </c>
    </row>
    <row r="55" spans="1:64" ht="12" customHeight="1"/>
    <row r="56" spans="1:64" ht="12" customHeight="1"/>
    <row r="57" spans="1:64" ht="12" customHeight="1"/>
    <row r="58" spans="1:64" ht="12" customHeight="1"/>
    <row r="59" spans="1:64" ht="12" customHeight="1"/>
    <row r="60" spans="1:64" ht="12" customHeight="1"/>
    <row r="61" spans="1:64" ht="12" customHeight="1"/>
    <row r="62" spans="1:64" ht="12" customHeight="1"/>
    <row r="63" spans="1:64" ht="12" customHeight="1"/>
    <row r="64" spans="1: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
    <mergeCell ref="X4:AA4"/>
    <mergeCell ref="F4:G4"/>
    <mergeCell ref="H4:K4"/>
    <mergeCell ref="L4:O4"/>
    <mergeCell ref="P4:S4"/>
    <mergeCell ref="T4:W4"/>
  </mergeCells>
  <conditionalFormatting sqref="F7:G11 J8:K11 N9:O11 R10:S11 V11:W11">
    <cfRule type="cellIs" dxfId="52" priority="1" operator="equal">
      <formula>0</formula>
    </cfRule>
  </conditionalFormatting>
  <conditionalFormatting sqref="J6:K6 N6:O7 R6:S8 V6:W9 Z6:AA10">
    <cfRule type="cellIs" dxfId="51" priority="2" operator="equal">
      <formula>0</formula>
    </cfRule>
  </conditionalFormatting>
  <conditionalFormatting sqref="B6:B11">
    <cfRule type="expression" dxfId="50" priority="3">
      <formula>IF(C6=1,TRUE,FALSE)</formula>
    </cfRule>
  </conditionalFormatting>
  <conditionalFormatting sqref="B6:B11">
    <cfRule type="expression" dxfId="49" priority="4">
      <formula>IF(C6=2,TRUE,FALSE)</formula>
    </cfRule>
  </conditionalFormatting>
  <pageMargins left="0.7" right="0.7" top="0.75" bottom="0.75" header="0" footer="0"/>
  <pageSetup orientation="landscape"/>
  <headerFooter>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375" defaultRowHeight="15" customHeight="1"/>
  <cols>
    <col min="1" max="1" width="8" customWidth="1"/>
    <col min="2" max="2" width="43" customWidth="1"/>
    <col min="3" max="3" width="4" customWidth="1"/>
    <col min="4" max="4" width="43" customWidth="1"/>
    <col min="5" max="26" width="8" customWidth="1"/>
  </cols>
  <sheetData>
    <row r="1" spans="1:4" ht="21.75" customHeight="1">
      <c r="A1" s="275" t="s">
        <v>1859</v>
      </c>
      <c r="B1" s="275"/>
    </row>
    <row r="2" spans="1:4" ht="42" customHeight="1">
      <c r="A2" s="161" t="s">
        <v>1860</v>
      </c>
      <c r="B2" s="161" t="s">
        <v>1861</v>
      </c>
      <c r="C2" s="161"/>
      <c r="D2" s="161" t="s">
        <v>1862</v>
      </c>
    </row>
    <row r="3" spans="1:4" ht="12" customHeight="1">
      <c r="A3" s="6" t="str">
        <f t="shared" ref="A3:A130" ca="1" si="0">IF(TRIM(D3)="-","",C3)</f>
        <v>A1</v>
      </c>
      <c r="B3" s="6" t="str">
        <f t="shared" ref="B3:B130" ca="1" si="1">IF(TYPE(D3)&gt;4," - ",IF(OR(TRIM(D3)="",TRIM(D3)="-"),"",D3))</f>
        <v>Carreau Brno - Michálek Ivo</v>
      </c>
      <c r="C3" s="6" t="str">
        <f>Sk.A!$C$14</f>
        <v>A1</v>
      </c>
      <c r="D3" s="6" t="str">
        <f ca="1">Sk.A!$B$14</f>
        <v>Carreau Brno - Michálek Ivo</v>
      </c>
    </row>
    <row r="4" spans="1:4" ht="12" customHeight="1">
      <c r="A4" s="6" t="str">
        <f t="shared" ca="1" si="0"/>
        <v>A2</v>
      </c>
      <c r="B4" s="6" t="str">
        <f t="shared" ca="1" si="1"/>
        <v>1. Starobrněnský PK - Strouhalová Terezie</v>
      </c>
      <c r="C4" s="6" t="str">
        <f>Sk.A!$C$15</f>
        <v>A2</v>
      </c>
      <c r="D4" s="6" t="str">
        <f ca="1">Sk.A!$B$15</f>
        <v>1. Starobrněnský PK - Strouhalová Terezie</v>
      </c>
    </row>
    <row r="5" spans="1:4" ht="12" customHeight="1">
      <c r="A5" s="6" t="str">
        <f t="shared" ca="1" si="0"/>
        <v>A3</v>
      </c>
      <c r="B5" s="6" t="str">
        <f t="shared" ca="1" si="1"/>
        <v>PK Polouvsí - Valošek Hugo</v>
      </c>
      <c r="C5" s="6" t="str">
        <f>Sk.A!$C$16</f>
        <v>A3</v>
      </c>
      <c r="D5" s="6" t="str">
        <f ca="1">Sk.A!$B$16</f>
        <v>PK Polouvsí - Valošek Hugo</v>
      </c>
    </row>
    <row r="6" spans="1:4" ht="12" customHeight="1">
      <c r="A6" s="6" t="str">
        <f t="shared" ca="1" si="0"/>
        <v>A4</v>
      </c>
      <c r="B6" s="6" t="str">
        <f t="shared" ca="1" si="1"/>
        <v>Orel Řečkovice - Marečková Yvonne</v>
      </c>
      <c r="C6" s="6" t="str">
        <f>Sk.A!$C$17</f>
        <v>A4</v>
      </c>
      <c r="D6" s="6" t="str">
        <f ca="1">Sk.A!$B$17</f>
        <v>Orel Řečkovice - Marečková Yvonne</v>
      </c>
    </row>
    <row r="7" spans="1:4" ht="12" customHeight="1">
      <c r="A7" s="6" t="str">
        <f t="shared" ca="1" si="0"/>
        <v>B1</v>
      </c>
      <c r="B7" s="6" t="str">
        <f t="shared" ca="1" si="1"/>
        <v>PLUK Jablonec - Lukáš Vojtěch</v>
      </c>
      <c r="C7" s="6" t="str">
        <f>Sk.B!$C$14</f>
        <v>B1</v>
      </c>
      <c r="D7" s="6" t="str">
        <f ca="1">Sk.B!$B$14</f>
        <v>PLUK Jablonec - Lukáš Vojtěch</v>
      </c>
    </row>
    <row r="8" spans="1:4" ht="12" customHeight="1">
      <c r="A8" s="6" t="str">
        <f t="shared" ca="1" si="0"/>
        <v>B2</v>
      </c>
      <c r="B8" s="6" t="str">
        <f t="shared" ca="1" si="1"/>
        <v>UBU Únětice - Kot Pavel</v>
      </c>
      <c r="C8" s="6" t="str">
        <f>Sk.B!$C$15</f>
        <v>B2</v>
      </c>
      <c r="D8" s="6" t="str">
        <f ca="1">Sk.B!$B$15</f>
        <v>UBU Únětice - Kot Pavel</v>
      </c>
    </row>
    <row r="9" spans="1:4" ht="12" customHeight="1">
      <c r="A9" s="6" t="str">
        <f t="shared" ca="1" si="0"/>
        <v>B3</v>
      </c>
      <c r="B9" s="6" t="str">
        <f t="shared" ca="1" si="1"/>
        <v>PK Polouvsí - Vrzal Martin</v>
      </c>
      <c r="C9" s="6" t="str">
        <f>Sk.B!$C$16</f>
        <v>B3</v>
      </c>
      <c r="D9" s="6" t="str">
        <f ca="1">Sk.B!$B$16</f>
        <v>PK Polouvsí - Vrzal Martin</v>
      </c>
    </row>
    <row r="10" spans="1:4" ht="12" customHeight="1">
      <c r="A10" s="6" t="str">
        <f t="shared" ca="1" si="0"/>
        <v>B4</v>
      </c>
      <c r="B10" s="6" t="str">
        <f t="shared" ca="1" si="1"/>
        <v>SOKOL Staříč - Plesník Vladimír</v>
      </c>
      <c r="C10" s="6" t="str">
        <f>Sk.B!$C$17</f>
        <v>B4</v>
      </c>
      <c r="D10" s="6" t="str">
        <f ca="1">Sk.B!$B$17</f>
        <v>SOKOL Staříč - Plesník Vladimír</v>
      </c>
    </row>
    <row r="11" spans="1:4" ht="12" customHeight="1">
      <c r="A11" s="6" t="str">
        <f t="shared" ca="1" si="0"/>
        <v>C1</v>
      </c>
      <c r="B11" s="6" t="str">
        <f t="shared" ca="1" si="1"/>
        <v>SKP Hranice VI-Valšovice - Kutá Miloslava</v>
      </c>
      <c r="C11" s="6" t="str">
        <f>Sk.C!$C$14</f>
        <v>C1</v>
      </c>
      <c r="D11" s="6" t="str">
        <f ca="1">Sk.C!$B$14</f>
        <v>SKP Hranice VI-Valšovice - Kutá Miloslava</v>
      </c>
    </row>
    <row r="12" spans="1:4" ht="12" customHeight="1">
      <c r="A12" s="6" t="str">
        <f t="shared" ca="1" si="0"/>
        <v>C2</v>
      </c>
      <c r="B12" s="6" t="str">
        <f t="shared" ca="1" si="1"/>
        <v>Kulový blesk Olomouc - Hildenbrand Benjamin</v>
      </c>
      <c r="C12" s="6" t="str">
        <f>Sk.C!$C$15</f>
        <v>C2</v>
      </c>
      <c r="D12" s="6" t="str">
        <f ca="1">Sk.C!$B$15</f>
        <v>Kulový blesk Olomouc - Hildenbrand Benjamin</v>
      </c>
    </row>
    <row r="13" spans="1:4" ht="12" customHeight="1">
      <c r="A13" s="6" t="str">
        <f t="shared" ca="1" si="0"/>
        <v>C3</v>
      </c>
      <c r="B13" s="6" t="str">
        <f t="shared" ca="1" si="1"/>
        <v>1. Starobrněnský PK - Kutra Oldřích</v>
      </c>
      <c r="C13" s="6" t="str">
        <f>Sk.C!$C$16</f>
        <v>C3</v>
      </c>
      <c r="D13" s="6" t="str">
        <f ca="1">Sk.C!$B$16</f>
        <v>1. Starobrněnský PK - Kutra Oldřích</v>
      </c>
    </row>
    <row r="14" spans="1:4" ht="12" customHeight="1">
      <c r="A14" s="6" t="str">
        <f t="shared" ca="1" si="0"/>
        <v>C4</v>
      </c>
      <c r="B14" s="6" t="str">
        <f t="shared" ca="1" si="1"/>
        <v>PAK Albrechtice - Bukovčík Jan</v>
      </c>
      <c r="C14" s="6" t="str">
        <f>Sk.C!$C$17</f>
        <v>C4</v>
      </c>
      <c r="D14" s="6" t="str">
        <f ca="1">Sk.C!$B$17</f>
        <v>PAK Albrechtice - Bukovčík Jan</v>
      </c>
    </row>
    <row r="15" spans="1:4" ht="12" customHeight="1">
      <c r="A15" s="6" t="str">
        <f t="shared" ca="1" si="0"/>
        <v>D1</v>
      </c>
      <c r="B15" s="6" t="str">
        <f t="shared" ca="1" si="1"/>
        <v>P.C.B.D. - Hejl ml. Pavel</v>
      </c>
      <c r="C15" s="6" t="str">
        <f>Sk.D!$C$14</f>
        <v>D1</v>
      </c>
      <c r="D15" s="6" t="str">
        <f ca="1">Sk.D!$B$14</f>
        <v>P.C.B.D. - Hejl ml. Pavel</v>
      </c>
    </row>
    <row r="16" spans="1:4" ht="12" customHeight="1">
      <c r="A16" s="6" t="str">
        <f t="shared" ca="1" si="0"/>
        <v>D2</v>
      </c>
      <c r="B16" s="6" t="str">
        <f t="shared" ca="1" si="1"/>
        <v>PAK Albrechtice - Valík Václav</v>
      </c>
      <c r="C16" s="6" t="str">
        <f>Sk.D!$C$15</f>
        <v>D2</v>
      </c>
      <c r="D16" s="6" t="str">
        <f ca="1">Sk.D!$B$15</f>
        <v>PAK Albrechtice - Valík Václav</v>
      </c>
    </row>
    <row r="17" spans="1:4" ht="12" customHeight="1">
      <c r="A17" s="6" t="str">
        <f t="shared" ca="1" si="0"/>
        <v>D3</v>
      </c>
      <c r="B17" s="6" t="str">
        <f t="shared" ca="1" si="1"/>
        <v>PC Sokol PP Hr. Králové - Vávrová Ivana</v>
      </c>
      <c r="C17" s="6" t="str">
        <f>Sk.D!$C$16</f>
        <v>D3</v>
      </c>
      <c r="D17" s="6" t="str">
        <f ca="1">Sk.D!$B$16</f>
        <v>PC Sokol PP Hr. Králové - Vávrová Ivana</v>
      </c>
    </row>
    <row r="18" spans="1:4" ht="12" customHeight="1">
      <c r="A18" s="6" t="str">
        <f t="shared" ca="1" si="0"/>
        <v>D4</v>
      </c>
      <c r="B18" s="6" t="str">
        <f t="shared" ca="1" si="1"/>
        <v>PK Polouvsí - Valošková Sára</v>
      </c>
      <c r="C18" s="6" t="str">
        <f>Sk.D!$C$17</f>
        <v>D4</v>
      </c>
      <c r="D18" s="6" t="str">
        <f ca="1">Sk.D!$B$17</f>
        <v>PK Polouvsí - Valošková Sára</v>
      </c>
    </row>
    <row r="19" spans="1:4" ht="12" customHeight="1">
      <c r="A19" s="6" t="str">
        <f t="shared" ca="1" si="0"/>
        <v>E1</v>
      </c>
      <c r="B19" s="6" t="str">
        <f t="shared" ca="1" si="1"/>
        <v>SKP Kulová osma - Krejčín Leoš</v>
      </c>
      <c r="C19" s="6" t="str">
        <f>Sk.E!$C$14</f>
        <v>E1</v>
      </c>
      <c r="D19" s="6" t="str">
        <f ca="1">Sk.E!$B$14</f>
        <v>SKP Kulová osma - Krejčín Leoš</v>
      </c>
    </row>
    <row r="20" spans="1:4" ht="12" customHeight="1">
      <c r="A20" s="6" t="str">
        <f t="shared" ca="1" si="0"/>
        <v>E2</v>
      </c>
      <c r="B20" s="6" t="str">
        <f t="shared" ca="1" si="1"/>
        <v>HRODE KRUMSÍN - Krpec Miroslav</v>
      </c>
      <c r="C20" s="6" t="str">
        <f>Sk.E!$C$15</f>
        <v>E2</v>
      </c>
      <c r="D20" s="6" t="str">
        <f ca="1">Sk.E!$B$15</f>
        <v>HRODE KRUMSÍN - Krpec Miroslav</v>
      </c>
    </row>
    <row r="21" spans="1:4" ht="12" customHeight="1">
      <c r="A21" s="6" t="str">
        <f t="shared" ca="1" si="0"/>
        <v>E3</v>
      </c>
      <c r="B21" s="6" t="str">
        <f t="shared" ca="1" si="1"/>
        <v>KLIP Litovel - Potužák Zdeněk</v>
      </c>
      <c r="C21" s="6" t="str">
        <f>Sk.E!$C$16</f>
        <v>E3</v>
      </c>
      <c r="D21" s="6" t="str">
        <f ca="1">Sk.E!$B$16</f>
        <v>KLIP Litovel - Potužák Zdeněk</v>
      </c>
    </row>
    <row r="22" spans="1:4" ht="12" customHeight="1">
      <c r="A22" s="6" t="str">
        <f t="shared" ca="1" si="0"/>
        <v>E4</v>
      </c>
      <c r="B22" s="6" t="str">
        <f t="shared" ca="1" si="1"/>
        <v>PC Hrabyně - Holba Daniel</v>
      </c>
      <c r="C22" s="6" t="str">
        <f>Sk.E!$C$17</f>
        <v>E4</v>
      </c>
      <c r="D22" s="6" t="str">
        <f ca="1">Sk.E!$B$17</f>
        <v>PC Hrabyně - Holba Daniel</v>
      </c>
    </row>
    <row r="23" spans="1:4" ht="12" customHeight="1">
      <c r="A23" s="6" t="str">
        <f t="shared" ca="1" si="0"/>
        <v>F1</v>
      </c>
      <c r="B23" s="6" t="str">
        <f t="shared" ca="1" si="1"/>
        <v>TOP - ORLOVÁ - Bačo David</v>
      </c>
      <c r="C23" s="6" t="str">
        <f>Sk.F!$C$14</f>
        <v>F1</v>
      </c>
      <c r="D23" s="6" t="str">
        <f ca="1">Sk.F!$B$14</f>
        <v>TOP - ORLOVÁ - Bačo David</v>
      </c>
    </row>
    <row r="24" spans="1:4" ht="12" customHeight="1">
      <c r="A24" s="6" t="str">
        <f t="shared" ca="1" si="0"/>
        <v>F2</v>
      </c>
      <c r="B24" s="6" t="str">
        <f t="shared" ca="1" si="1"/>
        <v>SKP Hranice VI-Valšovice - Jakeš Zbyněk</v>
      </c>
      <c r="C24" s="6" t="str">
        <f>Sk.F!$C$15</f>
        <v>F2</v>
      </c>
      <c r="D24" s="6" t="str">
        <f ca="1">Sk.F!$B$15</f>
        <v>SKP Hranice VI-Valšovice - Jakeš Zbyněk</v>
      </c>
    </row>
    <row r="25" spans="1:4" ht="12" customHeight="1">
      <c r="A25" s="6" t="str">
        <f t="shared" ca="1" si="0"/>
        <v>F3</v>
      </c>
      <c r="B25" s="6" t="str">
        <f t="shared" ca="1" si="1"/>
        <v>Carreau Brno - Rendla Jakub</v>
      </c>
      <c r="C25" s="6" t="str">
        <f>Sk.F!$C$16</f>
        <v>F3</v>
      </c>
      <c r="D25" s="6" t="str">
        <f ca="1">Sk.F!$B$16</f>
        <v>Carreau Brno - Rendla Jakub</v>
      </c>
    </row>
    <row r="26" spans="1:4" ht="12" customHeight="1">
      <c r="A26" s="6" t="str">
        <f t="shared" ca="1" si="0"/>
        <v>F4</v>
      </c>
      <c r="B26" s="6" t="str">
        <f t="shared" ca="1" si="1"/>
        <v>HAVAJ CB - Korešová Alena</v>
      </c>
      <c r="C26" s="6" t="str">
        <f>Sk.F!$C$17</f>
        <v>F4</v>
      </c>
      <c r="D26" s="6" t="str">
        <f ca="1">Sk.F!$B$17</f>
        <v>HAVAJ CB - Korešová Alena</v>
      </c>
    </row>
    <row r="27" spans="1:4" ht="12" customHeight="1">
      <c r="A27" s="6" t="str">
        <f t="shared" ca="1" si="0"/>
        <v>G1</v>
      </c>
      <c r="B27" s="6" t="str">
        <f t="shared" ca="1" si="1"/>
        <v>Carreau Brno - Hodboď Pavel</v>
      </c>
      <c r="C27" s="6" t="str">
        <f>Sk.G!$C$14</f>
        <v>G1</v>
      </c>
      <c r="D27" s="6" t="str">
        <f ca="1">Sk.G!$B$14</f>
        <v>Carreau Brno - Hodboď Pavel</v>
      </c>
    </row>
    <row r="28" spans="1:4" ht="12" customHeight="1">
      <c r="A28" s="6" t="str">
        <f t="shared" ca="1" si="0"/>
        <v>G2</v>
      </c>
      <c r="B28" s="6" t="str">
        <f t="shared" ca="1" si="1"/>
        <v>Orel Řečkovice - Olbort Tomáš</v>
      </c>
      <c r="C28" s="6" t="str">
        <f>Sk.G!$C$15</f>
        <v>G2</v>
      </c>
      <c r="D28" s="6" t="str">
        <f ca="1">Sk.G!$B$15</f>
        <v>Orel Řečkovice - Olbort Tomáš</v>
      </c>
    </row>
    <row r="29" spans="1:4" ht="12" customHeight="1">
      <c r="A29" s="6" t="str">
        <f t="shared" ca="1" si="0"/>
        <v>G3</v>
      </c>
      <c r="B29" s="6" t="str">
        <f t="shared" ca="1" si="1"/>
        <v>HRODE KRUMSÍN - Ptáčková Eliška</v>
      </c>
      <c r="C29" s="6" t="str">
        <f>Sk.G!$C$16</f>
        <v>G3</v>
      </c>
      <c r="D29" s="6" t="str">
        <f ca="1">Sk.G!$B$16</f>
        <v>HRODE KRUMSÍN - Ptáčková Eliška</v>
      </c>
    </row>
    <row r="30" spans="1:4" ht="12" customHeight="1">
      <c r="A30" s="6" t="str">
        <f t="shared" ca="1" si="0"/>
        <v>G4</v>
      </c>
      <c r="B30" s="6" t="str">
        <f t="shared" ca="1" si="1"/>
        <v>SK Pétanque Řepy - Holoubek Pavel</v>
      </c>
      <c r="C30" s="6" t="str">
        <f>Sk.G!$C$17</f>
        <v>G4</v>
      </c>
      <c r="D30" s="6" t="str">
        <f ca="1">Sk.G!$B$17</f>
        <v>SK Pétanque Řepy - Holoubek Pavel</v>
      </c>
    </row>
    <row r="31" spans="1:4" ht="12" customHeight="1">
      <c r="A31" s="6" t="str">
        <f t="shared" ca="1" si="0"/>
        <v>H1</v>
      </c>
      <c r="B31" s="6" t="str">
        <f t="shared" ca="1" si="1"/>
        <v>Carreau Brno - Grepl Jiří</v>
      </c>
      <c r="C31" s="6" t="str">
        <f>Sk.H!$C$14</f>
        <v>H1</v>
      </c>
      <c r="D31" s="6" t="str">
        <f ca="1">Sk.H!$B$14</f>
        <v>Carreau Brno - Grepl Jiří</v>
      </c>
    </row>
    <row r="32" spans="1:4" ht="12" customHeight="1">
      <c r="A32" s="6" t="str">
        <f t="shared" ca="1" si="0"/>
        <v>H2</v>
      </c>
      <c r="B32" s="6" t="str">
        <f t="shared" ca="1" si="1"/>
        <v>SOKOL Staříč - Šimíček Ladislav</v>
      </c>
      <c r="C32" s="6" t="str">
        <f>Sk.H!$C$15</f>
        <v>H2</v>
      </c>
      <c r="D32" s="6" t="str">
        <f ca="1">Sk.H!$B$15</f>
        <v>SOKOL Staříč - Šimíček Ladislav</v>
      </c>
    </row>
    <row r="33" spans="1:4" ht="12" customHeight="1">
      <c r="A33" s="6" t="str">
        <f t="shared" ca="1" si="0"/>
        <v>H3</v>
      </c>
      <c r="B33" s="6" t="str">
        <f t="shared" ca="1" si="1"/>
        <v>POP Praha - Hodboďová Romana</v>
      </c>
      <c r="C33" s="6" t="str">
        <f>Sk.H!$C$16</f>
        <v>H3</v>
      </c>
      <c r="D33" s="6" t="str">
        <f ca="1">Sk.H!$B$16</f>
        <v>POP Praha - Hodboďová Romana</v>
      </c>
    </row>
    <row r="34" spans="1:4" ht="12" customHeight="1">
      <c r="A34" s="6" t="str">
        <f t="shared" ca="1" si="0"/>
        <v>H4</v>
      </c>
      <c r="B34" s="6" t="str">
        <f t="shared" ca="1" si="1"/>
        <v>1. Starobrněnský PK - Blažejová Eva</v>
      </c>
      <c r="C34" s="6" t="str">
        <f>Sk.H!$C$17</f>
        <v>H4</v>
      </c>
      <c r="D34" s="6" t="str">
        <f ca="1">Sk.H!$B$17</f>
        <v>1. Starobrněnský PK - Blažejová Eva</v>
      </c>
    </row>
    <row r="35" spans="1:4" ht="12" customHeight="1">
      <c r="A35" s="6" t="str">
        <f t="shared" ca="1" si="0"/>
        <v/>
      </c>
      <c r="B35" s="6" t="str">
        <f t="shared" ca="1" si="1"/>
        <v/>
      </c>
      <c r="C35" s="6" t="str">
        <f>Sk.I!$C$14</f>
        <v>I1</v>
      </c>
      <c r="D35" s="6" t="str">
        <f ca="1">Sk.I!$B$14</f>
        <v xml:space="preserve"> - </v>
      </c>
    </row>
    <row r="36" spans="1:4" ht="12" customHeight="1">
      <c r="A36" s="6" t="str">
        <f t="shared" ca="1" si="0"/>
        <v/>
      </c>
      <c r="B36" s="6" t="str">
        <f t="shared" ca="1" si="1"/>
        <v/>
      </c>
      <c r="C36" s="6" t="str">
        <f>Sk.I!$C$15</f>
        <v>I2</v>
      </c>
      <c r="D36" s="6" t="str">
        <f ca="1">Sk.I!$B$15</f>
        <v xml:space="preserve"> - </v>
      </c>
    </row>
    <row r="37" spans="1:4" ht="12" customHeight="1">
      <c r="A37" s="6" t="str">
        <f t="shared" ca="1" si="0"/>
        <v/>
      </c>
      <c r="B37" s="6" t="str">
        <f t="shared" ca="1" si="1"/>
        <v/>
      </c>
      <c r="C37" s="6" t="str">
        <f>Sk.I!$C$16</f>
        <v>I3</v>
      </c>
      <c r="D37" s="6" t="str">
        <f ca="1">Sk.I!$B$16</f>
        <v xml:space="preserve"> - </v>
      </c>
    </row>
    <row r="38" spans="1:4" ht="12" customHeight="1">
      <c r="A38" s="6" t="str">
        <f t="shared" ca="1" si="0"/>
        <v/>
      </c>
      <c r="B38" s="6" t="str">
        <f t="shared" ca="1" si="1"/>
        <v/>
      </c>
      <c r="C38" s="6" t="str">
        <f>Sk.I!$C$17</f>
        <v>I4</v>
      </c>
      <c r="D38" s="6" t="str">
        <f ca="1">Sk.I!$B$17</f>
        <v xml:space="preserve"> - </v>
      </c>
    </row>
    <row r="39" spans="1:4" ht="12" customHeight="1">
      <c r="A39" s="6" t="str">
        <f t="shared" ca="1" si="0"/>
        <v/>
      </c>
      <c r="B39" s="6" t="str">
        <f t="shared" ca="1" si="1"/>
        <v/>
      </c>
      <c r="C39" s="6" t="str">
        <f>Sk.J!$C$14</f>
        <v>J1</v>
      </c>
      <c r="D39" s="6" t="str">
        <f ca="1">Sk.J!$B$14</f>
        <v xml:space="preserve"> - </v>
      </c>
    </row>
    <row r="40" spans="1:4" ht="12" customHeight="1">
      <c r="A40" s="6" t="str">
        <f t="shared" ca="1" si="0"/>
        <v/>
      </c>
      <c r="B40" s="6" t="str">
        <f t="shared" ca="1" si="1"/>
        <v/>
      </c>
      <c r="C40" s="6" t="str">
        <f>Sk.J!$C$15</f>
        <v>J2</v>
      </c>
      <c r="D40" s="6" t="str">
        <f ca="1">Sk.J!$B$15</f>
        <v xml:space="preserve"> - </v>
      </c>
    </row>
    <row r="41" spans="1:4" ht="12" customHeight="1">
      <c r="A41" s="6" t="str">
        <f t="shared" ca="1" si="0"/>
        <v/>
      </c>
      <c r="B41" s="6" t="str">
        <f t="shared" ca="1" si="1"/>
        <v/>
      </c>
      <c r="C41" s="6" t="str">
        <f>Sk.J!$C$16</f>
        <v>J3</v>
      </c>
      <c r="D41" s="6" t="str">
        <f ca="1">Sk.J!$B$16</f>
        <v xml:space="preserve"> - </v>
      </c>
    </row>
    <row r="42" spans="1:4" ht="12" customHeight="1">
      <c r="A42" s="6" t="str">
        <f t="shared" ca="1" si="0"/>
        <v/>
      </c>
      <c r="B42" s="6" t="str">
        <f t="shared" ca="1" si="1"/>
        <v/>
      </c>
      <c r="C42" s="6" t="str">
        <f>Sk.J!$C$17</f>
        <v>J4</v>
      </c>
      <c r="D42" s="6" t="str">
        <f ca="1">Sk.J!$B$17</f>
        <v xml:space="preserve"> - </v>
      </c>
    </row>
    <row r="43" spans="1:4" ht="12" customHeight="1">
      <c r="A43" s="6" t="str">
        <f t="shared" ca="1" si="0"/>
        <v/>
      </c>
      <c r="B43" s="6" t="str">
        <f t="shared" ca="1" si="1"/>
        <v/>
      </c>
      <c r="C43" s="6" t="str">
        <f>Sk.K!$C$14</f>
        <v>K1</v>
      </c>
      <c r="D43" s="6" t="str">
        <f ca="1">Sk.K!$B$14</f>
        <v xml:space="preserve"> - </v>
      </c>
    </row>
    <row r="44" spans="1:4" ht="12" customHeight="1">
      <c r="A44" s="6" t="str">
        <f t="shared" ca="1" si="0"/>
        <v/>
      </c>
      <c r="B44" s="6" t="str">
        <f t="shared" ca="1" si="1"/>
        <v/>
      </c>
      <c r="C44" s="6" t="str">
        <f>Sk.K!$C$15</f>
        <v>K2</v>
      </c>
      <c r="D44" s="6" t="str">
        <f ca="1">Sk.K!$B$15</f>
        <v xml:space="preserve"> - </v>
      </c>
    </row>
    <row r="45" spans="1:4" ht="12" customHeight="1">
      <c r="A45" s="6" t="str">
        <f t="shared" ca="1" si="0"/>
        <v/>
      </c>
      <c r="B45" s="6" t="str">
        <f t="shared" ca="1" si="1"/>
        <v/>
      </c>
      <c r="C45" s="6" t="str">
        <f>Sk.K!$C$16</f>
        <v>K3</v>
      </c>
      <c r="D45" s="6" t="str">
        <f ca="1">Sk.K!$B$16</f>
        <v xml:space="preserve"> - </v>
      </c>
    </row>
    <row r="46" spans="1:4" ht="12" customHeight="1">
      <c r="A46" s="6" t="str">
        <f t="shared" ca="1" si="0"/>
        <v/>
      </c>
      <c r="B46" s="6" t="str">
        <f t="shared" ca="1" si="1"/>
        <v/>
      </c>
      <c r="C46" s="6" t="str">
        <f>Sk.K!$C$17</f>
        <v>K4</v>
      </c>
      <c r="D46" s="6" t="str">
        <f ca="1">Sk.K!$B$17</f>
        <v xml:space="preserve"> - </v>
      </c>
    </row>
    <row r="47" spans="1:4" ht="12" customHeight="1">
      <c r="A47" s="6" t="str">
        <f t="shared" ca="1" si="0"/>
        <v/>
      </c>
      <c r="B47" s="6" t="str">
        <f t="shared" ca="1" si="1"/>
        <v/>
      </c>
      <c r="C47" s="6" t="str">
        <f>Sk.L!$C$14</f>
        <v>L1</v>
      </c>
      <c r="D47" s="6" t="str">
        <f ca="1">Sk.L!$B$14</f>
        <v xml:space="preserve"> - </v>
      </c>
    </row>
    <row r="48" spans="1:4" ht="12" customHeight="1">
      <c r="A48" s="6" t="str">
        <f t="shared" ca="1" si="0"/>
        <v/>
      </c>
      <c r="B48" s="6" t="str">
        <f t="shared" ca="1" si="1"/>
        <v/>
      </c>
      <c r="C48" s="6" t="str">
        <f>Sk.L!$C$15</f>
        <v>L2</v>
      </c>
      <c r="D48" s="6" t="str">
        <f ca="1">Sk.L!$B$15</f>
        <v xml:space="preserve"> - </v>
      </c>
    </row>
    <row r="49" spans="1:4" ht="12" customHeight="1">
      <c r="A49" s="6" t="str">
        <f t="shared" ca="1" si="0"/>
        <v/>
      </c>
      <c r="B49" s="6" t="str">
        <f t="shared" ca="1" si="1"/>
        <v/>
      </c>
      <c r="C49" s="6" t="str">
        <f>Sk.L!$C$16</f>
        <v>L3</v>
      </c>
      <c r="D49" s="6" t="str">
        <f ca="1">Sk.L!$B$16</f>
        <v xml:space="preserve"> - </v>
      </c>
    </row>
    <row r="50" spans="1:4" ht="12" customHeight="1">
      <c r="A50" s="6" t="str">
        <f t="shared" ca="1" si="0"/>
        <v/>
      </c>
      <c r="B50" s="6" t="str">
        <f t="shared" ca="1" si="1"/>
        <v/>
      </c>
      <c r="C50" s="6" t="str">
        <f>Sk.L!$C$17</f>
        <v>L4</v>
      </c>
      <c r="D50" s="6" t="str">
        <f ca="1">Sk.L!$B$17</f>
        <v xml:space="preserve"> - </v>
      </c>
    </row>
    <row r="51" spans="1:4" ht="12" customHeight="1">
      <c r="A51" s="6" t="str">
        <f t="shared" ca="1" si="0"/>
        <v/>
      </c>
      <c r="B51" s="6" t="str">
        <f t="shared" ca="1" si="1"/>
        <v/>
      </c>
      <c r="C51" s="6" t="str">
        <f>Sk.M!$C$14</f>
        <v>M1</v>
      </c>
      <c r="D51" s="6" t="str">
        <f ca="1">Sk.M!$B$14</f>
        <v xml:space="preserve"> - </v>
      </c>
    </row>
    <row r="52" spans="1:4" ht="12" customHeight="1">
      <c r="A52" s="6" t="str">
        <f t="shared" ca="1" si="0"/>
        <v/>
      </c>
      <c r="B52" s="6" t="str">
        <f t="shared" ca="1" si="1"/>
        <v/>
      </c>
      <c r="C52" s="6" t="str">
        <f>Sk.M!$C$15</f>
        <v>M2</v>
      </c>
      <c r="D52" s="6" t="str">
        <f ca="1">Sk.M!$B$15</f>
        <v xml:space="preserve"> - </v>
      </c>
    </row>
    <row r="53" spans="1:4" ht="12" customHeight="1">
      <c r="A53" s="6" t="str">
        <f t="shared" ca="1" si="0"/>
        <v/>
      </c>
      <c r="B53" s="6" t="str">
        <f t="shared" ca="1" si="1"/>
        <v/>
      </c>
      <c r="C53" s="6" t="str">
        <f>Sk.M!$C$16</f>
        <v>M3</v>
      </c>
      <c r="D53" s="6" t="str">
        <f ca="1">Sk.M!$B$16</f>
        <v xml:space="preserve"> - </v>
      </c>
    </row>
    <row r="54" spans="1:4" ht="12" customHeight="1">
      <c r="A54" s="6" t="str">
        <f t="shared" ca="1" si="0"/>
        <v/>
      </c>
      <c r="B54" s="6" t="str">
        <f t="shared" ca="1" si="1"/>
        <v/>
      </c>
      <c r="C54" s="6" t="str">
        <f>Sk.M!$C$17</f>
        <v>M4</v>
      </c>
      <c r="D54" s="6" t="str">
        <f ca="1">Sk.M!$B$17</f>
        <v xml:space="preserve"> - </v>
      </c>
    </row>
    <row r="55" spans="1:4" ht="12" customHeight="1">
      <c r="A55" s="6" t="str">
        <f t="shared" ca="1" si="0"/>
        <v/>
      </c>
      <c r="B55" s="6" t="str">
        <f t="shared" ca="1" si="1"/>
        <v/>
      </c>
      <c r="C55" s="6" t="str">
        <f>Sk.N!$C$14</f>
        <v>N1</v>
      </c>
      <c r="D55" s="6" t="str">
        <f ca="1">Sk.N!$B$14</f>
        <v xml:space="preserve"> - </v>
      </c>
    </row>
    <row r="56" spans="1:4" ht="12" customHeight="1">
      <c r="A56" s="6" t="str">
        <f t="shared" ca="1" si="0"/>
        <v/>
      </c>
      <c r="B56" s="6" t="str">
        <f t="shared" ca="1" si="1"/>
        <v/>
      </c>
      <c r="C56" s="6" t="str">
        <f>Sk.N!$C$15</f>
        <v>N2</v>
      </c>
      <c r="D56" s="6" t="str">
        <f ca="1">Sk.N!$B$15</f>
        <v xml:space="preserve"> - </v>
      </c>
    </row>
    <row r="57" spans="1:4" ht="12" customHeight="1">
      <c r="A57" s="6" t="str">
        <f t="shared" ca="1" si="0"/>
        <v/>
      </c>
      <c r="B57" s="6" t="str">
        <f t="shared" ca="1" si="1"/>
        <v/>
      </c>
      <c r="C57" s="6" t="str">
        <f>Sk.N!$C$16</f>
        <v>N3</v>
      </c>
      <c r="D57" s="6" t="str">
        <f ca="1">Sk.N!$B$16</f>
        <v xml:space="preserve"> - </v>
      </c>
    </row>
    <row r="58" spans="1:4" ht="12" customHeight="1">
      <c r="A58" s="6" t="str">
        <f t="shared" ca="1" si="0"/>
        <v/>
      </c>
      <c r="B58" s="6" t="str">
        <f t="shared" ca="1" si="1"/>
        <v/>
      </c>
      <c r="C58" s="6" t="str">
        <f>Sk.N!$C$17</f>
        <v>N4</v>
      </c>
      <c r="D58" s="6" t="str">
        <f ca="1">Sk.N!$B$17</f>
        <v xml:space="preserve"> - </v>
      </c>
    </row>
    <row r="59" spans="1:4" ht="12" customHeight="1">
      <c r="A59" s="6" t="str">
        <f t="shared" ca="1" si="0"/>
        <v/>
      </c>
      <c r="B59" s="6" t="str">
        <f t="shared" ca="1" si="1"/>
        <v/>
      </c>
      <c r="C59" s="6" t="str">
        <f>Sk.O!$C$14</f>
        <v>O1</v>
      </c>
      <c r="D59" s="6" t="str">
        <f ca="1">Sk.O!$B$14</f>
        <v xml:space="preserve"> - </v>
      </c>
    </row>
    <row r="60" spans="1:4" ht="12" customHeight="1">
      <c r="A60" s="6" t="str">
        <f t="shared" ca="1" si="0"/>
        <v/>
      </c>
      <c r="B60" s="6" t="str">
        <f t="shared" ca="1" si="1"/>
        <v/>
      </c>
      <c r="C60" s="6" t="str">
        <f>Sk.O!$C$15</f>
        <v>O2</v>
      </c>
      <c r="D60" s="6" t="str">
        <f ca="1">Sk.O!$B$15</f>
        <v xml:space="preserve"> - </v>
      </c>
    </row>
    <row r="61" spans="1:4" ht="12" customHeight="1">
      <c r="A61" s="6" t="str">
        <f t="shared" ca="1" si="0"/>
        <v/>
      </c>
      <c r="B61" s="6" t="str">
        <f t="shared" ca="1" si="1"/>
        <v/>
      </c>
      <c r="C61" s="6" t="str">
        <f>Sk.O!$C$16</f>
        <v>O3</v>
      </c>
      <c r="D61" s="6" t="str">
        <f ca="1">Sk.O!$B$16</f>
        <v xml:space="preserve"> - </v>
      </c>
    </row>
    <row r="62" spans="1:4" ht="12" customHeight="1">
      <c r="A62" s="6" t="str">
        <f t="shared" ca="1" si="0"/>
        <v/>
      </c>
      <c r="B62" s="6" t="str">
        <f t="shared" ca="1" si="1"/>
        <v/>
      </c>
      <c r="C62" s="6" t="str">
        <f>Sk.O!$C$17</f>
        <v>O4</v>
      </c>
      <c r="D62" s="6" t="str">
        <f ca="1">Sk.O!$B$17</f>
        <v xml:space="preserve"> - </v>
      </c>
    </row>
    <row r="63" spans="1:4" ht="12" customHeight="1">
      <c r="A63" s="6" t="str">
        <f t="shared" ca="1" si="0"/>
        <v/>
      </c>
      <c r="B63" s="6" t="str">
        <f t="shared" ca="1" si="1"/>
        <v/>
      </c>
      <c r="C63" s="6" t="str">
        <f>Sk.P!$C$14</f>
        <v>P1</v>
      </c>
      <c r="D63" s="6" t="str">
        <f ca="1">Sk.P!$B$14</f>
        <v xml:space="preserve"> - </v>
      </c>
    </row>
    <row r="64" spans="1:4" ht="12" customHeight="1">
      <c r="A64" s="6" t="str">
        <f t="shared" ca="1" si="0"/>
        <v/>
      </c>
      <c r="B64" s="6" t="str">
        <f t="shared" ca="1" si="1"/>
        <v/>
      </c>
      <c r="C64" s="6" t="str">
        <f>Sk.P!$C$15</f>
        <v>P2</v>
      </c>
      <c r="D64" s="6" t="str">
        <f ca="1">Sk.P!$B$15</f>
        <v xml:space="preserve"> - </v>
      </c>
    </row>
    <row r="65" spans="1:4" ht="12" customHeight="1">
      <c r="A65" s="6" t="str">
        <f t="shared" ca="1" si="0"/>
        <v/>
      </c>
      <c r="B65" s="6" t="str">
        <f t="shared" ca="1" si="1"/>
        <v/>
      </c>
      <c r="C65" s="6" t="str">
        <f>Sk.P!$C$16</f>
        <v>P3</v>
      </c>
      <c r="D65" s="6" t="str">
        <f ca="1">Sk.P!$B$16</f>
        <v xml:space="preserve"> - </v>
      </c>
    </row>
    <row r="66" spans="1:4" ht="12" customHeight="1">
      <c r="A66" s="6" t="str">
        <f t="shared" ca="1" si="0"/>
        <v/>
      </c>
      <c r="B66" s="6" t="str">
        <f t="shared" ca="1" si="1"/>
        <v/>
      </c>
      <c r="C66" s="6" t="str">
        <f>Sk.P!$C$17</f>
        <v>P4</v>
      </c>
      <c r="D66" s="6" t="str">
        <f ca="1">Sk.P!$B$17</f>
        <v xml:space="preserve"> - </v>
      </c>
    </row>
    <row r="67" spans="1:4" ht="12" customHeight="1">
      <c r="A67" s="6" t="str">
        <f t="shared" ca="1" si="0"/>
        <v/>
      </c>
      <c r="B67" s="6" t="str">
        <f t="shared" ca="1" si="1"/>
        <v/>
      </c>
      <c r="C67" s="6" t="str">
        <f>Sk.Q!$C$14</f>
        <v>Q1</v>
      </c>
      <c r="D67" s="6" t="str">
        <f ca="1">Sk.Q!$B$14</f>
        <v xml:space="preserve"> - </v>
      </c>
    </row>
    <row r="68" spans="1:4" ht="12" customHeight="1">
      <c r="A68" s="6" t="str">
        <f t="shared" ca="1" si="0"/>
        <v/>
      </c>
      <c r="B68" s="6" t="str">
        <f t="shared" ca="1" si="1"/>
        <v/>
      </c>
      <c r="C68" s="6" t="str">
        <f>Sk.Q!$C$15</f>
        <v>Q2</v>
      </c>
      <c r="D68" s="6" t="str">
        <f ca="1">Sk.Q!$B$15</f>
        <v xml:space="preserve"> - </v>
      </c>
    </row>
    <row r="69" spans="1:4" ht="12" customHeight="1">
      <c r="A69" s="6" t="str">
        <f t="shared" ca="1" si="0"/>
        <v/>
      </c>
      <c r="B69" s="6" t="str">
        <f t="shared" ca="1" si="1"/>
        <v/>
      </c>
      <c r="C69" s="6" t="str">
        <f>Sk.Q!$C$16</f>
        <v>Q3</v>
      </c>
      <c r="D69" s="6" t="str">
        <f ca="1">Sk.Q!$B$16</f>
        <v xml:space="preserve"> - </v>
      </c>
    </row>
    <row r="70" spans="1:4" ht="12" customHeight="1">
      <c r="A70" s="6" t="str">
        <f t="shared" ca="1" si="0"/>
        <v/>
      </c>
      <c r="B70" s="6" t="str">
        <f t="shared" ca="1" si="1"/>
        <v/>
      </c>
      <c r="C70" s="6" t="str">
        <f>Sk.Q!$C$17</f>
        <v>Q4</v>
      </c>
      <c r="D70" s="6" t="str">
        <f ca="1">Sk.Q!$B$17</f>
        <v xml:space="preserve"> - </v>
      </c>
    </row>
    <row r="71" spans="1:4" ht="12" customHeight="1">
      <c r="A71" s="6" t="str">
        <f t="shared" ca="1" si="0"/>
        <v/>
      </c>
      <c r="B71" s="6" t="str">
        <f t="shared" ca="1" si="1"/>
        <v/>
      </c>
      <c r="C71" s="6" t="str">
        <f>Sk.R!$C$14</f>
        <v>R1</v>
      </c>
      <c r="D71" s="6" t="str">
        <f ca="1">Sk.R!$B$14</f>
        <v xml:space="preserve"> - </v>
      </c>
    </row>
    <row r="72" spans="1:4" ht="12" customHeight="1">
      <c r="A72" s="6" t="str">
        <f t="shared" ca="1" si="0"/>
        <v/>
      </c>
      <c r="B72" s="6" t="str">
        <f t="shared" ca="1" si="1"/>
        <v/>
      </c>
      <c r="C72" s="6" t="str">
        <f>Sk.R!$C$15</f>
        <v>R2</v>
      </c>
      <c r="D72" s="6" t="str">
        <f ca="1">Sk.R!$B$15</f>
        <v xml:space="preserve"> - </v>
      </c>
    </row>
    <row r="73" spans="1:4" ht="12" customHeight="1">
      <c r="A73" s="6" t="str">
        <f t="shared" ca="1" si="0"/>
        <v/>
      </c>
      <c r="B73" s="6" t="str">
        <f t="shared" ca="1" si="1"/>
        <v/>
      </c>
      <c r="C73" s="6" t="str">
        <f>Sk.R!$C$16</f>
        <v>R3</v>
      </c>
      <c r="D73" s="6" t="str">
        <f ca="1">Sk.R!$B$16</f>
        <v xml:space="preserve"> - </v>
      </c>
    </row>
    <row r="74" spans="1:4" ht="12" customHeight="1">
      <c r="A74" s="6" t="str">
        <f t="shared" ca="1" si="0"/>
        <v/>
      </c>
      <c r="B74" s="6" t="str">
        <f t="shared" ca="1" si="1"/>
        <v/>
      </c>
      <c r="C74" s="6" t="str">
        <f>Sk.R!$C$17</f>
        <v>R4</v>
      </c>
      <c r="D74" s="6" t="str">
        <f ca="1">Sk.R!$B$17</f>
        <v xml:space="preserve"> - </v>
      </c>
    </row>
    <row r="75" spans="1:4" ht="12" customHeight="1">
      <c r="A75" s="6" t="str">
        <f t="shared" ca="1" si="0"/>
        <v/>
      </c>
      <c r="B75" s="6" t="str">
        <f t="shared" ca="1" si="1"/>
        <v/>
      </c>
      <c r="C75" s="6" t="str">
        <f>Sk.S!$C$14</f>
        <v>S1</v>
      </c>
      <c r="D75" s="6" t="str">
        <f ca="1">Sk.S!$B$14</f>
        <v xml:space="preserve"> - </v>
      </c>
    </row>
    <row r="76" spans="1:4" ht="12" customHeight="1">
      <c r="A76" s="6" t="str">
        <f t="shared" ca="1" si="0"/>
        <v/>
      </c>
      <c r="B76" s="6" t="str">
        <f t="shared" ca="1" si="1"/>
        <v/>
      </c>
      <c r="C76" s="6" t="str">
        <f>Sk.S!$C$15</f>
        <v>S2</v>
      </c>
      <c r="D76" s="6" t="str">
        <f ca="1">Sk.S!$B$15</f>
        <v xml:space="preserve"> - </v>
      </c>
    </row>
    <row r="77" spans="1:4" ht="12" customHeight="1">
      <c r="A77" s="6" t="str">
        <f t="shared" ca="1" si="0"/>
        <v/>
      </c>
      <c r="B77" s="6" t="str">
        <f t="shared" ca="1" si="1"/>
        <v/>
      </c>
      <c r="C77" s="6" t="str">
        <f>Sk.S!$C$16</f>
        <v>S3</v>
      </c>
      <c r="D77" s="6" t="str">
        <f ca="1">Sk.S!$B$16</f>
        <v xml:space="preserve"> - </v>
      </c>
    </row>
    <row r="78" spans="1:4" ht="12" customHeight="1">
      <c r="A78" s="6" t="str">
        <f t="shared" ca="1" si="0"/>
        <v/>
      </c>
      <c r="B78" s="6" t="str">
        <f t="shared" ca="1" si="1"/>
        <v/>
      </c>
      <c r="C78" s="6" t="str">
        <f>Sk.S!$C$17</f>
        <v>S4</v>
      </c>
      <c r="D78" s="6" t="str">
        <f ca="1">Sk.S!$B$17</f>
        <v xml:space="preserve"> - </v>
      </c>
    </row>
    <row r="79" spans="1:4" ht="12" customHeight="1">
      <c r="A79" s="6" t="str">
        <f t="shared" ca="1" si="0"/>
        <v/>
      </c>
      <c r="B79" s="6" t="str">
        <f t="shared" ca="1" si="1"/>
        <v/>
      </c>
      <c r="C79" s="6" t="str">
        <f>Sk.T!$C$14</f>
        <v>T1</v>
      </c>
      <c r="D79" s="6" t="str">
        <f ca="1">Sk.T!$B$14</f>
        <v xml:space="preserve"> - </v>
      </c>
    </row>
    <row r="80" spans="1:4" ht="12" customHeight="1">
      <c r="A80" s="6" t="str">
        <f t="shared" ca="1" si="0"/>
        <v/>
      </c>
      <c r="B80" s="6" t="str">
        <f t="shared" ca="1" si="1"/>
        <v/>
      </c>
      <c r="C80" s="6" t="str">
        <f>Sk.T!$C$15</f>
        <v>T2</v>
      </c>
      <c r="D80" s="6" t="str">
        <f ca="1">Sk.T!$B$15</f>
        <v xml:space="preserve"> - </v>
      </c>
    </row>
    <row r="81" spans="1:4" ht="12" customHeight="1">
      <c r="A81" s="6" t="str">
        <f t="shared" ca="1" si="0"/>
        <v/>
      </c>
      <c r="B81" s="6" t="str">
        <f t="shared" ca="1" si="1"/>
        <v/>
      </c>
      <c r="C81" s="6" t="str">
        <f>Sk.T!$C$16</f>
        <v>T3</v>
      </c>
      <c r="D81" s="6" t="str">
        <f ca="1">Sk.T!$B$16</f>
        <v xml:space="preserve"> - </v>
      </c>
    </row>
    <row r="82" spans="1:4" ht="12" customHeight="1">
      <c r="A82" s="6" t="str">
        <f t="shared" ca="1" si="0"/>
        <v/>
      </c>
      <c r="B82" s="6" t="str">
        <f t="shared" ca="1" si="1"/>
        <v/>
      </c>
      <c r="C82" s="6" t="str">
        <f>Sk.T!$C$17</f>
        <v>T4</v>
      </c>
      <c r="D82" s="6" t="str">
        <f ca="1">Sk.T!$B$17</f>
        <v xml:space="preserve"> - </v>
      </c>
    </row>
    <row r="83" spans="1:4" ht="12" customHeight="1">
      <c r="A83" s="6" t="str">
        <f t="shared" ca="1" si="0"/>
        <v/>
      </c>
      <c r="B83" s="6" t="str">
        <f t="shared" ca="1" si="1"/>
        <v/>
      </c>
      <c r="C83" s="6" t="str">
        <f>Sk.U!$C$14</f>
        <v>U1</v>
      </c>
      <c r="D83" s="6" t="str">
        <f ca="1">Sk.U!$B$14</f>
        <v xml:space="preserve"> - </v>
      </c>
    </row>
    <row r="84" spans="1:4" ht="12" customHeight="1">
      <c r="A84" s="6" t="str">
        <f t="shared" ca="1" si="0"/>
        <v/>
      </c>
      <c r="B84" s="6" t="str">
        <f t="shared" ca="1" si="1"/>
        <v/>
      </c>
      <c r="C84" s="6" t="str">
        <f>Sk.U!$C$15</f>
        <v>U2</v>
      </c>
      <c r="D84" s="6" t="str">
        <f ca="1">Sk.U!$B$15</f>
        <v xml:space="preserve"> - </v>
      </c>
    </row>
    <row r="85" spans="1:4" ht="12" customHeight="1">
      <c r="A85" s="6" t="str">
        <f t="shared" ca="1" si="0"/>
        <v/>
      </c>
      <c r="B85" s="6" t="str">
        <f t="shared" ca="1" si="1"/>
        <v/>
      </c>
      <c r="C85" s="6" t="str">
        <f>Sk.U!$C$16</f>
        <v>U3</v>
      </c>
      <c r="D85" s="6" t="str">
        <f ca="1">Sk.U!$B$16</f>
        <v xml:space="preserve"> - </v>
      </c>
    </row>
    <row r="86" spans="1:4" ht="12" customHeight="1">
      <c r="A86" s="6" t="str">
        <f t="shared" ca="1" si="0"/>
        <v/>
      </c>
      <c r="B86" s="6" t="str">
        <f t="shared" ca="1" si="1"/>
        <v/>
      </c>
      <c r="C86" s="6" t="str">
        <f>Sk.U!$C$17</f>
        <v>U4</v>
      </c>
      <c r="D86" s="6" t="str">
        <f ca="1">Sk.U!$B$17</f>
        <v xml:space="preserve"> - </v>
      </c>
    </row>
    <row r="87" spans="1:4" ht="12" customHeight="1">
      <c r="A87" s="6" t="str">
        <f t="shared" ca="1" si="0"/>
        <v/>
      </c>
      <c r="B87" s="6" t="str">
        <f t="shared" ca="1" si="1"/>
        <v/>
      </c>
      <c r="C87" s="6" t="str">
        <f>Sk.V!$C$14</f>
        <v>V1</v>
      </c>
      <c r="D87" s="6" t="str">
        <f ca="1">Sk.V!$B$14</f>
        <v xml:space="preserve"> - </v>
      </c>
    </row>
    <row r="88" spans="1:4" ht="12" customHeight="1">
      <c r="A88" s="6" t="str">
        <f t="shared" ca="1" si="0"/>
        <v/>
      </c>
      <c r="B88" s="6" t="str">
        <f t="shared" ca="1" si="1"/>
        <v/>
      </c>
      <c r="C88" s="6" t="str">
        <f>Sk.V!$C$15</f>
        <v>V2</v>
      </c>
      <c r="D88" s="6" t="str">
        <f ca="1">Sk.V!$B$15</f>
        <v xml:space="preserve"> - </v>
      </c>
    </row>
    <row r="89" spans="1:4" ht="12" customHeight="1">
      <c r="A89" s="6" t="str">
        <f t="shared" ca="1" si="0"/>
        <v/>
      </c>
      <c r="B89" s="6" t="str">
        <f t="shared" ca="1" si="1"/>
        <v/>
      </c>
      <c r="C89" s="6" t="str">
        <f>Sk.V!$C$16</f>
        <v>V3</v>
      </c>
      <c r="D89" s="6" t="str">
        <f ca="1">Sk.V!$B$16</f>
        <v xml:space="preserve"> - </v>
      </c>
    </row>
    <row r="90" spans="1:4" ht="12" customHeight="1">
      <c r="A90" s="6" t="str">
        <f t="shared" ca="1" si="0"/>
        <v/>
      </c>
      <c r="B90" s="6" t="str">
        <f t="shared" ca="1" si="1"/>
        <v/>
      </c>
      <c r="C90" s="6" t="str">
        <f>Sk.V!$C$17</f>
        <v>V4</v>
      </c>
      <c r="D90" s="6" t="str">
        <f ca="1">Sk.V!$B$17</f>
        <v xml:space="preserve"> - </v>
      </c>
    </row>
    <row r="91" spans="1:4" ht="12" customHeight="1">
      <c r="A91" s="6" t="str">
        <f t="shared" ca="1" si="0"/>
        <v/>
      </c>
      <c r="B91" s="6" t="str">
        <f t="shared" ca="1" si="1"/>
        <v/>
      </c>
      <c r="C91" s="6" t="str">
        <f>Sk.W!$C$14</f>
        <v>W1</v>
      </c>
      <c r="D91" s="6" t="str">
        <f ca="1">Sk.W!$B$14</f>
        <v xml:space="preserve"> - </v>
      </c>
    </row>
    <row r="92" spans="1:4" ht="12" customHeight="1">
      <c r="A92" s="6" t="str">
        <f t="shared" ca="1" si="0"/>
        <v/>
      </c>
      <c r="B92" s="6" t="str">
        <f t="shared" ca="1" si="1"/>
        <v/>
      </c>
      <c r="C92" s="6" t="str">
        <f>Sk.W!$C$15</f>
        <v>W2</v>
      </c>
      <c r="D92" s="6" t="str">
        <f ca="1">Sk.W!$B$15</f>
        <v xml:space="preserve"> - </v>
      </c>
    </row>
    <row r="93" spans="1:4" ht="12" customHeight="1">
      <c r="A93" s="6" t="str">
        <f t="shared" ca="1" si="0"/>
        <v/>
      </c>
      <c r="B93" s="6" t="str">
        <f t="shared" ca="1" si="1"/>
        <v/>
      </c>
      <c r="C93" s="6" t="str">
        <f>Sk.W!$C$16</f>
        <v>W3</v>
      </c>
      <c r="D93" s="6" t="str">
        <f ca="1">Sk.W!$B$16</f>
        <v xml:space="preserve"> - </v>
      </c>
    </row>
    <row r="94" spans="1:4" ht="12" customHeight="1">
      <c r="A94" s="6" t="str">
        <f t="shared" ca="1" si="0"/>
        <v/>
      </c>
      <c r="B94" s="6" t="str">
        <f t="shared" ca="1" si="1"/>
        <v/>
      </c>
      <c r="C94" s="6" t="str">
        <f>Sk.W!$C$17</f>
        <v>W4</v>
      </c>
      <c r="D94" s="6" t="str">
        <f ca="1">Sk.W!$B$17</f>
        <v xml:space="preserve"> - </v>
      </c>
    </row>
    <row r="95" spans="1:4" ht="12" customHeight="1">
      <c r="A95" s="6" t="str">
        <f t="shared" ca="1" si="0"/>
        <v/>
      </c>
      <c r="B95" s="6" t="str">
        <f t="shared" ca="1" si="1"/>
        <v/>
      </c>
      <c r="C95" s="6" t="str">
        <f>Sk.X!$C$14</f>
        <v>X1</v>
      </c>
      <c r="D95" s="6" t="str">
        <f ca="1">Sk.X!$B$14</f>
        <v xml:space="preserve"> - </v>
      </c>
    </row>
    <row r="96" spans="1:4" ht="12" customHeight="1">
      <c r="A96" s="6" t="str">
        <f t="shared" ca="1" si="0"/>
        <v/>
      </c>
      <c r="B96" s="6" t="str">
        <f t="shared" ca="1" si="1"/>
        <v/>
      </c>
      <c r="C96" s="6" t="str">
        <f>Sk.X!$C$15</f>
        <v>X2</v>
      </c>
      <c r="D96" s="6" t="str">
        <f ca="1">Sk.X!$B$15</f>
        <v xml:space="preserve"> - </v>
      </c>
    </row>
    <row r="97" spans="1:4" ht="12" customHeight="1">
      <c r="A97" s="6" t="str">
        <f t="shared" ca="1" si="0"/>
        <v/>
      </c>
      <c r="B97" s="6" t="str">
        <f t="shared" ca="1" si="1"/>
        <v/>
      </c>
      <c r="C97" s="6" t="str">
        <f>Sk.X!$C$16</f>
        <v>X3</v>
      </c>
      <c r="D97" s="6" t="str">
        <f ca="1">Sk.X!$B$16</f>
        <v xml:space="preserve"> - </v>
      </c>
    </row>
    <row r="98" spans="1:4" ht="12" customHeight="1">
      <c r="A98" s="6" t="str">
        <f t="shared" ca="1" si="0"/>
        <v/>
      </c>
      <c r="B98" s="6" t="str">
        <f t="shared" ca="1" si="1"/>
        <v/>
      </c>
      <c r="C98" s="6" t="str">
        <f>Sk.X!$C$17</f>
        <v>X4</v>
      </c>
      <c r="D98" s="6" t="str">
        <f ca="1">Sk.X!$B$17</f>
        <v xml:space="preserve"> - </v>
      </c>
    </row>
    <row r="99" spans="1:4" ht="12" customHeight="1">
      <c r="A99" s="6" t="str">
        <f t="shared" ca="1" si="0"/>
        <v/>
      </c>
      <c r="B99" s="6" t="str">
        <f t="shared" ca="1" si="1"/>
        <v/>
      </c>
      <c r="C99" s="6" t="str">
        <f>Sk.Y!$C$14</f>
        <v>Y1</v>
      </c>
      <c r="D99" s="6" t="str">
        <f ca="1">Sk.Y!$B$14</f>
        <v xml:space="preserve"> - </v>
      </c>
    </row>
    <row r="100" spans="1:4" ht="12" customHeight="1">
      <c r="A100" s="6" t="str">
        <f t="shared" ca="1" si="0"/>
        <v/>
      </c>
      <c r="B100" s="6" t="str">
        <f t="shared" ca="1" si="1"/>
        <v/>
      </c>
      <c r="C100" s="6" t="str">
        <f>Sk.Y!$C$15</f>
        <v>Y2</v>
      </c>
      <c r="D100" s="6" t="str">
        <f ca="1">Sk.Y!$B$15</f>
        <v xml:space="preserve"> - </v>
      </c>
    </row>
    <row r="101" spans="1:4" ht="12" customHeight="1">
      <c r="A101" s="6" t="str">
        <f t="shared" ca="1" si="0"/>
        <v/>
      </c>
      <c r="B101" s="6" t="str">
        <f t="shared" ca="1" si="1"/>
        <v/>
      </c>
      <c r="C101" s="6" t="str">
        <f>Sk.Y!$C$16</f>
        <v>Y3</v>
      </c>
      <c r="D101" s="6" t="str">
        <f ca="1">Sk.Y!$B$16</f>
        <v xml:space="preserve"> - </v>
      </c>
    </row>
    <row r="102" spans="1:4" ht="12" customHeight="1">
      <c r="A102" s="6" t="str">
        <f t="shared" ca="1" si="0"/>
        <v/>
      </c>
      <c r="B102" s="6" t="str">
        <f t="shared" ca="1" si="1"/>
        <v/>
      </c>
      <c r="C102" s="6" t="str">
        <f>Sk.Y!$C$17</f>
        <v>Y4</v>
      </c>
      <c r="D102" s="6" t="str">
        <f ca="1">Sk.Y!$B$17</f>
        <v xml:space="preserve"> - </v>
      </c>
    </row>
    <row r="103" spans="1:4" ht="12" customHeight="1">
      <c r="A103" s="6" t="str">
        <f t="shared" ca="1" si="0"/>
        <v/>
      </c>
      <c r="B103" s="6" t="str">
        <f t="shared" ca="1" si="1"/>
        <v/>
      </c>
      <c r="C103" s="6" t="str">
        <f>Sk.Z!$C$14</f>
        <v>Z1</v>
      </c>
      <c r="D103" s="6" t="str">
        <f ca="1">Sk.Z!$B$14</f>
        <v xml:space="preserve"> - </v>
      </c>
    </row>
    <row r="104" spans="1:4" ht="12" customHeight="1">
      <c r="A104" s="6" t="str">
        <f t="shared" ca="1" si="0"/>
        <v/>
      </c>
      <c r="B104" s="6" t="str">
        <f t="shared" ca="1" si="1"/>
        <v/>
      </c>
      <c r="C104" s="6" t="str">
        <f>Sk.Z!$C$15</f>
        <v>Z2</v>
      </c>
      <c r="D104" s="6" t="str">
        <f ca="1">Sk.Z!$B$15</f>
        <v xml:space="preserve"> - </v>
      </c>
    </row>
    <row r="105" spans="1:4" ht="12" customHeight="1">
      <c r="A105" s="6" t="str">
        <f t="shared" ca="1" si="0"/>
        <v/>
      </c>
      <c r="B105" s="6" t="str">
        <f t="shared" ca="1" si="1"/>
        <v/>
      </c>
      <c r="C105" s="6" t="str">
        <f>Sk.Z!$C$16</f>
        <v>Z3</v>
      </c>
      <c r="D105" s="6" t="str">
        <f ca="1">Sk.Z!$B$16</f>
        <v xml:space="preserve"> - </v>
      </c>
    </row>
    <row r="106" spans="1:4" ht="12" customHeight="1">
      <c r="A106" s="6" t="str">
        <f t="shared" ca="1" si="0"/>
        <v/>
      </c>
      <c r="B106" s="6" t="str">
        <f t="shared" ca="1" si="1"/>
        <v/>
      </c>
      <c r="C106" s="6" t="str">
        <f>Sk.Z!$C$17</f>
        <v>Z4</v>
      </c>
      <c r="D106" s="6" t="str">
        <f ca="1">Sk.Z!$B$17</f>
        <v xml:space="preserve"> - </v>
      </c>
    </row>
    <row r="107" spans="1:4" ht="12" customHeight="1">
      <c r="A107" s="6" t="str">
        <f t="shared" ca="1" si="0"/>
        <v/>
      </c>
      <c r="B107" s="6" t="str">
        <f t="shared" ca="1" si="1"/>
        <v/>
      </c>
      <c r="C107" s="6" t="str">
        <f>Sk.AA!$C$14</f>
        <v>AA1</v>
      </c>
      <c r="D107" s="6" t="str">
        <f ca="1">Sk.AA!$B$14</f>
        <v xml:space="preserve"> - </v>
      </c>
    </row>
    <row r="108" spans="1:4" ht="12" customHeight="1">
      <c r="A108" s="6" t="str">
        <f t="shared" ca="1" si="0"/>
        <v/>
      </c>
      <c r="B108" s="6" t="str">
        <f t="shared" ca="1" si="1"/>
        <v/>
      </c>
      <c r="C108" s="6" t="str">
        <f>Sk.AA!$C$15</f>
        <v>AA2</v>
      </c>
      <c r="D108" s="6" t="str">
        <f ca="1">Sk.AA!$B$15</f>
        <v xml:space="preserve"> - </v>
      </c>
    </row>
    <row r="109" spans="1:4" ht="12" customHeight="1">
      <c r="A109" s="6" t="str">
        <f t="shared" ca="1" si="0"/>
        <v/>
      </c>
      <c r="B109" s="6" t="str">
        <f t="shared" ca="1" si="1"/>
        <v/>
      </c>
      <c r="C109" s="6" t="str">
        <f>Sk.AA!$C$16</f>
        <v>AA3</v>
      </c>
      <c r="D109" s="6" t="str">
        <f ca="1">Sk.AA!$B$16</f>
        <v xml:space="preserve"> - </v>
      </c>
    </row>
    <row r="110" spans="1:4" ht="12" customHeight="1">
      <c r="A110" s="6" t="str">
        <f t="shared" ca="1" si="0"/>
        <v/>
      </c>
      <c r="B110" s="6" t="str">
        <f t="shared" ca="1" si="1"/>
        <v/>
      </c>
      <c r="C110" s="6" t="str">
        <f>Sk.AA!$C$17</f>
        <v>AA4</v>
      </c>
      <c r="D110" s="6" t="str">
        <f ca="1">Sk.AA!$B$17</f>
        <v xml:space="preserve"> - </v>
      </c>
    </row>
    <row r="111" spans="1:4" ht="12" customHeight="1">
      <c r="A111" s="6" t="str">
        <f t="shared" ca="1" si="0"/>
        <v/>
      </c>
      <c r="B111" s="6" t="str">
        <f t="shared" ca="1" si="1"/>
        <v/>
      </c>
      <c r="C111" s="6" t="str">
        <f>Sk.AB!$C$14</f>
        <v>AB1</v>
      </c>
      <c r="D111" s="6" t="str">
        <f ca="1">Sk.AB!$B$14</f>
        <v xml:space="preserve"> - </v>
      </c>
    </row>
    <row r="112" spans="1:4" ht="12" customHeight="1">
      <c r="A112" s="6" t="str">
        <f t="shared" ca="1" si="0"/>
        <v/>
      </c>
      <c r="B112" s="6" t="str">
        <f t="shared" ca="1" si="1"/>
        <v/>
      </c>
      <c r="C112" s="6" t="str">
        <f>Sk.AB!$C$15</f>
        <v>AB2</v>
      </c>
      <c r="D112" s="6" t="str">
        <f ca="1">Sk.AB!$B$15</f>
        <v xml:space="preserve"> - </v>
      </c>
    </row>
    <row r="113" spans="1:4" ht="12" customHeight="1">
      <c r="A113" s="6" t="str">
        <f t="shared" ca="1" si="0"/>
        <v/>
      </c>
      <c r="B113" s="6" t="str">
        <f t="shared" ca="1" si="1"/>
        <v/>
      </c>
      <c r="C113" s="6" t="str">
        <f>Sk.AB!$C$16</f>
        <v>AB3</v>
      </c>
      <c r="D113" s="6" t="str">
        <f ca="1">Sk.AB!$B$16</f>
        <v xml:space="preserve"> - </v>
      </c>
    </row>
    <row r="114" spans="1:4" ht="12" customHeight="1">
      <c r="A114" s="6" t="str">
        <f t="shared" ca="1" si="0"/>
        <v/>
      </c>
      <c r="B114" s="6" t="str">
        <f t="shared" ca="1" si="1"/>
        <v/>
      </c>
      <c r="C114" s="6" t="str">
        <f>Sk.AB!$C$17</f>
        <v>AB4</v>
      </c>
      <c r="D114" s="6" t="str">
        <f ca="1">Sk.AB!$B$17</f>
        <v xml:space="preserve"> - </v>
      </c>
    </row>
    <row r="115" spans="1:4" ht="12" customHeight="1">
      <c r="A115" s="6" t="str">
        <f t="shared" ca="1" si="0"/>
        <v/>
      </c>
      <c r="B115" s="6" t="str">
        <f t="shared" ca="1" si="1"/>
        <v/>
      </c>
      <c r="C115" s="6" t="str">
        <f>Sk.AC!$C$14</f>
        <v>AC1</v>
      </c>
      <c r="D115" s="6" t="str">
        <f ca="1">Sk.AC!$B$14</f>
        <v xml:space="preserve"> - </v>
      </c>
    </row>
    <row r="116" spans="1:4" ht="12" customHeight="1">
      <c r="A116" s="6" t="str">
        <f t="shared" ca="1" si="0"/>
        <v/>
      </c>
      <c r="B116" s="6" t="str">
        <f t="shared" ca="1" si="1"/>
        <v/>
      </c>
      <c r="C116" s="6" t="str">
        <f>Sk.AC!$C$15</f>
        <v>AC2</v>
      </c>
      <c r="D116" s="6" t="str">
        <f ca="1">Sk.AC!$B$15</f>
        <v xml:space="preserve"> - </v>
      </c>
    </row>
    <row r="117" spans="1:4" ht="12" customHeight="1">
      <c r="A117" s="6" t="str">
        <f t="shared" ca="1" si="0"/>
        <v/>
      </c>
      <c r="B117" s="6" t="str">
        <f t="shared" ca="1" si="1"/>
        <v/>
      </c>
      <c r="C117" s="6" t="str">
        <f>Sk.AC!$C$16</f>
        <v>AC3</v>
      </c>
      <c r="D117" s="6" t="str">
        <f ca="1">Sk.AC!$B$16</f>
        <v xml:space="preserve"> - </v>
      </c>
    </row>
    <row r="118" spans="1:4" ht="12" customHeight="1">
      <c r="A118" s="6" t="str">
        <f t="shared" ca="1" si="0"/>
        <v/>
      </c>
      <c r="B118" s="6" t="str">
        <f t="shared" ca="1" si="1"/>
        <v/>
      </c>
      <c r="C118" s="6" t="str">
        <f>Sk.AC!$C$17</f>
        <v>AC4</v>
      </c>
      <c r="D118" s="6" t="str">
        <f ca="1">Sk.AC!$B$17</f>
        <v xml:space="preserve"> - </v>
      </c>
    </row>
    <row r="119" spans="1:4" ht="12" customHeight="1">
      <c r="A119" s="6" t="str">
        <f t="shared" ca="1" si="0"/>
        <v/>
      </c>
      <c r="B119" s="6" t="str">
        <f t="shared" ca="1" si="1"/>
        <v/>
      </c>
      <c r="C119" s="6" t="str">
        <f>Sk.AD!$C$14</f>
        <v>AD1</v>
      </c>
      <c r="D119" s="6" t="str">
        <f ca="1">Sk.AD!$B$14</f>
        <v xml:space="preserve"> - </v>
      </c>
    </row>
    <row r="120" spans="1:4" ht="12" customHeight="1">
      <c r="A120" s="6" t="str">
        <f t="shared" ca="1" si="0"/>
        <v/>
      </c>
      <c r="B120" s="6" t="str">
        <f t="shared" ca="1" si="1"/>
        <v/>
      </c>
      <c r="C120" s="6" t="str">
        <f>Sk.AD!$C$15</f>
        <v>AD2</v>
      </c>
      <c r="D120" s="6" t="str">
        <f ca="1">Sk.AD!$B$15</f>
        <v xml:space="preserve"> - </v>
      </c>
    </row>
    <row r="121" spans="1:4" ht="12" customHeight="1">
      <c r="A121" s="6" t="str">
        <f t="shared" ca="1" si="0"/>
        <v/>
      </c>
      <c r="B121" s="6" t="str">
        <f t="shared" ca="1" si="1"/>
        <v/>
      </c>
      <c r="C121" s="6" t="str">
        <f>Sk.AD!$C$16</f>
        <v>AD3</v>
      </c>
      <c r="D121" s="6" t="str">
        <f ca="1">Sk.AD!$B$16</f>
        <v xml:space="preserve"> - </v>
      </c>
    </row>
    <row r="122" spans="1:4" ht="12" customHeight="1">
      <c r="A122" s="6" t="str">
        <f t="shared" ca="1" si="0"/>
        <v/>
      </c>
      <c r="B122" s="6" t="str">
        <f t="shared" ca="1" si="1"/>
        <v/>
      </c>
      <c r="C122" s="6" t="str">
        <f>Sk.AD!$C$17</f>
        <v>AD4</v>
      </c>
      <c r="D122" s="6" t="str">
        <f ca="1">Sk.AD!$B$17</f>
        <v xml:space="preserve"> - </v>
      </c>
    </row>
    <row r="123" spans="1:4" ht="12" customHeight="1">
      <c r="A123" s="6" t="str">
        <f t="shared" ca="1" si="0"/>
        <v/>
      </c>
      <c r="B123" s="6" t="str">
        <f t="shared" ca="1" si="1"/>
        <v/>
      </c>
      <c r="C123" s="6" t="str">
        <f>Sk.AE!$C$14</f>
        <v>AE1</v>
      </c>
      <c r="D123" s="6" t="str">
        <f ca="1">Sk.AE!$B$14</f>
        <v xml:space="preserve"> - </v>
      </c>
    </row>
    <row r="124" spans="1:4" ht="12" customHeight="1">
      <c r="A124" s="6" t="str">
        <f t="shared" ca="1" si="0"/>
        <v/>
      </c>
      <c r="B124" s="6" t="str">
        <f t="shared" ca="1" si="1"/>
        <v/>
      </c>
      <c r="C124" s="6" t="str">
        <f>Sk.AE!$C$15</f>
        <v>AE2</v>
      </c>
      <c r="D124" s="6" t="str">
        <f ca="1">Sk.AE!$B$15</f>
        <v xml:space="preserve"> - </v>
      </c>
    </row>
    <row r="125" spans="1:4" ht="12" customHeight="1">
      <c r="A125" s="6" t="str">
        <f t="shared" ca="1" si="0"/>
        <v/>
      </c>
      <c r="B125" s="6" t="str">
        <f t="shared" ca="1" si="1"/>
        <v/>
      </c>
      <c r="C125" s="6" t="str">
        <f>Sk.AE!$C$16</f>
        <v>AE3</v>
      </c>
      <c r="D125" s="6" t="str">
        <f ca="1">Sk.AE!$B$16</f>
        <v xml:space="preserve"> - </v>
      </c>
    </row>
    <row r="126" spans="1:4" ht="12" customHeight="1">
      <c r="A126" s="6" t="str">
        <f t="shared" ca="1" si="0"/>
        <v/>
      </c>
      <c r="B126" s="6" t="str">
        <f t="shared" ca="1" si="1"/>
        <v/>
      </c>
      <c r="C126" s="6" t="str">
        <f>Sk.AE!$C$17</f>
        <v>AE4</v>
      </c>
      <c r="D126" s="6" t="str">
        <f ca="1">Sk.AE!$B$17</f>
        <v xml:space="preserve"> - </v>
      </c>
    </row>
    <row r="127" spans="1:4" ht="12" customHeight="1">
      <c r="A127" s="6" t="str">
        <f t="shared" ca="1" si="0"/>
        <v/>
      </c>
      <c r="B127" s="6" t="str">
        <f t="shared" ca="1" si="1"/>
        <v/>
      </c>
      <c r="C127" s="6" t="str">
        <f>Sk.AF!$C$14</f>
        <v>AF1</v>
      </c>
      <c r="D127" s="6" t="str">
        <f ca="1">Sk.AF!$B$14</f>
        <v xml:space="preserve"> - </v>
      </c>
    </row>
    <row r="128" spans="1:4" ht="12" customHeight="1">
      <c r="A128" s="6" t="str">
        <f t="shared" ca="1" si="0"/>
        <v/>
      </c>
      <c r="B128" s="6" t="str">
        <f t="shared" ca="1" si="1"/>
        <v/>
      </c>
      <c r="C128" s="6" t="str">
        <f>Sk.AF!$C$15</f>
        <v>AF2</v>
      </c>
      <c r="D128" s="6" t="str">
        <f ca="1">Sk.AF!$B$15</f>
        <v xml:space="preserve"> - </v>
      </c>
    </row>
    <row r="129" spans="1:4" ht="12" customHeight="1">
      <c r="A129" s="6" t="str">
        <f t="shared" ca="1" si="0"/>
        <v/>
      </c>
      <c r="B129" s="6" t="str">
        <f t="shared" ca="1" si="1"/>
        <v/>
      </c>
      <c r="C129" s="6" t="str">
        <f>Sk.AF!$C$16</f>
        <v>AF3</v>
      </c>
      <c r="D129" s="6" t="str">
        <f ca="1">Sk.AF!$B$16</f>
        <v xml:space="preserve"> - </v>
      </c>
    </row>
    <row r="130" spans="1:4" ht="12" customHeight="1">
      <c r="A130" s="6" t="str">
        <f t="shared" ca="1" si="0"/>
        <v/>
      </c>
      <c r="B130" s="6" t="str">
        <f t="shared" ca="1" si="1"/>
        <v/>
      </c>
      <c r="C130" s="6" t="str">
        <f>Sk.AF!$C$17</f>
        <v>AF4</v>
      </c>
      <c r="D130" s="6" t="str">
        <f ca="1">Sk.AF!$B$17</f>
        <v xml:space="preserve"> - </v>
      </c>
    </row>
    <row r="131" spans="1:4" ht="12" customHeight="1"/>
    <row r="132" spans="1:4" ht="12" customHeight="1"/>
    <row r="133" spans="1:4" ht="12" customHeight="1"/>
    <row r="134" spans="1:4" ht="12" customHeight="1"/>
    <row r="135" spans="1:4" ht="12" customHeight="1"/>
    <row r="136" spans="1:4" ht="12" customHeight="1"/>
    <row r="137" spans="1:4" ht="12" customHeight="1"/>
    <row r="138" spans="1:4" ht="12" customHeight="1"/>
    <row r="139" spans="1:4" ht="12" customHeight="1"/>
    <row r="140" spans="1:4" ht="12" customHeight="1"/>
    <row r="141" spans="1:4" ht="12" customHeight="1"/>
    <row r="142" spans="1:4" ht="12" customHeight="1"/>
    <row r="143" spans="1:4" ht="12" customHeight="1"/>
    <row r="144" spans="1: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A3:A130 C83">
    <cfRule type="expression" dxfId="48" priority="1">
      <formula>"c83=1"</formula>
    </cfRule>
  </conditionalFormatting>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S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375" defaultRowHeight="15" customHeight="1"/>
  <cols>
    <col min="1" max="1" width="8" customWidth="1"/>
    <col min="2" max="2" width="38.25" customWidth="1"/>
    <col min="3" max="3" width="8" customWidth="1"/>
    <col min="4" max="4" width="38.125" customWidth="1"/>
    <col min="5" max="5" width="8" customWidth="1"/>
    <col min="6" max="6" width="11" customWidth="1"/>
    <col min="7" max="7" width="8" customWidth="1"/>
    <col min="8" max="8" width="2.75" customWidth="1"/>
    <col min="9" max="9" width="24.125" customWidth="1"/>
    <col min="10" max="11" width="2.75" customWidth="1"/>
    <col min="12" max="12" width="28" customWidth="1"/>
    <col min="13" max="13" width="5.25" customWidth="1"/>
    <col min="14" max="14" width="28" customWidth="1"/>
    <col min="15" max="15" width="5.25" customWidth="1"/>
    <col min="16" max="16" width="28" customWidth="1"/>
    <col min="17" max="17" width="5.25" customWidth="1"/>
    <col min="18" max="18" width="2.75" customWidth="1"/>
    <col min="19" max="19" width="28" customWidth="1"/>
    <col min="20" max="20" width="5.25" customWidth="1"/>
    <col min="21" max="21" width="3.75" customWidth="1"/>
    <col min="22" max="22" width="2.75" customWidth="1"/>
    <col min="23" max="23" width="28" customWidth="1"/>
    <col min="24" max="24" width="5.25" customWidth="1"/>
    <col min="25" max="25" width="28" customWidth="1"/>
    <col min="26" max="26" width="5.25" customWidth="1"/>
    <col min="27" max="27" width="28" customWidth="1"/>
    <col min="28" max="28" width="5.25" customWidth="1"/>
    <col min="29" max="29" width="28" customWidth="1"/>
    <col min="30" max="30" width="2.75" customWidth="1"/>
    <col min="31" max="31" width="28" customWidth="1"/>
    <col min="32" max="32" width="5.25" customWidth="1"/>
    <col min="33" max="33" width="3.75" customWidth="1"/>
    <col min="34" max="34" width="2.75" customWidth="1"/>
    <col min="35" max="35" width="28" customWidth="1"/>
    <col min="36" max="36" width="5.25" customWidth="1"/>
    <col min="37" max="37" width="28" customWidth="1"/>
    <col min="38" max="38" width="5.25" customWidth="1"/>
    <col min="39" max="39" width="28" customWidth="1"/>
    <col min="40" max="40" width="5.25" customWidth="1"/>
    <col min="41" max="41" width="28" customWidth="1"/>
    <col min="42" max="42" width="5.25" customWidth="1"/>
    <col min="43" max="43" width="28" customWidth="1"/>
    <col min="44" max="44" width="5.25" customWidth="1"/>
    <col min="45" max="45" width="2.75" customWidth="1"/>
    <col min="46" max="46" width="28" customWidth="1"/>
    <col min="47" max="47" width="5.25" customWidth="1"/>
    <col min="48" max="48" width="28" customWidth="1"/>
    <col min="49" max="49" width="5.25" customWidth="1"/>
    <col min="50" max="50" width="28" customWidth="1"/>
    <col min="51" max="51" width="5.25" customWidth="1"/>
    <col min="52" max="52" width="28" customWidth="1"/>
    <col min="53" max="53" width="5.25" customWidth="1"/>
    <col min="54" max="54" width="28" customWidth="1"/>
    <col min="55" max="55" width="5.25" customWidth="1"/>
    <col min="56" max="56" width="28" customWidth="1"/>
    <col min="57" max="57" width="5.25" customWidth="1"/>
    <col min="58" max="58" width="2.75" customWidth="1"/>
    <col min="59" max="59" width="28" customWidth="1"/>
    <col min="60" max="60" width="5.25" customWidth="1"/>
    <col min="61" max="61" width="28" customWidth="1"/>
    <col min="62" max="62" width="5.25" customWidth="1"/>
    <col min="63" max="63" width="28" customWidth="1"/>
    <col min="64" max="64" width="5.25" customWidth="1"/>
    <col min="65" max="65" width="28" customWidth="1"/>
    <col min="66" max="66" width="5.25" customWidth="1"/>
    <col min="67" max="67" width="28" customWidth="1"/>
    <col min="68" max="68" width="5.25" customWidth="1"/>
    <col min="69" max="70" width="28" customWidth="1"/>
    <col min="71" max="71" width="5.25" customWidth="1"/>
  </cols>
  <sheetData>
    <row r="1" spans="1:71" ht="21.75" customHeight="1">
      <c r="B1" s="275" t="s">
        <v>1863</v>
      </c>
      <c r="C1" s="6"/>
      <c r="E1" s="160" t="s">
        <v>1864</v>
      </c>
      <c r="F1" s="160" t="s">
        <v>1865</v>
      </c>
      <c r="G1" s="6" t="s">
        <v>1861</v>
      </c>
      <c r="I1" s="276">
        <v>9</v>
      </c>
      <c r="J1" s="276">
        <v>10</v>
      </c>
      <c r="K1" s="276">
        <v>11</v>
      </c>
      <c r="L1" s="276">
        <v>12</v>
      </c>
      <c r="M1" s="276">
        <v>13</v>
      </c>
      <c r="N1" s="276">
        <v>14</v>
      </c>
      <c r="O1" s="276">
        <v>15</v>
      </c>
      <c r="P1" s="276">
        <v>16</v>
      </c>
      <c r="Q1" s="276">
        <v>17</v>
      </c>
      <c r="R1" s="276">
        <v>18</v>
      </c>
      <c r="S1" s="276">
        <v>19</v>
      </c>
      <c r="T1" s="276">
        <v>20</v>
      </c>
      <c r="U1" s="276">
        <v>21</v>
      </c>
      <c r="V1" s="276">
        <v>22</v>
      </c>
      <c r="W1" s="276">
        <v>23</v>
      </c>
      <c r="X1" s="276">
        <v>24</v>
      </c>
      <c r="Y1" s="276">
        <v>25</v>
      </c>
      <c r="Z1" s="276">
        <v>26</v>
      </c>
      <c r="AA1" s="276">
        <v>27</v>
      </c>
      <c r="AB1" s="276">
        <v>28</v>
      </c>
      <c r="AC1" s="276">
        <v>29</v>
      </c>
      <c r="AD1" s="276">
        <v>30</v>
      </c>
      <c r="AE1" s="276">
        <v>31</v>
      </c>
      <c r="AF1" s="276">
        <v>32</v>
      </c>
      <c r="AG1" s="276">
        <v>33</v>
      </c>
      <c r="AH1" s="276">
        <v>34</v>
      </c>
      <c r="AI1" s="276">
        <v>35</v>
      </c>
      <c r="AJ1" s="276">
        <v>36</v>
      </c>
      <c r="AK1" s="276">
        <v>37</v>
      </c>
      <c r="AL1" s="276">
        <v>38</v>
      </c>
      <c r="AM1" s="276">
        <v>39</v>
      </c>
      <c r="AN1" s="276">
        <v>40</v>
      </c>
      <c r="AO1" s="276">
        <v>41</v>
      </c>
      <c r="AP1" s="276">
        <v>42</v>
      </c>
      <c r="AQ1" s="276">
        <v>43</v>
      </c>
      <c r="AR1" s="276">
        <v>44</v>
      </c>
      <c r="AS1" s="276">
        <v>45</v>
      </c>
      <c r="AT1" s="276">
        <v>46</v>
      </c>
      <c r="AU1" s="276">
        <v>47</v>
      </c>
      <c r="AV1" s="276">
        <v>48</v>
      </c>
      <c r="AW1" s="276">
        <v>49</v>
      </c>
      <c r="AX1" s="276">
        <v>50</v>
      </c>
      <c r="AY1" s="276">
        <v>51</v>
      </c>
      <c r="AZ1" s="276">
        <v>52</v>
      </c>
      <c r="BA1" s="276">
        <v>53</v>
      </c>
      <c r="BB1" s="276">
        <v>54</v>
      </c>
      <c r="BC1" s="276">
        <v>55</v>
      </c>
      <c r="BD1" s="276">
        <v>56</v>
      </c>
      <c r="BE1" s="276">
        <v>57</v>
      </c>
      <c r="BF1" s="276">
        <v>58</v>
      </c>
      <c r="BG1" s="276">
        <v>59</v>
      </c>
      <c r="BH1" s="276">
        <v>60</v>
      </c>
      <c r="BI1" s="276">
        <v>61</v>
      </c>
      <c r="BJ1" s="276">
        <v>62</v>
      </c>
      <c r="BK1" s="276">
        <v>63</v>
      </c>
      <c r="BL1" s="276">
        <v>64</v>
      </c>
      <c r="BM1" s="276">
        <v>65</v>
      </c>
      <c r="BN1" s="276">
        <v>66</v>
      </c>
      <c r="BO1" s="276">
        <v>67</v>
      </c>
      <c r="BP1" s="276">
        <v>68</v>
      </c>
      <c r="BQ1" s="276">
        <v>69</v>
      </c>
      <c r="BR1" s="276">
        <v>71</v>
      </c>
      <c r="BS1" s="276"/>
    </row>
    <row r="2" spans="1:71" ht="42" customHeight="1">
      <c r="A2" s="161" t="s">
        <v>1866</v>
      </c>
      <c r="B2" s="161" t="s">
        <v>1867</v>
      </c>
      <c r="C2" s="161" t="s">
        <v>1868</v>
      </c>
      <c r="D2" s="161" t="s">
        <v>1869</v>
      </c>
      <c r="E2" s="277">
        <f>Start.listina!O7</f>
        <v>8</v>
      </c>
      <c r="F2" s="277">
        <f>IF(MOD($E$2,2)&gt;0,0,1)</f>
        <v>1</v>
      </c>
      <c r="G2" s="277">
        <f>Start.listina!$S$7</f>
        <v>16</v>
      </c>
      <c r="H2" s="278">
        <f>IF(Start.listina!$U$7&gt;1,2,0)</f>
        <v>2</v>
      </c>
      <c r="I2" s="161" t="s">
        <v>1870</v>
      </c>
      <c r="K2" s="279" t="s">
        <v>1871</v>
      </c>
      <c r="L2" s="278">
        <v>2</v>
      </c>
      <c r="M2" s="278"/>
      <c r="N2" s="278">
        <v>1</v>
      </c>
      <c r="O2" s="278"/>
      <c r="P2" s="278" t="s">
        <v>1872</v>
      </c>
      <c r="Q2" s="278"/>
      <c r="R2" s="279" t="s">
        <v>1873</v>
      </c>
      <c r="S2" s="278"/>
      <c r="T2" s="278"/>
      <c r="V2" s="279" t="s">
        <v>1874</v>
      </c>
      <c r="W2" s="278">
        <v>4</v>
      </c>
      <c r="X2" s="278"/>
      <c r="Y2" s="278">
        <v>2</v>
      </c>
      <c r="Z2" s="278"/>
      <c r="AA2" s="278">
        <v>1</v>
      </c>
      <c r="AB2" s="278"/>
      <c r="AC2" s="278" t="s">
        <v>1872</v>
      </c>
      <c r="AD2" s="280" t="s">
        <v>1875</v>
      </c>
      <c r="AE2" s="278"/>
      <c r="AF2" s="278"/>
      <c r="AH2" s="279" t="s">
        <v>1876</v>
      </c>
      <c r="AI2" s="278">
        <v>8</v>
      </c>
      <c r="AJ2" s="278"/>
      <c r="AK2" s="278">
        <v>4</v>
      </c>
      <c r="AL2" s="278"/>
      <c r="AM2" s="278">
        <v>2</v>
      </c>
      <c r="AN2" s="278"/>
      <c r="AO2" s="278">
        <v>1</v>
      </c>
      <c r="AP2" s="278"/>
      <c r="AQ2" s="278" t="s">
        <v>1872</v>
      </c>
      <c r="AR2" s="278"/>
      <c r="AS2" s="279" t="s">
        <v>1877</v>
      </c>
      <c r="AT2" s="278">
        <v>16</v>
      </c>
      <c r="AU2" s="278"/>
      <c r="AV2" s="278">
        <v>8</v>
      </c>
      <c r="AW2" s="278"/>
      <c r="AX2" s="278">
        <v>4</v>
      </c>
      <c r="AY2" s="278"/>
      <c r="AZ2" s="278">
        <v>2</v>
      </c>
      <c r="BA2" s="278"/>
      <c r="BB2" s="278">
        <v>1</v>
      </c>
      <c r="BC2" s="278"/>
      <c r="BD2" s="278" t="s">
        <v>1872</v>
      </c>
      <c r="BE2" s="278"/>
      <c r="BF2" s="279" t="s">
        <v>1878</v>
      </c>
      <c r="BG2" s="278">
        <v>32</v>
      </c>
      <c r="BH2" s="278"/>
      <c r="BI2" s="278">
        <v>16</v>
      </c>
      <c r="BJ2" s="278"/>
      <c r="BK2" s="278">
        <v>8</v>
      </c>
      <c r="BL2" s="278"/>
      <c r="BM2" s="278">
        <v>4</v>
      </c>
      <c r="BN2" s="278"/>
      <c r="BO2" s="278">
        <v>2</v>
      </c>
      <c r="BP2" s="278"/>
      <c r="BQ2" s="278">
        <v>1</v>
      </c>
      <c r="BR2" s="278" t="s">
        <v>1872</v>
      </c>
      <c r="BS2" s="278"/>
    </row>
    <row r="3" spans="1:71" ht="12" customHeight="1">
      <c r="A3" s="160">
        <f t="shared" ref="A3:A66" si="0">E3+F3</f>
        <v>1</v>
      </c>
      <c r="B3" s="281" t="str">
        <f t="shared" ref="B3:B66" ca="1" si="1">IF(E3&gt;$G$2," - ",D3)</f>
        <v>Carreau Brno - Michálek Ivo</v>
      </c>
      <c r="C3" s="282" t="str">
        <f>IF(E3&gt;$G$2,"",Nasazení!B3)</f>
        <v>A1</v>
      </c>
      <c r="D3" s="281" t="str">
        <f ca="1">IF(TYPE(VLOOKUP(C3,Výsledky_skupin!$A$3:$B$130,2,0))&gt;4," -",VLOOKUP(C3,Výsledky_skupin!$A$3:$B$130,2,0))</f>
        <v>Carreau Brno - Michálek Ivo</v>
      </c>
      <c r="E3" s="160">
        <v>1</v>
      </c>
      <c r="F3" s="6">
        <f t="shared" ref="F3:F66" si="2">IF(OR($E$2=0,$H$2=0),0,IF(E3&gt;$G$2/$H$2,IF($F$2&gt;0,IF(MOD(E3,2)=0,-1,1),0),0))</f>
        <v>0</v>
      </c>
      <c r="I3" s="283" t="str">
        <f t="shared" ref="I3:I4" ca="1" si="3">IF(OR(TRIM(N3)="-",TRIM(N3)="")," ",N3)</f>
        <v>Carreau Brno - Michálek Ivo</v>
      </c>
      <c r="L3" s="283" t="str">
        <f ca="1">VLOOKUP($A3,'KO4'!$G$6:$H$7,2,0)</f>
        <v>Carreau Brno - Michálek Ivo</v>
      </c>
      <c r="M3" s="276"/>
      <c r="N3" s="283" t="str">
        <f ca="1">VLOOKUP($A3,'KO4'!$K$6:$L$7,2,0)</f>
        <v>Carreau Brno - Michálek Ivo</v>
      </c>
      <c r="O3" s="276"/>
      <c r="P3" s="283"/>
      <c r="Q3" s="276"/>
      <c r="S3" s="283"/>
      <c r="T3" s="276"/>
      <c r="W3" s="283" t="str">
        <f ca="1">VLOOKUP($A3,'KO8'!$G$6:$H$15,2,0)</f>
        <v>Carreau Brno - Michálek Ivo</v>
      </c>
      <c r="X3" s="276">
        <f>VLOOKUP($A3,'KO8'!$G$6:$I$15,3,0)</f>
        <v>1</v>
      </c>
      <c r="Y3" s="283" t="str">
        <f ca="1">VLOOKUP($A3,'KO8'!$K$10:$L$11,2,0)</f>
        <v>Carreau Brno - Michálek Ivo</v>
      </c>
      <c r="Z3" s="276">
        <f>VLOOKUP($A3,'KO8'!$K$10:$M$11,3,0)</f>
        <v>13</v>
      </c>
      <c r="AA3" s="283" t="str">
        <f ca="1">VLOOKUP($A3,'KO8'!$O$10:$P$11,2,0)</f>
        <v>Carreau Brno - Michálek Ivo</v>
      </c>
      <c r="AB3" s="276"/>
      <c r="AC3" s="283"/>
      <c r="AE3" s="283"/>
      <c r="AF3" s="276"/>
      <c r="AI3" s="283" t="str">
        <f ca="1">VLOOKUP($A3,'KO16'!$G$6:$H$31,2,0)</f>
        <v>Carreau Brno - Michálek Ivo</v>
      </c>
      <c r="AJ3" s="276">
        <f>VLOOKUP($A3,'KO16'!$G$6:$I$31,3,0)</f>
        <v>0</v>
      </c>
      <c r="AK3" s="283" t="str">
        <f ca="1">VLOOKUP($A3,'KO16'!$K$10:$L$27,2,0)</f>
        <v xml:space="preserve"> </v>
      </c>
      <c r="AL3" s="276">
        <f>VLOOKUP($A3,'KO16'!$K$10:$M$27,3,0)</f>
        <v>0</v>
      </c>
      <c r="AM3" s="283" t="str">
        <f ca="1">VLOOKUP($A3,'KO16'!$O$18:$P$19,2,0)</f>
        <v xml:space="preserve"> </v>
      </c>
      <c r="AN3" s="276">
        <f>VLOOKUP($A3,'KO16'!$O$18:$Q$19,3,0)</f>
        <v>0</v>
      </c>
      <c r="AO3" s="283" t="str">
        <f>VLOOKUP($A3,'KO16'!$S$18:$T$19,2,0)</f>
        <v xml:space="preserve"> </v>
      </c>
      <c r="AP3" s="276"/>
      <c r="AQ3" s="283"/>
      <c r="AR3" s="276"/>
      <c r="AT3" s="283" t="str">
        <f ca="1">VLOOKUP($A3,'KO32'!$G$6:$H$63,2,0)</f>
        <v>Carreau Brno - Michálek Ivo</v>
      </c>
      <c r="AU3" s="276">
        <f>VLOOKUP($A3,'KO32'!$G$6:$I$63,3,0)</f>
        <v>0</v>
      </c>
      <c r="AV3" s="283" t="str">
        <f ca="1">VLOOKUP($A3,'KO32'!$K$10:$L$59,2,0)</f>
        <v xml:space="preserve"> </v>
      </c>
      <c r="AW3" s="276">
        <f>VLOOKUP($A3,'KO32'!$K$10:$M$59,3,0)</f>
        <v>0</v>
      </c>
      <c r="AX3" s="283" t="str">
        <f ca="1">VLOOKUP($A3,'KO32'!$O$18:$P$51,2,0)</f>
        <v xml:space="preserve"> </v>
      </c>
      <c r="AY3" s="276">
        <f>VLOOKUP($A3,'KO32'!$O$18:$Q$51,3,0)</f>
        <v>0</v>
      </c>
      <c r="AZ3" s="283" t="str">
        <f ca="1">VLOOKUP($A3,'KO32'!$S$34:$T$35,2,0)</f>
        <v xml:space="preserve"> </v>
      </c>
      <c r="BA3" s="276">
        <f>VLOOKUP($A3,'KO32'!$S$34:$U$35,3,0)</f>
        <v>0</v>
      </c>
      <c r="BB3" s="283" t="str">
        <f>VLOOKUP($A3,'KO32'!$W$34:$X$35,2,0)</f>
        <v xml:space="preserve"> </v>
      </c>
      <c r="BC3" s="276"/>
      <c r="BD3" s="283"/>
      <c r="BE3" s="276"/>
      <c r="BG3" s="283" t="str">
        <f ca="1">VLOOKUP($A3,'KO64'!$G$6:$H$127,2,0)</f>
        <v>Carreau Brno - Michálek Ivo</v>
      </c>
      <c r="BH3" s="276">
        <f>VLOOKUP($A3,'KO64'!$G$6:$I$127,3,0)</f>
        <v>0</v>
      </c>
      <c r="BI3" s="283" t="str">
        <f ca="1">VLOOKUP($A3,'KO64'!$K$10:$L$123,2,0)</f>
        <v>Carreau Brno - Michálek Ivo</v>
      </c>
      <c r="BJ3" s="276">
        <f>VLOOKUP($A3,'KO64'!$K$10:$M$123,3,0)</f>
        <v>0</v>
      </c>
      <c r="BK3" s="283" t="str">
        <f ca="1">VLOOKUP($A3,'KO64'!$O$18:$P$115,2,0)</f>
        <v xml:space="preserve"> </v>
      </c>
      <c r="BL3" s="276">
        <f>VLOOKUP($A3,'KO64'!$O$18:$Q$115,3,0)</f>
        <v>0</v>
      </c>
      <c r="BM3" s="283" t="str">
        <f ca="1">VLOOKUP($A3,'KO64'!$S$34:$T$99,2,0)</f>
        <v xml:space="preserve"> </v>
      </c>
      <c r="BN3" s="276">
        <f>VLOOKUP($A3,'KO64'!$S$34:$U$99,3,0)</f>
        <v>0</v>
      </c>
      <c r="BO3" s="283" t="str">
        <f ca="1">VLOOKUP($A3,'KO64'!$W$66:$X$67,2,0)</f>
        <v xml:space="preserve"> </v>
      </c>
      <c r="BP3" s="276">
        <f>VLOOKUP($A3,'KO64'!$W$66:$Y$67,3,0)</f>
        <v>0</v>
      </c>
      <c r="BQ3" s="283" t="str">
        <f>VLOOKUP($A3,'KO64'!$AA$66:$AB$67,2,0)</f>
        <v xml:space="preserve"> </v>
      </c>
      <c r="BR3" s="283"/>
      <c r="BS3" s="276"/>
    </row>
    <row r="4" spans="1:71" ht="12" customHeight="1">
      <c r="A4" s="160">
        <f t="shared" si="0"/>
        <v>2</v>
      </c>
      <c r="B4" s="281" t="str">
        <f t="shared" ca="1" si="1"/>
        <v>PLUK Jablonec - Lukáš Vojtěch</v>
      </c>
      <c r="C4" s="282" t="str">
        <f>IF(E4&gt;$G$2,"",Nasazení!B4)</f>
        <v>B1</v>
      </c>
      <c r="D4" s="281" t="str">
        <f ca="1">IF(TYPE(VLOOKUP(C4,Výsledky_skupin!$A$3:$B$130,2,0))&gt;4," -",VLOOKUP(C4,Výsledky_skupin!$A$3:$B$130,2,0))</f>
        <v>PLUK Jablonec - Lukáš Vojtěch</v>
      </c>
      <c r="E4" s="160">
        <v>2</v>
      </c>
      <c r="F4" s="6">
        <f t="shared" si="2"/>
        <v>0</v>
      </c>
      <c r="I4" s="283" t="str">
        <f t="shared" ca="1" si="3"/>
        <v>Carreau Brno - Hodboď Pavel</v>
      </c>
      <c r="L4" s="283" t="str">
        <f ca="1">VLOOKUP($A4,'KO4'!$G$6:$H$7,2,0)</f>
        <v>Carreau Brno - Hodboď Pavel</v>
      </c>
      <c r="M4" s="276"/>
      <c r="N4" s="283" t="str">
        <f ca="1">VLOOKUP($A4,'KO4'!$K$6:$L$7,2,0)</f>
        <v>Carreau Brno - Hodboď Pavel</v>
      </c>
      <c r="O4" s="276"/>
      <c r="P4" s="283"/>
      <c r="Q4" s="276"/>
      <c r="S4" s="283"/>
      <c r="T4" s="276"/>
      <c r="W4" s="283" t="str">
        <f ca="1">VLOOKUP($A4,'KO8'!$G$6:$H$15,2,0)</f>
        <v>Carreau Brno - Hodboď Pavel</v>
      </c>
      <c r="X4" s="276">
        <f>VLOOKUP($A4,'KO8'!$G$6:$I$15,3,0)</f>
        <v>1</v>
      </c>
      <c r="Y4" s="283" t="str">
        <f ca="1">VLOOKUP($A4,'KO8'!$K$10:$L$11,2,0)</f>
        <v>Carreau Brno - Hodboď Pavel</v>
      </c>
      <c r="Z4" s="276">
        <f>VLOOKUP($A4,'KO8'!$K$10:$M$11,3,0)</f>
        <v>10</v>
      </c>
      <c r="AA4" s="283" t="str">
        <f ca="1">VLOOKUP($A4,'KO8'!$O$10:$P$11,2,0)</f>
        <v>Carreau Brno - Hodboď Pavel</v>
      </c>
      <c r="AB4" s="276"/>
      <c r="AC4" s="283"/>
      <c r="AE4" s="283"/>
      <c r="AF4" s="276"/>
      <c r="AI4" s="283" t="str">
        <f ca="1">VLOOKUP($A4,'KO16'!$G$6:$H$31,2,0)</f>
        <v>PLUK Jablonec - Lukáš Vojtěch</v>
      </c>
      <c r="AJ4" s="276">
        <f>VLOOKUP($A4,'KO16'!$G$6:$I$31,3,0)</f>
        <v>0</v>
      </c>
      <c r="AK4" s="283" t="str">
        <f ca="1">VLOOKUP($A4,'KO16'!$K$10:$L$27,2,0)</f>
        <v xml:space="preserve"> </v>
      </c>
      <c r="AL4" s="276">
        <f>VLOOKUP($A4,'KO16'!$K$10:$M$27,3,0)</f>
        <v>0</v>
      </c>
      <c r="AM4" s="283" t="str">
        <f ca="1">VLOOKUP($A4,'KO16'!$O$18:$P$19,2,0)</f>
        <v xml:space="preserve"> </v>
      </c>
      <c r="AN4" s="276">
        <f>VLOOKUP($A4,'KO16'!$O$18:$Q$19,3,0)</f>
        <v>0</v>
      </c>
      <c r="AO4" s="283" t="str">
        <f>VLOOKUP($A4,'KO16'!$S$18:$T$19,2,0)</f>
        <v xml:space="preserve"> </v>
      </c>
      <c r="AP4" s="276"/>
      <c r="AQ4" s="283"/>
      <c r="AR4" s="276"/>
      <c r="AT4" s="283" t="str">
        <f ca="1">VLOOKUP($A4,'KO32'!$G$6:$H$63,2,0)</f>
        <v>PLUK Jablonec - Lukáš Vojtěch</v>
      </c>
      <c r="AU4" s="276">
        <f>VLOOKUP($A4,'KO32'!$G$6:$I$63,3,0)</f>
        <v>0</v>
      </c>
      <c r="AV4" s="283" t="str">
        <f ca="1">VLOOKUP($A4,'KO32'!$K$10:$L$59,2,0)</f>
        <v xml:space="preserve"> </v>
      </c>
      <c r="AW4" s="276">
        <f>VLOOKUP($A4,'KO32'!$K$10:$M$59,3,0)</f>
        <v>0</v>
      </c>
      <c r="AX4" s="283" t="str">
        <f ca="1">VLOOKUP($A4,'KO32'!$O$18:$P$51,2,0)</f>
        <v xml:space="preserve"> </v>
      </c>
      <c r="AY4" s="276">
        <f>VLOOKUP($A4,'KO32'!$O$18:$Q$51,3,0)</f>
        <v>0</v>
      </c>
      <c r="AZ4" s="283" t="str">
        <f ca="1">VLOOKUP($A4,'KO32'!$S$34:$T$35,2,0)</f>
        <v xml:space="preserve"> </v>
      </c>
      <c r="BA4" s="276">
        <f>VLOOKUP($A4,'KO32'!$S$34:$U$35,3,0)</f>
        <v>0</v>
      </c>
      <c r="BB4" s="283" t="str">
        <f>VLOOKUP($A4,'KO32'!$W$34:$X$35,2,0)</f>
        <v xml:space="preserve"> </v>
      </c>
      <c r="BC4" s="276"/>
      <c r="BD4" s="283"/>
      <c r="BE4" s="276"/>
      <c r="BG4" s="283" t="str">
        <f ca="1">VLOOKUP($A4,'KO64'!$G$6:$H$127,2,0)</f>
        <v>PLUK Jablonec - Lukáš Vojtěch</v>
      </c>
      <c r="BH4" s="276">
        <f>VLOOKUP($A4,'KO64'!$G$6:$I$127,3,0)</f>
        <v>0</v>
      </c>
      <c r="BI4" s="283" t="str">
        <f ca="1">VLOOKUP($A4,'KO64'!$K$10:$L$123,2,0)</f>
        <v>PLUK Jablonec - Lukáš Vojtěch</v>
      </c>
      <c r="BJ4" s="276">
        <f>VLOOKUP($A4,'KO64'!$K$10:$M$123,3,0)</f>
        <v>0</v>
      </c>
      <c r="BK4" s="283" t="str">
        <f ca="1">VLOOKUP($A4,'KO64'!$O$18:$P$115,2,0)</f>
        <v xml:space="preserve"> </v>
      </c>
      <c r="BL4" s="276">
        <f>VLOOKUP($A4,'KO64'!$O$18:$Q$115,3,0)</f>
        <v>0</v>
      </c>
      <c r="BM4" s="283" t="str">
        <f ca="1">VLOOKUP($A4,'KO64'!$S$34:$T$99,2,0)</f>
        <v xml:space="preserve"> </v>
      </c>
      <c r="BN4" s="276">
        <f>VLOOKUP($A4,'KO64'!$S$34:$U$99,3,0)</f>
        <v>0</v>
      </c>
      <c r="BO4" s="283" t="str">
        <f ca="1">VLOOKUP($A4,'KO64'!$W$66:$X$67,2,0)</f>
        <v xml:space="preserve"> </v>
      </c>
      <c r="BP4" s="276">
        <f>VLOOKUP($A4,'KO64'!$W$66:$Y$67,3,0)</f>
        <v>0</v>
      </c>
      <c r="BQ4" s="283" t="str">
        <f>VLOOKUP($A4,'KO64'!$AA$66:$AB$67,2,0)</f>
        <v xml:space="preserve"> </v>
      </c>
      <c r="BR4" s="283"/>
      <c r="BS4" s="276"/>
    </row>
    <row r="5" spans="1:71" ht="12" customHeight="1">
      <c r="A5" s="160">
        <f t="shared" si="0"/>
        <v>3</v>
      </c>
      <c r="B5" s="281" t="str">
        <f t="shared" ca="1" si="1"/>
        <v>SKP Hranice VI-Valšovice - Kutá Miloslava</v>
      </c>
      <c r="C5" s="282" t="str">
        <f>IF(E5&gt;$G$2,"",Nasazení!B5)</f>
        <v>C1</v>
      </c>
      <c r="D5" s="281" t="str">
        <f ca="1">IF(TYPE(VLOOKUP(C5,Výsledky_skupin!$A$3:$B$130,2,0))&gt;4," -",VLOOKUP(C5,Výsledky_skupin!$A$3:$B$130,2,0))</f>
        <v>SKP Hranice VI-Valšovice - Kutá Miloslava</v>
      </c>
      <c r="E5" s="160">
        <v>3</v>
      </c>
      <c r="F5" s="6">
        <f t="shared" si="2"/>
        <v>0</v>
      </c>
      <c r="I5" s="283" t="str">
        <f t="shared" ref="I5:I6" ca="1" si="4">IF(OR(TRIM(P5)="-",TRIM(P5)="")," ",P5)</f>
        <v>P.C.B.D. - Hejl ml. Pavel</v>
      </c>
      <c r="L5" s="283"/>
      <c r="M5" s="276"/>
      <c r="N5" s="283"/>
      <c r="O5" s="276"/>
      <c r="P5" s="283" t="str">
        <f ca="1">VLOOKUP($A5,'KO4'!$K$16:$L$17,2,0)</f>
        <v>P.C.B.D. - Hejl ml. Pavel</v>
      </c>
      <c r="Q5" s="276"/>
      <c r="S5" s="283"/>
      <c r="T5" s="276"/>
      <c r="W5" s="283" t="str">
        <f ca="1">VLOOKUP($A5,'KO8'!$G$6:$H$15,2,0)</f>
        <v>SKP Hranice VI-Valšovice - Kutá Miloslava</v>
      </c>
      <c r="X5" s="276">
        <f>VLOOKUP($A5,'KO8'!$G$6:$I$15,3,0)</f>
        <v>0</v>
      </c>
      <c r="Y5" s="283" t="str">
        <f ca="1">VLOOKUP($A5,'KO8'!$K$10:$L$21,2,0)</f>
        <v>SKP Hranice VI-Valšovice - Kutá Miloslava</v>
      </c>
      <c r="Z5" s="276">
        <f>VLOOKUP($A5,'KO8'!$K$10:$M$21,3,0)</f>
        <v>9</v>
      </c>
      <c r="AA5" s="283" t="str">
        <f ca="1">VLOOKUP($A5,'KO8'!$O$10:$P$21,2,0)</f>
        <v>P.C.B.D. - Hejl ml. Pavel</v>
      </c>
      <c r="AB5" s="276"/>
      <c r="AC5" s="283" t="str">
        <f ca="1">VLOOKUP($A5,'KO8'!$O$20:$P$21,2,0)</f>
        <v>P.C.B.D. - Hejl ml. Pavel</v>
      </c>
      <c r="AE5" s="283"/>
      <c r="AF5" s="276"/>
      <c r="AI5" s="283" t="str">
        <f ca="1">VLOOKUP($A5,'KO16'!$G$6:$H$31,2,0)</f>
        <v>SKP Hranice VI-Valšovice - Kutá Miloslava</v>
      </c>
      <c r="AJ5" s="276">
        <f>VLOOKUP($A5,'KO16'!$G$6:$I$31,3,0)</f>
        <v>0</v>
      </c>
      <c r="AK5" s="283" t="str">
        <f ca="1">VLOOKUP($A5,'KO16'!$K$10:$L$27,2,0)</f>
        <v xml:space="preserve"> </v>
      </c>
      <c r="AL5" s="276">
        <f>VLOOKUP($A5,'KO16'!$K$10:$M$27,3,0)</f>
        <v>0</v>
      </c>
      <c r="AM5" s="283" t="str">
        <f ca="1">VLOOKUP($A5,'KO16'!$O$18:$P$33,2,0)</f>
        <v xml:space="preserve"> </v>
      </c>
      <c r="AN5" s="276">
        <f>VLOOKUP($A5,'KO16'!$O$18:$Q$33,3,0)</f>
        <v>0</v>
      </c>
      <c r="AO5" s="283"/>
      <c r="AP5" s="276"/>
      <c r="AQ5" s="283" t="str">
        <f>VLOOKUP($A5,'KO16'!$S$32:$T$33,2,0)</f>
        <v xml:space="preserve"> </v>
      </c>
      <c r="AR5" s="276"/>
      <c r="AT5" s="283" t="str">
        <f ca="1">VLOOKUP($A5,'KO32'!$G$6:$H$63,2,0)</f>
        <v>SKP Hranice VI-Valšovice - Kutá Miloslava</v>
      </c>
      <c r="AU5" s="276">
        <f>VLOOKUP($A5,'KO32'!$G$6:$I$63,3,0)</f>
        <v>0</v>
      </c>
      <c r="AV5" s="283" t="str">
        <f ca="1">VLOOKUP($A5,'KO32'!$K$10:$L$59,2,0)</f>
        <v xml:space="preserve"> </v>
      </c>
      <c r="AW5" s="276">
        <f>VLOOKUP($A5,'KO32'!$K$10:$M$59,3,0)</f>
        <v>0</v>
      </c>
      <c r="AX5" s="283" t="str">
        <f ca="1">VLOOKUP($A5,'KO32'!$O$18:$P$51,2,0)</f>
        <v xml:space="preserve"> </v>
      </c>
      <c r="AY5" s="276">
        <f>VLOOKUP($A5,'KO32'!$O$18:$Q$51,3,0)</f>
        <v>0</v>
      </c>
      <c r="AZ5" s="283" t="str">
        <f ca="1">VLOOKUP($A5,'KO32'!$S$34:$T$57,2,0)</f>
        <v xml:space="preserve"> </v>
      </c>
      <c r="BA5" s="276">
        <f>VLOOKUP($A5,'KO32'!$S$34:$U$57,3,0)</f>
        <v>0</v>
      </c>
      <c r="BB5" s="283"/>
      <c r="BC5" s="276"/>
      <c r="BD5" s="283" t="str">
        <f>VLOOKUP($A5,'KO32'!$W$56:$X$57,2,0)</f>
        <v xml:space="preserve"> </v>
      </c>
      <c r="BE5" s="276"/>
      <c r="BG5" s="283" t="str">
        <f ca="1">VLOOKUP($A5,'KO64'!$G$6:$H$127,2,0)</f>
        <v>SKP Hranice VI-Valšovice - Kutá Miloslava</v>
      </c>
      <c r="BH5" s="276">
        <f>VLOOKUP($A5,'KO64'!$G$6:$I$127,3,0)</f>
        <v>0</v>
      </c>
      <c r="BI5" s="283" t="str">
        <f ca="1">VLOOKUP($A5,'KO64'!$K$10:$L$123,2,0)</f>
        <v>SKP Hranice VI-Valšovice - Kutá Miloslava</v>
      </c>
      <c r="BJ5" s="276">
        <f>VLOOKUP($A5,'KO64'!$K$10:$M$123,3,0)</f>
        <v>0</v>
      </c>
      <c r="BK5" s="283" t="str">
        <f ca="1">VLOOKUP($A5,'KO64'!$O$18:$P$115,2,0)</f>
        <v xml:space="preserve"> </v>
      </c>
      <c r="BL5" s="276">
        <f>VLOOKUP($A5,'KO64'!$O$18:$Q$115,3,0)</f>
        <v>0</v>
      </c>
      <c r="BM5" s="283" t="str">
        <f ca="1">VLOOKUP($A5,'KO64'!$S$34:$T$99,2,0)</f>
        <v xml:space="preserve"> </v>
      </c>
      <c r="BN5" s="276">
        <f>VLOOKUP($A5,'KO64'!$S$34:$U$99,3,0)</f>
        <v>0</v>
      </c>
      <c r="BO5" s="283" t="str">
        <f ca="1">VLOOKUP($A5,'KO64'!$W$66:$X$107,2,0)</f>
        <v xml:space="preserve"> </v>
      </c>
      <c r="BP5" s="276">
        <f>VLOOKUP($A5,'KO64'!$W$66:$Y$107,3,0)</f>
        <v>0</v>
      </c>
      <c r="BQ5" s="283"/>
      <c r="BR5" s="283" t="str">
        <f>VLOOKUP($A5,'KO64'!$AA$106:$AB$107,2,0)</f>
        <v xml:space="preserve"> </v>
      </c>
      <c r="BS5" s="276"/>
    </row>
    <row r="6" spans="1:71" ht="12" customHeight="1">
      <c r="A6" s="160">
        <f t="shared" si="0"/>
        <v>4</v>
      </c>
      <c r="B6" s="281" t="str">
        <f t="shared" ca="1" si="1"/>
        <v>P.C.B.D. - Hejl ml. Pavel</v>
      </c>
      <c r="C6" s="282" t="str">
        <f>IF(E6&gt;$G$2,"",Nasazení!B6)</f>
        <v>D1</v>
      </c>
      <c r="D6" s="281" t="str">
        <f ca="1">IF(TYPE(VLOOKUP(C6,Výsledky_skupin!$A$3:$B$130,2,0))&gt;4," -",VLOOKUP(C6,Výsledky_skupin!$A$3:$B$130,2,0))</f>
        <v>P.C.B.D. - Hejl ml. Pavel</v>
      </c>
      <c r="E6" s="160">
        <v>4</v>
      </c>
      <c r="F6" s="6">
        <f t="shared" si="2"/>
        <v>0</v>
      </c>
      <c r="I6" s="283" t="str">
        <f t="shared" ca="1" si="4"/>
        <v>SKP Hranice VI-Valšovice - Kutá Miloslava</v>
      </c>
      <c r="L6" s="283"/>
      <c r="M6" s="276"/>
      <c r="N6" s="283"/>
      <c r="O6" s="276"/>
      <c r="P6" s="283" t="str">
        <f ca="1">VLOOKUP($A6,'KO4'!$K$16:$L$17,2,0)</f>
        <v>SKP Hranice VI-Valšovice - Kutá Miloslava</v>
      </c>
      <c r="Q6" s="276"/>
      <c r="S6" s="283"/>
      <c r="T6" s="276"/>
      <c r="W6" s="283" t="str">
        <f ca="1">VLOOKUP($A6,'KO8'!$G$6:$H$15,2,0)</f>
        <v>P.C.B.D. - Hejl ml. Pavel</v>
      </c>
      <c r="X6" s="276">
        <f>VLOOKUP($A6,'KO8'!$G$6:$I$15,3,0)</f>
        <v>0</v>
      </c>
      <c r="Y6" s="283" t="str">
        <f ca="1">VLOOKUP($A6,'KO8'!$K$10:$L$21,2,0)</f>
        <v>P.C.B.D. - Hejl ml. Pavel</v>
      </c>
      <c r="Z6" s="276">
        <f>VLOOKUP($A6,'KO8'!$K$10:$M$21,3,0)</f>
        <v>13</v>
      </c>
      <c r="AA6" s="283" t="str">
        <f ca="1">VLOOKUP($A6,'KO8'!$O$10:$P$21,2,0)</f>
        <v>SKP Hranice VI-Valšovice - Kutá Miloslava</v>
      </c>
      <c r="AB6" s="276"/>
      <c r="AC6" s="283" t="str">
        <f ca="1">VLOOKUP($A6,'KO8'!$O$20:$P$21,2,0)</f>
        <v>SKP Hranice VI-Valšovice - Kutá Miloslava</v>
      </c>
      <c r="AE6" s="283"/>
      <c r="AF6" s="276"/>
      <c r="AI6" s="283" t="str">
        <f ca="1">VLOOKUP($A6,'KO16'!$G$6:$H$31,2,0)</f>
        <v>P.C.B.D. - Hejl ml. Pavel</v>
      </c>
      <c r="AJ6" s="276">
        <f>VLOOKUP($A6,'KO16'!$G$6:$I$31,3,0)</f>
        <v>0</v>
      </c>
      <c r="AK6" s="283" t="str">
        <f ca="1">VLOOKUP($A6,'KO16'!$K$10:$L$27,2,0)</f>
        <v xml:space="preserve"> </v>
      </c>
      <c r="AL6" s="276">
        <f>VLOOKUP($A6,'KO16'!$K$10:$M$27,3,0)</f>
        <v>0</v>
      </c>
      <c r="AM6" s="283" t="str">
        <f ca="1">VLOOKUP($A6,'KO16'!$O$18:$P$33,2,0)</f>
        <v xml:space="preserve"> </v>
      </c>
      <c r="AN6" s="276">
        <f>VLOOKUP($A6,'KO16'!$O$18:$Q$33,3,0)</f>
        <v>0</v>
      </c>
      <c r="AO6" s="283"/>
      <c r="AP6" s="276"/>
      <c r="AQ6" s="283" t="str">
        <f>VLOOKUP($A6,'KO16'!$S$32:$T$33,2,0)</f>
        <v xml:space="preserve"> </v>
      </c>
      <c r="AR6" s="276"/>
      <c r="AT6" s="283" t="str">
        <f ca="1">VLOOKUP($A6,'KO32'!$G$6:$H$63,2,0)</f>
        <v>P.C.B.D. - Hejl ml. Pavel</v>
      </c>
      <c r="AU6" s="276">
        <f>VLOOKUP($A6,'KO32'!$G$6:$I$63,3,0)</f>
        <v>0</v>
      </c>
      <c r="AV6" s="283" t="str">
        <f ca="1">VLOOKUP($A6,'KO32'!$K$10:$L$59,2,0)</f>
        <v xml:space="preserve"> </v>
      </c>
      <c r="AW6" s="276">
        <f>VLOOKUP($A6,'KO32'!$K$10:$M$59,3,0)</f>
        <v>0</v>
      </c>
      <c r="AX6" s="283" t="str">
        <f ca="1">VLOOKUP($A6,'KO32'!$O$18:$P$51,2,0)</f>
        <v xml:space="preserve"> </v>
      </c>
      <c r="AY6" s="276">
        <f>VLOOKUP($A6,'KO32'!$O$18:$Q$51,3,0)</f>
        <v>0</v>
      </c>
      <c r="AZ6" s="283" t="str">
        <f ca="1">VLOOKUP($A6,'KO32'!$S$34:$T$57,2,0)</f>
        <v xml:space="preserve"> </v>
      </c>
      <c r="BA6" s="276">
        <f>VLOOKUP($A6,'KO32'!$S$34:$U$57,3,0)</f>
        <v>0</v>
      </c>
      <c r="BB6" s="283"/>
      <c r="BC6" s="276"/>
      <c r="BD6" s="283" t="str">
        <f ca="1">VLOOKUP($A6,'KO32'!$W$56:$X$57,2,0)</f>
        <v xml:space="preserve"> </v>
      </c>
      <c r="BE6" s="276"/>
      <c r="BG6" s="283" t="str">
        <f ca="1">VLOOKUP($A6,'KO64'!$G$6:$H$127,2,0)</f>
        <v>P.C.B.D. - Hejl ml. Pavel</v>
      </c>
      <c r="BH6" s="276">
        <f>VLOOKUP($A6,'KO64'!$G$6:$I$127,3,0)</f>
        <v>0</v>
      </c>
      <c r="BI6" s="283" t="str">
        <f ca="1">VLOOKUP($A6,'KO64'!$K$10:$L$123,2,0)</f>
        <v>P.C.B.D. - Hejl ml. Pavel</v>
      </c>
      <c r="BJ6" s="276">
        <f>VLOOKUP($A6,'KO64'!$K$10:$M$123,3,0)</f>
        <v>0</v>
      </c>
      <c r="BK6" s="283" t="str">
        <f ca="1">VLOOKUP($A6,'KO64'!$O$18:$P$115,2,0)</f>
        <v xml:space="preserve"> </v>
      </c>
      <c r="BL6" s="276">
        <f>VLOOKUP($A6,'KO64'!$O$18:$Q$115,3,0)</f>
        <v>0</v>
      </c>
      <c r="BM6" s="283" t="str">
        <f ca="1">VLOOKUP($A6,'KO64'!$S$34:$T$99,2,0)</f>
        <v xml:space="preserve"> </v>
      </c>
      <c r="BN6" s="276">
        <f>VLOOKUP($A6,'KO64'!$S$34:$U$99,3,0)</f>
        <v>0</v>
      </c>
      <c r="BO6" s="283" t="str">
        <f ca="1">VLOOKUP($A6,'KO64'!$W$66:$X$107,2,0)</f>
        <v xml:space="preserve"> </v>
      </c>
      <c r="BP6" s="276">
        <f>VLOOKUP($A6,'KO64'!$W$66:$Y$107,3,0)</f>
        <v>0</v>
      </c>
      <c r="BQ6" s="283"/>
      <c r="BR6" s="283" t="str">
        <f>VLOOKUP($A6,'KO64'!$AA$106:$AB$107,2,0)</f>
        <v xml:space="preserve"> </v>
      </c>
      <c r="BS6" s="276"/>
    </row>
    <row r="7" spans="1:71" ht="12" customHeight="1">
      <c r="A7" s="160">
        <f t="shared" si="0"/>
        <v>5</v>
      </c>
      <c r="B7" s="281" t="str">
        <f t="shared" ca="1" si="1"/>
        <v>SKP Kulová osma - Krejčín Leoš</v>
      </c>
      <c r="C7" s="282" t="str">
        <f>IF(E7&gt;$G$2,"",Nasazení!B7)</f>
        <v>E1</v>
      </c>
      <c r="D7" s="281" t="str">
        <f ca="1">IF(TYPE(VLOOKUP(C7,Výsledky_skupin!$A$3:$B$130,2,0))&gt;4," -",VLOOKUP(C7,Výsledky_skupin!$A$3:$B$130,2,0))</f>
        <v>SKP Kulová osma - Krejčín Leoš</v>
      </c>
      <c r="E7" s="160">
        <v>5</v>
      </c>
      <c r="F7" s="6">
        <f t="shared" si="2"/>
        <v>0</v>
      </c>
      <c r="I7" s="283" t="str">
        <f t="shared" ref="I7:I10" ca="1" si="5">IF(OR(TRIM(S7)="-",TRIM(S7)="")," ",S7)</f>
        <v>SKP Hranice VI-Valšovice - Jakeš Zbyněk</v>
      </c>
      <c r="L7" s="283"/>
      <c r="M7" s="276"/>
      <c r="N7" s="283"/>
      <c r="O7" s="276"/>
      <c r="P7" s="283"/>
      <c r="Q7" s="276"/>
      <c r="S7" s="283" t="str">
        <f ca="1">VLOOKUP($A7,'Dohrávka_5-8'!$K$6:$L$13,2,0)</f>
        <v>SKP Hranice VI-Valšovice - Jakeš Zbyněk</v>
      </c>
      <c r="T7" s="276"/>
      <c r="W7" s="283"/>
      <c r="X7" s="276"/>
      <c r="Y7" s="283"/>
      <c r="Z7" s="276"/>
      <c r="AA7" s="283"/>
      <c r="AB7" s="276"/>
      <c r="AC7" s="283"/>
      <c r="AE7" s="283"/>
      <c r="AF7" s="276"/>
      <c r="AI7" s="283" t="str">
        <f ca="1">VLOOKUP($A7,'KO16'!$G$6:$H$31,2,0)</f>
        <v>SKP Hranice VI-Valšovice - Jakeš Zbyněk</v>
      </c>
      <c r="AJ7" s="276">
        <f>VLOOKUP($A7,'KO16'!$G$6:$I$31,3,0)</f>
        <v>0</v>
      </c>
      <c r="AK7" s="283"/>
      <c r="AL7" s="276"/>
      <c r="AM7" s="283"/>
      <c r="AN7" s="276"/>
      <c r="AO7" s="283"/>
      <c r="AP7" s="276"/>
      <c r="AQ7" s="283"/>
      <c r="AR7" s="276"/>
      <c r="AT7" s="283" t="str">
        <f ca="1">VLOOKUP($A7,'KO32'!$G$6:$H$63,2,0)</f>
        <v>SKP Kulová osma - Krejčín Leoš</v>
      </c>
      <c r="AU7" s="276">
        <f>VLOOKUP($A7,'KO32'!$G$6:$I$63,3,0)</f>
        <v>0</v>
      </c>
      <c r="AV7" s="283" t="str">
        <f ca="1">VLOOKUP($A7,'KO32'!$K$10:$L$59,2,0)</f>
        <v xml:space="preserve"> </v>
      </c>
      <c r="AW7" s="276">
        <f>VLOOKUP($A7,'KO32'!$K$10:$M$59,3,0)</f>
        <v>0</v>
      </c>
      <c r="AX7" s="283"/>
      <c r="AY7" s="276"/>
      <c r="AZ7" s="283"/>
      <c r="BA7" s="276"/>
      <c r="BB7" s="283"/>
      <c r="BC7" s="276"/>
      <c r="BD7" s="283"/>
      <c r="BE7" s="276"/>
      <c r="BG7" s="283" t="str">
        <f ca="1">VLOOKUP($A7,'KO64'!$G$6:$H$127,2,0)</f>
        <v>SKP Kulová osma - Krejčín Leoš</v>
      </c>
      <c r="BH7" s="276">
        <f>VLOOKUP($A7,'KO64'!$G$6:$I$127,3,0)</f>
        <v>0</v>
      </c>
      <c r="BI7" s="283" t="str">
        <f ca="1">VLOOKUP($A7,'KO64'!$K$10:$L$123,2,0)</f>
        <v>SKP Kulová osma - Krejčín Leoš</v>
      </c>
      <c r="BJ7" s="276">
        <f>VLOOKUP($A7,'KO64'!$K$10:$M$123,3,0)</f>
        <v>0</v>
      </c>
      <c r="BK7" s="283" t="str">
        <f ca="1">VLOOKUP($A7,'KO64'!$O$18:$P$115,2,0)</f>
        <v xml:space="preserve"> </v>
      </c>
      <c r="BL7" s="276">
        <f>VLOOKUP($A7,'KO64'!$O$18:$Q$115,3,0)</f>
        <v>0</v>
      </c>
      <c r="BM7" s="283"/>
      <c r="BN7" s="276"/>
      <c r="BO7" s="283"/>
      <c r="BP7" s="276"/>
      <c r="BQ7" s="283"/>
      <c r="BR7" s="283"/>
      <c r="BS7" s="276"/>
    </row>
    <row r="8" spans="1:71" ht="12" customHeight="1">
      <c r="A8" s="160">
        <f t="shared" si="0"/>
        <v>6</v>
      </c>
      <c r="B8" s="281" t="str">
        <f t="shared" ca="1" si="1"/>
        <v>TOP - ORLOVÁ - Bačo David</v>
      </c>
      <c r="C8" s="282" t="str">
        <f>IF(E8&gt;$G$2,"",Nasazení!B8)</f>
        <v>F1</v>
      </c>
      <c r="D8" s="281" t="str">
        <f ca="1">IF(TYPE(VLOOKUP(C8,Výsledky_skupin!$A$3:$B$130,2,0))&gt;4," -",VLOOKUP(C8,Výsledky_skupin!$A$3:$B$130,2,0))</f>
        <v>TOP - ORLOVÁ - Bačo David</v>
      </c>
      <c r="E8" s="160">
        <v>6</v>
      </c>
      <c r="F8" s="6">
        <f t="shared" si="2"/>
        <v>0</v>
      </c>
      <c r="I8" s="283" t="str">
        <f t="shared" ca="1" si="5"/>
        <v>PLUK Jablonec - Lukáš Vojtěch</v>
      </c>
      <c r="L8" s="283"/>
      <c r="M8" s="276"/>
      <c r="N8" s="283"/>
      <c r="O8" s="276"/>
      <c r="P8" s="283"/>
      <c r="Q8" s="276"/>
      <c r="S8" s="283" t="str">
        <f ca="1">VLOOKUP($A8,'Dohrávka_5-8'!$K$6:$L$13,2,0)</f>
        <v>PLUK Jablonec - Lukáš Vojtěch</v>
      </c>
      <c r="T8" s="276"/>
      <c r="W8" s="283"/>
      <c r="X8" s="276"/>
      <c r="Y8" s="283"/>
      <c r="Z8" s="276"/>
      <c r="AA8" s="283"/>
      <c r="AB8" s="276"/>
      <c r="AC8" s="283"/>
      <c r="AE8" s="283"/>
      <c r="AF8" s="276"/>
      <c r="AI8" s="283" t="str">
        <f ca="1">VLOOKUP($A8,'KO16'!$G$6:$H$31,2,0)</f>
        <v>HRODE KRUMSÍN - Krpec Miroslav</v>
      </c>
      <c r="AJ8" s="276">
        <f>VLOOKUP($A8,'KO16'!$G$6:$I$31,3,0)</f>
        <v>0</v>
      </c>
      <c r="AK8" s="283"/>
      <c r="AL8" s="276"/>
      <c r="AM8" s="283"/>
      <c r="AN8" s="276"/>
      <c r="AO8" s="283"/>
      <c r="AP8" s="276"/>
      <c r="AQ8" s="283"/>
      <c r="AR8" s="276"/>
      <c r="AT8" s="283" t="str">
        <f ca="1">VLOOKUP($A8,'KO32'!$G$6:$H$63,2,0)</f>
        <v>TOP - ORLOVÁ - Bačo David</v>
      </c>
      <c r="AU8" s="276">
        <f>VLOOKUP($A8,'KO32'!$G$6:$I$63,3,0)</f>
        <v>0</v>
      </c>
      <c r="AV8" s="283" t="str">
        <f ca="1">VLOOKUP($A8,'KO32'!$K$10:$L$59,2,0)</f>
        <v xml:space="preserve"> </v>
      </c>
      <c r="AW8" s="276">
        <f>VLOOKUP($A8,'KO32'!$K$10:$M$59,3,0)</f>
        <v>0</v>
      </c>
      <c r="AX8" s="283"/>
      <c r="AY8" s="276"/>
      <c r="AZ8" s="283"/>
      <c r="BA8" s="276"/>
      <c r="BB8" s="283"/>
      <c r="BC8" s="276"/>
      <c r="BD8" s="283"/>
      <c r="BE8" s="276"/>
      <c r="BG8" s="283" t="str">
        <f ca="1">VLOOKUP($A8,'KO64'!$G$6:$H$127,2,0)</f>
        <v>TOP - ORLOVÁ - Bačo David</v>
      </c>
      <c r="BH8" s="276">
        <f>VLOOKUP($A8,'KO64'!$G$6:$I$127,3,0)</f>
        <v>0</v>
      </c>
      <c r="BI8" s="283" t="str">
        <f ca="1">VLOOKUP($A8,'KO64'!$K$10:$L$123,2,0)</f>
        <v>TOP - ORLOVÁ - Bačo David</v>
      </c>
      <c r="BJ8" s="276">
        <f>VLOOKUP($A8,'KO64'!$K$10:$M$123,3,0)</f>
        <v>0</v>
      </c>
      <c r="BK8" s="283" t="str">
        <f ca="1">VLOOKUP($A8,'KO64'!$O$18:$P$115,2,0)</f>
        <v xml:space="preserve"> </v>
      </c>
      <c r="BL8" s="276">
        <f>VLOOKUP($A8,'KO64'!$O$18:$Q$115,3,0)</f>
        <v>0</v>
      </c>
      <c r="BM8" s="283"/>
      <c r="BN8" s="276"/>
      <c r="BO8" s="283"/>
      <c r="BP8" s="276"/>
      <c r="BQ8" s="283"/>
      <c r="BR8" s="283"/>
      <c r="BS8" s="276"/>
    </row>
    <row r="9" spans="1:71" ht="12" customHeight="1">
      <c r="A9" s="160">
        <f t="shared" si="0"/>
        <v>7</v>
      </c>
      <c r="B9" s="281" t="str">
        <f t="shared" ca="1" si="1"/>
        <v>Carreau Brno - Hodboď Pavel</v>
      </c>
      <c r="C9" s="282" t="str">
        <f>IF(E9&gt;$G$2,"",Nasazení!B9)</f>
        <v>G1</v>
      </c>
      <c r="D9" s="281" t="str">
        <f ca="1">IF(TYPE(VLOOKUP(C9,Výsledky_skupin!$A$3:$B$130,2,0))&gt;4," -",VLOOKUP(C9,Výsledky_skupin!$A$3:$B$130,2,0))</f>
        <v>Carreau Brno - Hodboď Pavel</v>
      </c>
      <c r="E9" s="160">
        <v>7</v>
      </c>
      <c r="F9" s="6">
        <f t="shared" si="2"/>
        <v>0</v>
      </c>
      <c r="I9" s="283" t="str">
        <f t="shared" ca="1" si="5"/>
        <v>HRODE KRUMSÍN - Krpec Miroslav</v>
      </c>
      <c r="L9" s="283"/>
      <c r="M9" s="276"/>
      <c r="N9" s="283"/>
      <c r="O9" s="276"/>
      <c r="P9" s="283"/>
      <c r="Q9" s="276"/>
      <c r="S9" s="283" t="str">
        <f ca="1">VLOOKUP($A9,'Dohrávka_5-8'!$K$6:$L$13,2,0)</f>
        <v>HRODE KRUMSÍN - Krpec Miroslav</v>
      </c>
      <c r="T9" s="276"/>
      <c r="W9" s="283"/>
      <c r="X9" s="276"/>
      <c r="Y9" s="283"/>
      <c r="Z9" s="276"/>
      <c r="AA9" s="283"/>
      <c r="AB9" s="276"/>
      <c r="AC9" s="283"/>
      <c r="AE9" s="283"/>
      <c r="AF9" s="276"/>
      <c r="AI9" s="283" t="str">
        <f ca="1">VLOOKUP($A9,'KO16'!$G$6:$H$31,2,0)</f>
        <v>Carreau Brno - Hodboď Pavel</v>
      </c>
      <c r="AJ9" s="276">
        <f>VLOOKUP($A9,'KO16'!$G$6:$I$31,3,0)</f>
        <v>0</v>
      </c>
      <c r="AK9" s="283"/>
      <c r="AL9" s="276"/>
      <c r="AM9" s="283"/>
      <c r="AN9" s="276"/>
      <c r="AO9" s="283"/>
      <c r="AP9" s="276"/>
      <c r="AQ9" s="283"/>
      <c r="AR9" s="276"/>
      <c r="AT9" s="283" t="str">
        <f ca="1">VLOOKUP($A9,'KO32'!$G$6:$H$63,2,0)</f>
        <v>Carreau Brno - Hodboď Pavel</v>
      </c>
      <c r="AU9" s="276">
        <f>VLOOKUP($A9,'KO32'!$G$6:$I$63,3,0)</f>
        <v>0</v>
      </c>
      <c r="AV9" s="283" t="str">
        <f ca="1">VLOOKUP($A9,'KO32'!$K$10:$L$59,2,0)</f>
        <v xml:space="preserve"> </v>
      </c>
      <c r="AW9" s="276">
        <f>VLOOKUP($A9,'KO32'!$K$10:$M$59,3,0)</f>
        <v>0</v>
      </c>
      <c r="AX9" s="283"/>
      <c r="AY9" s="276"/>
      <c r="AZ9" s="283"/>
      <c r="BA9" s="276"/>
      <c r="BB9" s="283"/>
      <c r="BC9" s="276"/>
      <c r="BD9" s="283"/>
      <c r="BE9" s="276"/>
      <c r="BG9" s="283" t="str">
        <f ca="1">VLOOKUP($A9,'KO64'!$G$6:$H$127,2,0)</f>
        <v>Carreau Brno - Hodboď Pavel</v>
      </c>
      <c r="BH9" s="276">
        <f>VLOOKUP($A9,'KO64'!$G$6:$I$127,3,0)</f>
        <v>0</v>
      </c>
      <c r="BI9" s="283" t="str">
        <f ca="1">VLOOKUP($A9,'KO64'!$K$10:$L$123,2,0)</f>
        <v>Carreau Brno - Hodboď Pavel</v>
      </c>
      <c r="BJ9" s="276">
        <f>VLOOKUP($A9,'KO64'!$K$10:$M$123,3,0)</f>
        <v>0</v>
      </c>
      <c r="BK9" s="283" t="str">
        <f ca="1">VLOOKUP($A9,'KO64'!$O$18:$P$115,2,0)</f>
        <v xml:space="preserve"> </v>
      </c>
      <c r="BL9" s="276">
        <f>VLOOKUP($A9,'KO64'!$O$18:$Q$115,3,0)</f>
        <v>0</v>
      </c>
      <c r="BM9" s="283"/>
      <c r="BN9" s="276"/>
      <c r="BO9" s="283"/>
      <c r="BP9" s="276"/>
      <c r="BQ9" s="283"/>
      <c r="BR9" s="283"/>
      <c r="BS9" s="276"/>
    </row>
    <row r="10" spans="1:71" ht="12" customHeight="1">
      <c r="A10" s="160">
        <f t="shared" si="0"/>
        <v>8</v>
      </c>
      <c r="B10" s="281" t="str">
        <f t="shared" ca="1" si="1"/>
        <v>Carreau Brno - Grepl Jiří</v>
      </c>
      <c r="C10" s="282" t="str">
        <f>IF(E10&gt;$G$2,"",Nasazení!B10)</f>
        <v>H1</v>
      </c>
      <c r="D10" s="281" t="str">
        <f ca="1">IF(TYPE(VLOOKUP(C10,Výsledky_skupin!$A$3:$B$130,2,0))&gt;4," -",VLOOKUP(C10,Výsledky_skupin!$A$3:$B$130,2,0))</f>
        <v>Carreau Brno - Grepl Jiří</v>
      </c>
      <c r="E10" s="160">
        <v>8</v>
      </c>
      <c r="F10" s="6">
        <f t="shared" si="2"/>
        <v>0</v>
      </c>
      <c r="I10" s="283" t="str">
        <f t="shared" ca="1" si="5"/>
        <v>Carreau Brno - Grepl Jiří</v>
      </c>
      <c r="L10" s="283"/>
      <c r="M10" s="276"/>
      <c r="N10" s="283"/>
      <c r="O10" s="276"/>
      <c r="P10" s="283"/>
      <c r="Q10" s="276"/>
      <c r="S10" s="283" t="str">
        <f ca="1">VLOOKUP($A10,'Dohrávka_5-8'!$K$6:$L$13,2,0)</f>
        <v>Carreau Brno - Grepl Jiří</v>
      </c>
      <c r="T10" s="276"/>
      <c r="W10" s="283"/>
      <c r="X10" s="276"/>
      <c r="Y10" s="283"/>
      <c r="Z10" s="276"/>
      <c r="AA10" s="283"/>
      <c r="AB10" s="276"/>
      <c r="AC10" s="283"/>
      <c r="AE10" s="283"/>
      <c r="AF10" s="276"/>
      <c r="AI10" s="283" t="str">
        <f ca="1">VLOOKUP($A10,'KO16'!$G$6:$H$31,2,0)</f>
        <v>Carreau Brno - Grepl Jiří</v>
      </c>
      <c r="AJ10" s="276">
        <f>VLOOKUP($A10,'KO16'!$G$6:$I$31,3,0)</f>
        <v>0</v>
      </c>
      <c r="AK10" s="283"/>
      <c r="AL10" s="276"/>
      <c r="AM10" s="283"/>
      <c r="AN10" s="276"/>
      <c r="AO10" s="283"/>
      <c r="AP10" s="276"/>
      <c r="AQ10" s="283"/>
      <c r="AR10" s="276"/>
      <c r="AT10" s="283" t="str">
        <f ca="1">VLOOKUP($A10,'KO32'!$G$6:$H$63,2,0)</f>
        <v>Carreau Brno - Grepl Jiří</v>
      </c>
      <c r="AU10" s="276">
        <f>VLOOKUP($A10,'KO32'!$G$6:$I$63,3,0)</f>
        <v>0</v>
      </c>
      <c r="AV10" s="283" t="str">
        <f ca="1">VLOOKUP($A10,'KO32'!$K$10:$L$59,2,0)</f>
        <v xml:space="preserve"> </v>
      </c>
      <c r="AW10" s="276">
        <f>VLOOKUP($A10,'KO32'!$K$10:$M$59,3,0)</f>
        <v>0</v>
      </c>
      <c r="AX10" s="283"/>
      <c r="AY10" s="276"/>
      <c r="AZ10" s="283"/>
      <c r="BA10" s="276"/>
      <c r="BB10" s="283"/>
      <c r="BC10" s="276"/>
      <c r="BD10" s="283"/>
      <c r="BE10" s="276"/>
      <c r="BG10" s="283" t="str">
        <f ca="1">VLOOKUP($A10,'KO64'!$G$6:$H$127,2,0)</f>
        <v>Carreau Brno - Grepl Jiří</v>
      </c>
      <c r="BH10" s="276">
        <f>VLOOKUP($A10,'KO64'!$G$6:$I$127,3,0)</f>
        <v>0</v>
      </c>
      <c r="BI10" s="283" t="str">
        <f ca="1">VLOOKUP($A10,'KO64'!$K$10:$L$123,2,0)</f>
        <v>Carreau Brno - Grepl Jiří</v>
      </c>
      <c r="BJ10" s="276">
        <f>VLOOKUP($A10,'KO64'!$K$10:$M$123,3,0)</f>
        <v>0</v>
      </c>
      <c r="BK10" s="283" t="str">
        <f ca="1">VLOOKUP($A10,'KO64'!$O$18:$P$115,2,0)</f>
        <v xml:space="preserve"> </v>
      </c>
      <c r="BL10" s="276">
        <f>VLOOKUP($A10,'KO64'!$O$18:$Q$115,3,0)</f>
        <v>0</v>
      </c>
      <c r="BM10" s="283"/>
      <c r="BN10" s="276"/>
      <c r="BO10" s="283"/>
      <c r="BP10" s="276"/>
      <c r="BQ10" s="283"/>
      <c r="BR10" s="283"/>
      <c r="BS10" s="276"/>
    </row>
    <row r="11" spans="1:71" ht="12" customHeight="1">
      <c r="A11" s="160">
        <f t="shared" si="0"/>
        <v>10</v>
      </c>
      <c r="B11" s="281" t="str">
        <f t="shared" ca="1" si="1"/>
        <v>SOKOL Staříč - Šimíček Ladislav</v>
      </c>
      <c r="C11" s="282" t="str">
        <f>IF(E11&gt;$G$2,"",Nasazení!B11)</f>
        <v>H2</v>
      </c>
      <c r="D11" s="281" t="str">
        <f ca="1">IF(TYPE(VLOOKUP(C11,Výsledky_skupin!$A$3:$B$130,2,0))&gt;4," -",VLOOKUP(C11,Výsledky_skupin!$A$3:$B$130,2,0))</f>
        <v>SOKOL Staříč - Šimíček Ladislav</v>
      </c>
      <c r="E11" s="160">
        <v>9</v>
      </c>
      <c r="F11" s="6">
        <f t="shared" si="2"/>
        <v>1</v>
      </c>
      <c r="I11" s="283" t="str">
        <f t="shared" ref="I11:I18" ca="1" si="6">IF(OR(TRIM(AE11)="-",TRIM(AE11)="")," ",AE11)</f>
        <v>TOP - ORLOVÁ - Bačo David</v>
      </c>
      <c r="L11" s="283"/>
      <c r="M11" s="276"/>
      <c r="N11" s="283"/>
      <c r="O11" s="276"/>
      <c r="P11" s="283"/>
      <c r="Q11" s="276"/>
      <c r="S11" s="283"/>
      <c r="T11" s="276"/>
      <c r="W11" s="283"/>
      <c r="X11" s="276"/>
      <c r="Y11" s="283"/>
      <c r="Z11" s="276"/>
      <c r="AA11" s="283"/>
      <c r="AB11" s="276"/>
      <c r="AC11" s="283"/>
      <c r="AE11" s="283" t="str">
        <f ca="1">VLOOKUP($A11,'Dohrávka_9-16'!$O$10:$P$35,2,0)</f>
        <v>TOP - ORLOVÁ - Bačo David</v>
      </c>
      <c r="AF11" s="276"/>
      <c r="AI11" s="283"/>
      <c r="AJ11" s="276"/>
      <c r="AK11" s="283"/>
      <c r="AL11" s="276"/>
      <c r="AM11" s="283"/>
      <c r="AN11" s="276"/>
      <c r="AO11" s="283"/>
      <c r="AP11" s="276"/>
      <c r="AQ11" s="283"/>
      <c r="AR11" s="276"/>
      <c r="AT11" s="283" t="str">
        <f ca="1">VLOOKUP($A11,'KO32'!$G$6:$H$63,2,0)</f>
        <v>SOKOL Staříč - Šimíček Ladislav</v>
      </c>
      <c r="AU11" s="276">
        <f>VLOOKUP($A11,'KO32'!$G$6:$I$63,3,0)</f>
        <v>0</v>
      </c>
      <c r="AV11" s="283"/>
      <c r="AW11" s="276"/>
      <c r="AX11" s="283"/>
      <c r="AY11" s="276"/>
      <c r="AZ11" s="283"/>
      <c r="BA11" s="276"/>
      <c r="BB11" s="283"/>
      <c r="BC11" s="276"/>
      <c r="BD11" s="283"/>
      <c r="BE11" s="276"/>
      <c r="BG11" s="283" t="str">
        <f ca="1">VLOOKUP($A11,'KO64'!$G$6:$H$127,2,0)</f>
        <v>SOKOL Staříč - Šimíček Ladislav</v>
      </c>
      <c r="BH11" s="276">
        <f>VLOOKUP($A11,'KO64'!$G$6:$I$127,3,0)</f>
        <v>0</v>
      </c>
      <c r="BI11" s="283" t="str">
        <f ca="1">VLOOKUP($A11,'KO64'!$K$10:$L$123,2,0)</f>
        <v>SOKOL Staříč - Šimíček Ladislav</v>
      </c>
      <c r="BJ11" s="276">
        <f>VLOOKUP($A11,'KO64'!$K$10:$M$123,3,0)</f>
        <v>0</v>
      </c>
      <c r="BK11" s="283"/>
      <c r="BL11" s="276"/>
      <c r="BM11" s="283"/>
      <c r="BN11" s="276"/>
      <c r="BO11" s="283"/>
      <c r="BP11" s="276"/>
      <c r="BQ11" s="283"/>
      <c r="BR11" s="283"/>
      <c r="BS11" s="276"/>
    </row>
    <row r="12" spans="1:71" ht="12" customHeight="1">
      <c r="A12" s="160">
        <f t="shared" si="0"/>
        <v>9</v>
      </c>
      <c r="B12" s="281" t="str">
        <f t="shared" ca="1" si="1"/>
        <v>Orel Řečkovice - Olbort Tomáš</v>
      </c>
      <c r="C12" s="282" t="str">
        <f>IF(E12&gt;$G$2,"",Nasazení!B12)</f>
        <v>G2</v>
      </c>
      <c r="D12" s="281" t="str">
        <f ca="1">IF(TYPE(VLOOKUP(C12,Výsledky_skupin!$A$3:$B$130,2,0))&gt;4," -",VLOOKUP(C12,Výsledky_skupin!$A$3:$B$130,2,0))</f>
        <v>Orel Řečkovice - Olbort Tomáš</v>
      </c>
      <c r="E12" s="160">
        <v>10</v>
      </c>
      <c r="F12" s="6">
        <f t="shared" si="2"/>
        <v>-1</v>
      </c>
      <c r="I12" s="283" t="str">
        <f t="shared" ca="1" si="6"/>
        <v>SKP Kulová osma - Krejčín Leoš</v>
      </c>
      <c r="L12" s="283"/>
      <c r="M12" s="276"/>
      <c r="N12" s="283"/>
      <c r="O12" s="276"/>
      <c r="P12" s="283"/>
      <c r="Q12" s="276"/>
      <c r="S12" s="283"/>
      <c r="T12" s="276"/>
      <c r="W12" s="283"/>
      <c r="X12" s="276"/>
      <c r="Y12" s="283"/>
      <c r="Z12" s="276"/>
      <c r="AA12" s="283"/>
      <c r="AB12" s="276"/>
      <c r="AC12" s="283"/>
      <c r="AE12" s="283" t="str">
        <f ca="1">VLOOKUP($A12,'Dohrávka_9-16'!$O$10:$P$35,2,0)</f>
        <v>SKP Kulová osma - Krejčín Leoš</v>
      </c>
      <c r="AF12" s="276"/>
      <c r="AI12" s="283"/>
      <c r="AJ12" s="276"/>
      <c r="AK12" s="283"/>
      <c r="AL12" s="276"/>
      <c r="AM12" s="283"/>
      <c r="AN12" s="276"/>
      <c r="AO12" s="283"/>
      <c r="AP12" s="276"/>
      <c r="AQ12" s="283"/>
      <c r="AR12" s="276"/>
      <c r="AT12" s="283" t="str">
        <f ca="1">VLOOKUP($A12,'KO32'!$G$6:$H$63,2,0)</f>
        <v>Orel Řečkovice - Olbort Tomáš</v>
      </c>
      <c r="AU12" s="276">
        <f>VLOOKUP($A12,'KO32'!$G$6:$I$63,3,0)</f>
        <v>0</v>
      </c>
      <c r="AV12" s="283"/>
      <c r="AW12" s="276"/>
      <c r="AX12" s="283"/>
      <c r="AY12" s="276"/>
      <c r="AZ12" s="283"/>
      <c r="BA12" s="276"/>
      <c r="BB12" s="283"/>
      <c r="BC12" s="276"/>
      <c r="BD12" s="283"/>
      <c r="BE12" s="276"/>
      <c r="BG12" s="283" t="str">
        <f ca="1">VLOOKUP($A12,'KO64'!$G$6:$H$127,2,0)</f>
        <v>Orel Řečkovice - Olbort Tomáš</v>
      </c>
      <c r="BH12" s="276">
        <f>VLOOKUP($A12,'KO64'!$G$6:$I$127,3,0)</f>
        <v>0</v>
      </c>
      <c r="BI12" s="283" t="str">
        <f ca="1">VLOOKUP($A12,'KO64'!$K$10:$L$123,2,0)</f>
        <v>Orel Řečkovice - Olbort Tomáš</v>
      </c>
      <c r="BJ12" s="276">
        <f>VLOOKUP($A12,'KO64'!$K$10:$M$123,3,0)</f>
        <v>0</v>
      </c>
      <c r="BK12" s="283"/>
      <c r="BL12" s="276"/>
      <c r="BM12" s="283"/>
      <c r="BN12" s="276"/>
      <c r="BO12" s="283"/>
      <c r="BP12" s="276"/>
      <c r="BQ12" s="283"/>
      <c r="BR12" s="283"/>
      <c r="BS12" s="276"/>
    </row>
    <row r="13" spans="1:71" ht="12" customHeight="1">
      <c r="A13" s="160">
        <f t="shared" si="0"/>
        <v>12</v>
      </c>
      <c r="B13" s="281" t="str">
        <f t="shared" ca="1" si="1"/>
        <v>SKP Hranice VI-Valšovice - Jakeš Zbyněk</v>
      </c>
      <c r="C13" s="282" t="str">
        <f>IF(E13&gt;$G$2,"",Nasazení!B13)</f>
        <v>F2</v>
      </c>
      <c r="D13" s="281" t="str">
        <f ca="1">IF(TYPE(VLOOKUP(C13,Výsledky_skupin!$A$3:$B$130,2,0))&gt;4," -",VLOOKUP(C13,Výsledky_skupin!$A$3:$B$130,2,0))</f>
        <v>SKP Hranice VI-Valšovice - Jakeš Zbyněk</v>
      </c>
      <c r="E13" s="160">
        <v>11</v>
      </c>
      <c r="F13" s="6">
        <f t="shared" si="2"/>
        <v>1</v>
      </c>
      <c r="I13" s="283" t="str">
        <f t="shared" ca="1" si="6"/>
        <v>UBU Únětice - Kot Pavel</v>
      </c>
      <c r="L13" s="283"/>
      <c r="M13" s="276"/>
      <c r="N13" s="283"/>
      <c r="O13" s="276"/>
      <c r="P13" s="283"/>
      <c r="Q13" s="276"/>
      <c r="S13" s="283"/>
      <c r="T13" s="276"/>
      <c r="W13" s="283"/>
      <c r="X13" s="276"/>
      <c r="Y13" s="283"/>
      <c r="Z13" s="276"/>
      <c r="AA13" s="283"/>
      <c r="AB13" s="276"/>
      <c r="AC13" s="283"/>
      <c r="AE13" s="283" t="str">
        <f ca="1">VLOOKUP($A13,'Dohrávka_9-16'!$O$10:$P$35,2,0)</f>
        <v>UBU Únětice - Kot Pavel</v>
      </c>
      <c r="AF13" s="276"/>
      <c r="AI13" s="283"/>
      <c r="AJ13" s="276"/>
      <c r="AK13" s="283"/>
      <c r="AL13" s="276"/>
      <c r="AM13" s="283"/>
      <c r="AN13" s="276"/>
      <c r="AO13" s="283"/>
      <c r="AP13" s="276"/>
      <c r="AQ13" s="283"/>
      <c r="AR13" s="276"/>
      <c r="AT13" s="283" t="str">
        <f ca="1">VLOOKUP($A13,'KO32'!$G$6:$H$63,2,0)</f>
        <v>SKP Hranice VI-Valšovice - Jakeš Zbyněk</v>
      </c>
      <c r="AU13" s="276">
        <f>VLOOKUP($A13,'KO32'!$G$6:$I$63,3,0)</f>
        <v>0</v>
      </c>
      <c r="AV13" s="283"/>
      <c r="AW13" s="276"/>
      <c r="AX13" s="283"/>
      <c r="AY13" s="276"/>
      <c r="AZ13" s="283"/>
      <c r="BA13" s="276"/>
      <c r="BB13" s="283"/>
      <c r="BC13" s="276"/>
      <c r="BD13" s="283"/>
      <c r="BE13" s="276"/>
      <c r="BG13" s="283" t="str">
        <f ca="1">VLOOKUP($A13,'KO64'!$G$6:$H$127,2,0)</f>
        <v>SKP Hranice VI-Valšovice - Jakeš Zbyněk</v>
      </c>
      <c r="BH13" s="276">
        <f>VLOOKUP($A13,'KO64'!$G$6:$I$127,3,0)</f>
        <v>0</v>
      </c>
      <c r="BI13" s="283" t="str">
        <f ca="1">VLOOKUP($A13,'KO64'!$K$10:$L$123,2,0)</f>
        <v>SKP Hranice VI-Valšovice - Jakeš Zbyněk</v>
      </c>
      <c r="BJ13" s="276">
        <f>VLOOKUP($A13,'KO64'!$K$10:$M$123,3,0)</f>
        <v>0</v>
      </c>
      <c r="BK13" s="283"/>
      <c r="BL13" s="276"/>
      <c r="BM13" s="283"/>
      <c r="BN13" s="276"/>
      <c r="BO13" s="283"/>
      <c r="BP13" s="276"/>
      <c r="BQ13" s="283"/>
      <c r="BR13" s="283"/>
      <c r="BS13" s="276"/>
    </row>
    <row r="14" spans="1:71" ht="12" customHeight="1">
      <c r="A14" s="160">
        <f t="shared" si="0"/>
        <v>11</v>
      </c>
      <c r="B14" s="281" t="str">
        <f t="shared" ca="1" si="1"/>
        <v>HRODE KRUMSÍN - Krpec Miroslav</v>
      </c>
      <c r="C14" s="282" t="str">
        <f>IF(E14&gt;$G$2,"",Nasazení!B14)</f>
        <v>E2</v>
      </c>
      <c r="D14" s="281" t="str">
        <f ca="1">IF(TYPE(VLOOKUP(C14,Výsledky_skupin!$A$3:$B$130,2,0))&gt;4," -",VLOOKUP(C14,Výsledky_skupin!$A$3:$B$130,2,0))</f>
        <v>HRODE KRUMSÍN - Krpec Miroslav</v>
      </c>
      <c r="E14" s="160">
        <v>12</v>
      </c>
      <c r="F14" s="6">
        <f t="shared" si="2"/>
        <v>-1</v>
      </c>
      <c r="I14" s="283" t="str">
        <f t="shared" ca="1" si="6"/>
        <v>1. Starobrněnský PK - Strouhalová Terezie</v>
      </c>
      <c r="L14" s="283"/>
      <c r="M14" s="276"/>
      <c r="N14" s="283"/>
      <c r="O14" s="276"/>
      <c r="P14" s="283"/>
      <c r="Q14" s="276"/>
      <c r="S14" s="283"/>
      <c r="T14" s="276"/>
      <c r="W14" s="283"/>
      <c r="X14" s="276"/>
      <c r="Y14" s="283"/>
      <c r="Z14" s="276"/>
      <c r="AA14" s="283"/>
      <c r="AB14" s="276"/>
      <c r="AC14" s="283"/>
      <c r="AE14" s="283" t="str">
        <f ca="1">VLOOKUP($A14,'Dohrávka_9-16'!$O$10:$P$35,2,0)</f>
        <v>1. Starobrněnský PK - Strouhalová Terezie</v>
      </c>
      <c r="AF14" s="276"/>
      <c r="AI14" s="283"/>
      <c r="AJ14" s="276"/>
      <c r="AK14" s="283"/>
      <c r="AL14" s="276"/>
      <c r="AM14" s="283"/>
      <c r="AN14" s="276"/>
      <c r="AO14" s="283"/>
      <c r="AP14" s="276"/>
      <c r="AQ14" s="283"/>
      <c r="AR14" s="276"/>
      <c r="AT14" s="283" t="str">
        <f ca="1">VLOOKUP($A14,'KO32'!$G$6:$H$63,2,0)</f>
        <v>HRODE KRUMSÍN - Krpec Miroslav</v>
      </c>
      <c r="AU14" s="276">
        <f>VLOOKUP($A14,'KO32'!$G$6:$I$63,3,0)</f>
        <v>0</v>
      </c>
      <c r="AV14" s="283"/>
      <c r="AW14" s="276"/>
      <c r="AX14" s="283"/>
      <c r="AY14" s="276"/>
      <c r="AZ14" s="283"/>
      <c r="BA14" s="276"/>
      <c r="BB14" s="283"/>
      <c r="BC14" s="276"/>
      <c r="BD14" s="283"/>
      <c r="BE14" s="276"/>
      <c r="BG14" s="283" t="str">
        <f ca="1">VLOOKUP($A14,'KO64'!$G$6:$H$127,2,0)</f>
        <v>HRODE KRUMSÍN - Krpec Miroslav</v>
      </c>
      <c r="BH14" s="276">
        <f>VLOOKUP($A14,'KO64'!$G$6:$I$127,3,0)</f>
        <v>0</v>
      </c>
      <c r="BI14" s="283" t="str">
        <f ca="1">VLOOKUP($A14,'KO64'!$K$10:$L$123,2,0)</f>
        <v>HRODE KRUMSÍN - Krpec Miroslav</v>
      </c>
      <c r="BJ14" s="276">
        <f>VLOOKUP($A14,'KO64'!$K$10:$M$123,3,0)</f>
        <v>0</v>
      </c>
      <c r="BK14" s="283"/>
      <c r="BL14" s="276"/>
      <c r="BM14" s="283"/>
      <c r="BN14" s="276"/>
      <c r="BO14" s="283"/>
      <c r="BP14" s="276"/>
      <c r="BQ14" s="283"/>
      <c r="BR14" s="283"/>
      <c r="BS14" s="276"/>
    </row>
    <row r="15" spans="1:71" ht="12" customHeight="1">
      <c r="A15" s="160">
        <f t="shared" si="0"/>
        <v>14</v>
      </c>
      <c r="B15" s="281" t="str">
        <f t="shared" ca="1" si="1"/>
        <v>PAK Albrechtice - Valík Václav</v>
      </c>
      <c r="C15" s="282" t="str">
        <f>IF(E15&gt;$G$2,"",Nasazení!B15)</f>
        <v>D2</v>
      </c>
      <c r="D15" s="281" t="str">
        <f ca="1">IF(TYPE(VLOOKUP(C15,Výsledky_skupin!$A$3:$B$130,2,0))&gt;4," -",VLOOKUP(C15,Výsledky_skupin!$A$3:$B$130,2,0))</f>
        <v>PAK Albrechtice - Valík Václav</v>
      </c>
      <c r="E15" s="160">
        <v>13</v>
      </c>
      <c r="F15" s="6">
        <f t="shared" si="2"/>
        <v>1</v>
      </c>
      <c r="I15" s="283" t="str">
        <f t="shared" ca="1" si="6"/>
        <v>Orel Řečkovice - Olbort Tomáš</v>
      </c>
      <c r="L15" s="283"/>
      <c r="M15" s="276"/>
      <c r="N15" s="283"/>
      <c r="O15" s="276"/>
      <c r="P15" s="283"/>
      <c r="Q15" s="276"/>
      <c r="S15" s="283"/>
      <c r="T15" s="276"/>
      <c r="W15" s="283"/>
      <c r="X15" s="276"/>
      <c r="Y15" s="283"/>
      <c r="Z15" s="276"/>
      <c r="AA15" s="283"/>
      <c r="AB15" s="276"/>
      <c r="AC15" s="283"/>
      <c r="AE15" s="283" t="str">
        <f ca="1">VLOOKUP($A15,'Dohrávka_9-16'!$O$10:$P$35,2,0)</f>
        <v>Orel Řečkovice - Olbort Tomáš</v>
      </c>
      <c r="AF15" s="276"/>
      <c r="AI15" s="283"/>
      <c r="AJ15" s="276"/>
      <c r="AK15" s="283"/>
      <c r="AL15" s="276"/>
      <c r="AM15" s="283"/>
      <c r="AN15" s="276"/>
      <c r="AO15" s="283"/>
      <c r="AP15" s="276"/>
      <c r="AQ15" s="283"/>
      <c r="AR15" s="276"/>
      <c r="AT15" s="283" t="str">
        <f ca="1">VLOOKUP($A15,'KO32'!$G$6:$H$63,2,0)</f>
        <v>PAK Albrechtice - Valík Václav</v>
      </c>
      <c r="AU15" s="276">
        <f>VLOOKUP($A15,'KO32'!$G$6:$I$63,3,0)</f>
        <v>0</v>
      </c>
      <c r="AV15" s="283"/>
      <c r="AW15" s="276"/>
      <c r="AX15" s="283"/>
      <c r="AY15" s="276"/>
      <c r="AZ15" s="283"/>
      <c r="BA15" s="276"/>
      <c r="BB15" s="283"/>
      <c r="BC15" s="276"/>
      <c r="BD15" s="283"/>
      <c r="BE15" s="276"/>
      <c r="BG15" s="283" t="str">
        <f ca="1">VLOOKUP($A15,'KO64'!$G$6:$H$127,2,0)</f>
        <v>PAK Albrechtice - Valík Václav</v>
      </c>
      <c r="BH15" s="276">
        <f>VLOOKUP($A15,'KO64'!$G$6:$I$127,3,0)</f>
        <v>0</v>
      </c>
      <c r="BI15" s="283" t="str">
        <f ca="1">VLOOKUP($A15,'KO64'!$K$10:$L$123,2,0)</f>
        <v>PAK Albrechtice - Valík Václav</v>
      </c>
      <c r="BJ15" s="276">
        <f>VLOOKUP($A15,'KO64'!$K$10:$M$123,3,0)</f>
        <v>0</v>
      </c>
      <c r="BK15" s="283"/>
      <c r="BL15" s="276"/>
      <c r="BM15" s="283"/>
      <c r="BN15" s="276"/>
      <c r="BO15" s="283"/>
      <c r="BP15" s="276"/>
      <c r="BQ15" s="283"/>
      <c r="BR15" s="283"/>
      <c r="BS15" s="276"/>
    </row>
    <row r="16" spans="1:71" ht="12" customHeight="1">
      <c r="A16" s="160">
        <f t="shared" si="0"/>
        <v>13</v>
      </c>
      <c r="B16" s="281" t="str">
        <f t="shared" ca="1" si="1"/>
        <v>Kulový blesk Olomouc - Hildenbrand Benjamin</v>
      </c>
      <c r="C16" s="282" t="str">
        <f>IF(E16&gt;$G$2,"",Nasazení!B16)</f>
        <v>C2</v>
      </c>
      <c r="D16" s="281" t="str">
        <f ca="1">IF(TYPE(VLOOKUP(C16,Výsledky_skupin!$A$3:$B$130,2,0))&gt;4," -",VLOOKUP(C16,Výsledky_skupin!$A$3:$B$130,2,0))</f>
        <v>Kulový blesk Olomouc - Hildenbrand Benjamin</v>
      </c>
      <c r="E16" s="160">
        <v>14</v>
      </c>
      <c r="F16" s="6">
        <f t="shared" si="2"/>
        <v>-1</v>
      </c>
      <c r="I16" s="283" t="str">
        <f t="shared" ca="1" si="6"/>
        <v>SOKOL Staříč - Šimíček Ladislav</v>
      </c>
      <c r="L16" s="283"/>
      <c r="M16" s="276"/>
      <c r="N16" s="283"/>
      <c r="O16" s="276"/>
      <c r="P16" s="283"/>
      <c r="Q16" s="276"/>
      <c r="S16" s="283"/>
      <c r="T16" s="276"/>
      <c r="W16" s="283"/>
      <c r="X16" s="276"/>
      <c r="Y16" s="283"/>
      <c r="Z16" s="276"/>
      <c r="AA16" s="283"/>
      <c r="AB16" s="276"/>
      <c r="AC16" s="283"/>
      <c r="AE16" s="283" t="str">
        <f ca="1">VLOOKUP($A16,'Dohrávka_9-16'!$O$10:$P$35,2,0)</f>
        <v>SOKOL Staříč - Šimíček Ladislav</v>
      </c>
      <c r="AF16" s="276"/>
      <c r="AI16" s="283"/>
      <c r="AJ16" s="276"/>
      <c r="AK16" s="283"/>
      <c r="AL16" s="276"/>
      <c r="AM16" s="283"/>
      <c r="AN16" s="276"/>
      <c r="AO16" s="283"/>
      <c r="AP16" s="276"/>
      <c r="AQ16" s="283"/>
      <c r="AR16" s="276"/>
      <c r="AT16" s="283" t="str">
        <f ca="1">VLOOKUP($A16,'KO32'!$G$6:$H$63,2,0)</f>
        <v>Kulový blesk Olomouc - Hildenbrand Benjamin</v>
      </c>
      <c r="AU16" s="276">
        <f>VLOOKUP($A16,'KO32'!$G$6:$I$63,3,0)</f>
        <v>0</v>
      </c>
      <c r="AV16" s="283"/>
      <c r="AW16" s="276"/>
      <c r="AX16" s="283"/>
      <c r="AY16" s="276"/>
      <c r="AZ16" s="283"/>
      <c r="BA16" s="276"/>
      <c r="BB16" s="283"/>
      <c r="BC16" s="276"/>
      <c r="BD16" s="283"/>
      <c r="BE16" s="276"/>
      <c r="BG16" s="283" t="str">
        <f ca="1">VLOOKUP($A16,'KO64'!$G$6:$H$127,2,0)</f>
        <v>Kulový blesk Olomouc - Hildenbrand Benjamin</v>
      </c>
      <c r="BH16" s="276">
        <f>VLOOKUP($A16,'KO64'!$G$6:$I$127,3,0)</f>
        <v>0</v>
      </c>
      <c r="BI16" s="283" t="str">
        <f ca="1">VLOOKUP($A16,'KO64'!$K$10:$L$123,2,0)</f>
        <v>Kulový blesk Olomouc - Hildenbrand Benjamin</v>
      </c>
      <c r="BJ16" s="276">
        <f>VLOOKUP($A16,'KO64'!$K$10:$M$123,3,0)</f>
        <v>0</v>
      </c>
      <c r="BK16" s="283"/>
      <c r="BL16" s="276"/>
      <c r="BM16" s="283"/>
      <c r="BN16" s="276"/>
      <c r="BO16" s="283"/>
      <c r="BP16" s="276"/>
      <c r="BQ16" s="283"/>
      <c r="BR16" s="283"/>
      <c r="BS16" s="276"/>
    </row>
    <row r="17" spans="1:71" ht="12" customHeight="1">
      <c r="A17" s="160">
        <f t="shared" si="0"/>
        <v>16</v>
      </c>
      <c r="B17" s="281" t="str">
        <f t="shared" ca="1" si="1"/>
        <v>UBU Únětice - Kot Pavel</v>
      </c>
      <c r="C17" s="282" t="str">
        <f>IF(E17&gt;$G$2,"",Nasazení!B17)</f>
        <v>B2</v>
      </c>
      <c r="D17" s="281" t="str">
        <f ca="1">IF(TYPE(VLOOKUP(C17,Výsledky_skupin!$A$3:$B$130,2,0))&gt;4," -",VLOOKUP(C17,Výsledky_skupin!$A$3:$B$130,2,0))</f>
        <v>UBU Únětice - Kot Pavel</v>
      </c>
      <c r="E17" s="160">
        <v>15</v>
      </c>
      <c r="F17" s="6">
        <f t="shared" si="2"/>
        <v>1</v>
      </c>
      <c r="I17" s="283" t="str">
        <f t="shared" ca="1" si="6"/>
        <v>PAK Albrechtice - Valík Václav</v>
      </c>
      <c r="L17" s="283"/>
      <c r="M17" s="276"/>
      <c r="N17" s="283"/>
      <c r="O17" s="276"/>
      <c r="P17" s="283"/>
      <c r="Q17" s="276"/>
      <c r="S17" s="283"/>
      <c r="T17" s="276"/>
      <c r="W17" s="283"/>
      <c r="X17" s="276"/>
      <c r="Y17" s="283"/>
      <c r="Z17" s="276"/>
      <c r="AA17" s="283"/>
      <c r="AB17" s="276"/>
      <c r="AC17" s="283"/>
      <c r="AE17" s="283" t="str">
        <f ca="1">VLOOKUP($A17,'Dohrávka_9-16'!$O$10:$P$35,2,0)</f>
        <v>PAK Albrechtice - Valík Václav</v>
      </c>
      <c r="AF17" s="276"/>
      <c r="AI17" s="283"/>
      <c r="AJ17" s="276"/>
      <c r="AK17" s="283"/>
      <c r="AL17" s="276"/>
      <c r="AM17" s="283"/>
      <c r="AN17" s="276"/>
      <c r="AO17" s="283"/>
      <c r="AP17" s="276"/>
      <c r="AQ17" s="283"/>
      <c r="AR17" s="276"/>
      <c r="AT17" s="283" t="str">
        <f ca="1">VLOOKUP($A17,'KO32'!$G$6:$H$63,2,0)</f>
        <v>UBU Únětice - Kot Pavel</v>
      </c>
      <c r="AU17" s="276">
        <f>VLOOKUP($A17,'KO32'!$G$6:$I$63,3,0)</f>
        <v>0</v>
      </c>
      <c r="AV17" s="283"/>
      <c r="AW17" s="276"/>
      <c r="AX17" s="283"/>
      <c r="AY17" s="276"/>
      <c r="AZ17" s="283"/>
      <c r="BA17" s="276"/>
      <c r="BB17" s="283"/>
      <c r="BC17" s="276"/>
      <c r="BD17" s="283"/>
      <c r="BE17" s="276"/>
      <c r="BG17" s="283" t="str">
        <f ca="1">VLOOKUP($A17,'KO64'!$G$6:$H$127,2,0)</f>
        <v>UBU Únětice - Kot Pavel</v>
      </c>
      <c r="BH17" s="276">
        <f>VLOOKUP($A17,'KO64'!$G$6:$I$127,3,0)</f>
        <v>0</v>
      </c>
      <c r="BI17" s="283" t="str">
        <f ca="1">VLOOKUP($A17,'KO64'!$K$10:$L$123,2,0)</f>
        <v>UBU Únětice - Kot Pavel</v>
      </c>
      <c r="BJ17" s="276">
        <f>VLOOKUP($A17,'KO64'!$K$10:$M$123,3,0)</f>
        <v>0</v>
      </c>
      <c r="BK17" s="283"/>
      <c r="BL17" s="276"/>
      <c r="BM17" s="283"/>
      <c r="BN17" s="276"/>
      <c r="BO17" s="283"/>
      <c r="BP17" s="276"/>
      <c r="BQ17" s="283"/>
      <c r="BR17" s="283"/>
      <c r="BS17" s="276"/>
    </row>
    <row r="18" spans="1:71" ht="12" customHeight="1">
      <c r="A18" s="160">
        <f t="shared" si="0"/>
        <v>15</v>
      </c>
      <c r="B18" s="281" t="str">
        <f t="shared" ca="1" si="1"/>
        <v>1. Starobrněnský PK - Strouhalová Terezie</v>
      </c>
      <c r="C18" s="282" t="str">
        <f>IF(E18&gt;$G$2,"",Nasazení!B18)</f>
        <v>A2</v>
      </c>
      <c r="D18" s="281" t="str">
        <f ca="1">IF(TYPE(VLOOKUP(C18,Výsledky_skupin!$A$3:$B$130,2,0))&gt;4," -",VLOOKUP(C18,Výsledky_skupin!$A$3:$B$130,2,0))</f>
        <v>1. Starobrněnský PK - Strouhalová Terezie</v>
      </c>
      <c r="E18" s="160">
        <v>16</v>
      </c>
      <c r="F18" s="6">
        <f t="shared" si="2"/>
        <v>-1</v>
      </c>
      <c r="I18" s="283" t="str">
        <f t="shared" ca="1" si="6"/>
        <v>Kulový blesk Olomouc - Hildenbrand Benjamin</v>
      </c>
      <c r="L18" s="283"/>
      <c r="M18" s="276"/>
      <c r="N18" s="283"/>
      <c r="O18" s="276"/>
      <c r="P18" s="283"/>
      <c r="Q18" s="276"/>
      <c r="S18" s="283"/>
      <c r="T18" s="276"/>
      <c r="W18" s="283"/>
      <c r="X18" s="276"/>
      <c r="Y18" s="283"/>
      <c r="Z18" s="276"/>
      <c r="AA18" s="283"/>
      <c r="AB18" s="276"/>
      <c r="AC18" s="283"/>
      <c r="AE18" s="283" t="str">
        <f ca="1">VLOOKUP($A18,'Dohrávka_9-16'!$O$10:$P$35,2,0)</f>
        <v>Kulový blesk Olomouc - Hildenbrand Benjamin</v>
      </c>
      <c r="AF18" s="276"/>
      <c r="AI18" s="283"/>
      <c r="AJ18" s="276"/>
      <c r="AK18" s="283"/>
      <c r="AL18" s="276"/>
      <c r="AM18" s="283"/>
      <c r="AN18" s="276"/>
      <c r="AO18" s="283"/>
      <c r="AP18" s="276"/>
      <c r="AQ18" s="283"/>
      <c r="AR18" s="276"/>
      <c r="AT18" s="283" t="str">
        <f ca="1">VLOOKUP($A18,'KO32'!$G$6:$H$63,2,0)</f>
        <v>1. Starobrněnský PK - Strouhalová Terezie</v>
      </c>
      <c r="AU18" s="276">
        <f>VLOOKUP($A18,'KO32'!$G$6:$I$63,3,0)</f>
        <v>0</v>
      </c>
      <c r="AV18" s="283"/>
      <c r="AW18" s="276"/>
      <c r="AX18" s="283"/>
      <c r="AY18" s="276"/>
      <c r="AZ18" s="283"/>
      <c r="BA18" s="276"/>
      <c r="BB18" s="283"/>
      <c r="BC18" s="276"/>
      <c r="BD18" s="283"/>
      <c r="BE18" s="276"/>
      <c r="BG18" s="283" t="str">
        <f ca="1">VLOOKUP($A18,'KO64'!$G$6:$H$127,2,0)</f>
        <v>1. Starobrněnský PK - Strouhalová Terezie</v>
      </c>
      <c r="BH18" s="276">
        <f>VLOOKUP($A18,'KO64'!$G$6:$I$127,3,0)</f>
        <v>0</v>
      </c>
      <c r="BI18" s="283" t="str">
        <f ca="1">VLOOKUP($A18,'KO64'!$K$10:$L$123,2,0)</f>
        <v>1. Starobrněnský PK - Strouhalová Terezie</v>
      </c>
      <c r="BJ18" s="276">
        <f>VLOOKUP($A18,'KO64'!$K$10:$M$123,3,0)</f>
        <v>0</v>
      </c>
      <c r="BK18" s="283"/>
      <c r="BL18" s="276"/>
      <c r="BM18" s="283"/>
      <c r="BN18" s="276"/>
      <c r="BO18" s="283"/>
      <c r="BP18" s="276"/>
      <c r="BQ18" s="283"/>
      <c r="BR18" s="283"/>
      <c r="BS18" s="276"/>
    </row>
    <row r="19" spans="1:71" ht="12" customHeight="1">
      <c r="A19" s="160">
        <f t="shared" si="0"/>
        <v>18</v>
      </c>
      <c r="B19" s="281" t="str">
        <f t="shared" si="1"/>
        <v xml:space="preserve"> - </v>
      </c>
      <c r="C19" s="282" t="str">
        <f>IF(E19&gt;$G$2,"",Nasazení!B19)</f>
        <v/>
      </c>
      <c r="D19" s="281" t="str">
        <f ca="1">IF(TYPE(VLOOKUP(C19,Výsledky_skupin!$A$3:$B$130,2,0))&gt;4," -",VLOOKUP(C19,Výsledky_skupin!$A$3:$B$130,2,0))</f>
        <v/>
      </c>
      <c r="E19" s="160">
        <v>17</v>
      </c>
      <c r="F19" s="6">
        <f t="shared" si="2"/>
        <v>1</v>
      </c>
      <c r="L19" s="283"/>
      <c r="M19" s="276"/>
      <c r="N19" s="283"/>
      <c r="O19" s="276"/>
      <c r="P19" s="283"/>
      <c r="Q19" s="276"/>
      <c r="S19" s="283"/>
      <c r="T19" s="276"/>
      <c r="W19" s="283"/>
      <c r="X19" s="276"/>
      <c r="Y19" s="283"/>
      <c r="Z19" s="276"/>
      <c r="AA19" s="283"/>
      <c r="AB19" s="276"/>
      <c r="AC19" s="283"/>
      <c r="AE19" s="283"/>
      <c r="AF19" s="276"/>
      <c r="AI19" s="283"/>
      <c r="AJ19" s="276"/>
      <c r="AK19" s="283"/>
      <c r="AL19" s="276"/>
      <c r="AM19" s="283"/>
      <c r="AN19" s="276"/>
      <c r="AO19" s="283"/>
      <c r="AP19" s="276"/>
      <c r="AQ19" s="283"/>
      <c r="AR19" s="276"/>
      <c r="AT19" s="283"/>
      <c r="AU19" s="276"/>
      <c r="AV19" s="283"/>
      <c r="AW19" s="276"/>
      <c r="AX19" s="283"/>
      <c r="AY19" s="276"/>
      <c r="AZ19" s="283"/>
      <c r="BA19" s="276"/>
      <c r="BB19" s="283"/>
      <c r="BC19" s="276"/>
      <c r="BD19" s="283"/>
      <c r="BE19" s="276"/>
      <c r="BG19" s="283" t="str">
        <f>VLOOKUP($A19,'KO64'!$G$6:$H$127,2,0)</f>
        <v xml:space="preserve"> - </v>
      </c>
      <c r="BH19" s="276">
        <f>VLOOKUP($A19,'KO64'!$G$6:$I$127,3,0)</f>
        <v>0</v>
      </c>
      <c r="BI19" s="283"/>
      <c r="BJ19" s="276"/>
      <c r="BK19" s="283"/>
      <c r="BL19" s="276"/>
      <c r="BM19" s="283"/>
      <c r="BN19" s="276"/>
      <c r="BO19" s="283"/>
      <c r="BP19" s="276"/>
      <c r="BQ19" s="283"/>
      <c r="BR19" s="283"/>
      <c r="BS19" s="276"/>
    </row>
    <row r="20" spans="1:71" ht="12" customHeight="1">
      <c r="A20" s="160">
        <f t="shared" si="0"/>
        <v>17</v>
      </c>
      <c r="B20" s="281" t="str">
        <f t="shared" si="1"/>
        <v xml:space="preserve"> - </v>
      </c>
      <c r="C20" s="282" t="str">
        <f>IF(E20&gt;$G$2,"",Nasazení!B20)</f>
        <v/>
      </c>
      <c r="D20" s="281" t="str">
        <f ca="1">IF(TYPE(VLOOKUP(C20,Výsledky_skupin!$A$3:$B$130,2,0))&gt;4," -",VLOOKUP(C20,Výsledky_skupin!$A$3:$B$130,2,0))</f>
        <v/>
      </c>
      <c r="E20" s="160">
        <v>18</v>
      </c>
      <c r="F20" s="6">
        <f t="shared" si="2"/>
        <v>-1</v>
      </c>
      <c r="L20" s="283"/>
      <c r="M20" s="276"/>
      <c r="N20" s="283"/>
      <c r="O20" s="276"/>
      <c r="P20" s="283"/>
      <c r="Q20" s="276"/>
      <c r="S20" s="283"/>
      <c r="T20" s="276"/>
      <c r="W20" s="283"/>
      <c r="X20" s="276"/>
      <c r="Y20" s="283"/>
      <c r="Z20" s="276"/>
      <c r="AA20" s="283"/>
      <c r="AB20" s="276"/>
      <c r="AC20" s="283"/>
      <c r="AE20" s="283"/>
      <c r="AF20" s="276"/>
      <c r="AI20" s="283"/>
      <c r="AJ20" s="276"/>
      <c r="AK20" s="283"/>
      <c r="AL20" s="276"/>
      <c r="AM20" s="283"/>
      <c r="AN20" s="276"/>
      <c r="AO20" s="283"/>
      <c r="AP20" s="276"/>
      <c r="AQ20" s="283"/>
      <c r="AR20" s="276"/>
      <c r="AT20" s="283"/>
      <c r="AU20" s="276"/>
      <c r="AV20" s="283"/>
      <c r="AW20" s="276"/>
      <c r="AX20" s="283"/>
      <c r="AY20" s="276"/>
      <c r="AZ20" s="283"/>
      <c r="BA20" s="276"/>
      <c r="BB20" s="283"/>
      <c r="BC20" s="276"/>
      <c r="BD20" s="283"/>
      <c r="BE20" s="276"/>
      <c r="BG20" s="283" t="str">
        <f>VLOOKUP($A20,'KO64'!$G$6:$H$127,2,0)</f>
        <v xml:space="preserve"> - </v>
      </c>
      <c r="BH20" s="276">
        <f>VLOOKUP($A20,'KO64'!$G$6:$I$127,3,0)</f>
        <v>0</v>
      </c>
      <c r="BI20" s="283"/>
      <c r="BJ20" s="276"/>
      <c r="BK20" s="283"/>
      <c r="BL20" s="276"/>
      <c r="BM20" s="283"/>
      <c r="BN20" s="276"/>
      <c r="BO20" s="283"/>
      <c r="BP20" s="276"/>
      <c r="BQ20" s="283"/>
      <c r="BR20" s="283"/>
      <c r="BS20" s="276"/>
    </row>
    <row r="21" spans="1:71" ht="12" customHeight="1">
      <c r="A21" s="160">
        <f t="shared" si="0"/>
        <v>20</v>
      </c>
      <c r="B21" s="281" t="str">
        <f t="shared" si="1"/>
        <v xml:space="preserve"> - </v>
      </c>
      <c r="C21" s="282" t="str">
        <f>IF(E21&gt;$G$2,"",Nasazení!B21)</f>
        <v/>
      </c>
      <c r="D21" s="281" t="str">
        <f ca="1">IF(TYPE(VLOOKUP(C21,Výsledky_skupin!$A$3:$B$130,2,0))&gt;4," -",VLOOKUP(C21,Výsledky_skupin!$A$3:$B$130,2,0))</f>
        <v/>
      </c>
      <c r="E21" s="160">
        <v>19</v>
      </c>
      <c r="F21" s="6">
        <f t="shared" si="2"/>
        <v>1</v>
      </c>
      <c r="L21" s="283"/>
      <c r="M21" s="276"/>
      <c r="N21" s="283"/>
      <c r="O21" s="276"/>
      <c r="P21" s="283"/>
      <c r="Q21" s="276"/>
      <c r="S21" s="283"/>
      <c r="T21" s="276"/>
      <c r="W21" s="283"/>
      <c r="X21" s="276"/>
      <c r="Y21" s="283"/>
      <c r="Z21" s="276"/>
      <c r="AA21" s="283"/>
      <c r="AB21" s="276"/>
      <c r="AC21" s="283"/>
      <c r="AE21" s="283"/>
      <c r="AF21" s="276"/>
      <c r="AI21" s="283"/>
      <c r="AJ21" s="276"/>
      <c r="AK21" s="283"/>
      <c r="AL21" s="276"/>
      <c r="AM21" s="283"/>
      <c r="AN21" s="276"/>
      <c r="AO21" s="283"/>
      <c r="AP21" s="276"/>
      <c r="AQ21" s="283"/>
      <c r="AR21" s="276"/>
      <c r="AT21" s="283"/>
      <c r="AU21" s="276"/>
      <c r="AV21" s="283"/>
      <c r="AW21" s="276"/>
      <c r="AX21" s="283"/>
      <c r="AY21" s="276"/>
      <c r="AZ21" s="283"/>
      <c r="BA21" s="276"/>
      <c r="BB21" s="283"/>
      <c r="BC21" s="276"/>
      <c r="BD21" s="283"/>
      <c r="BE21" s="276"/>
      <c r="BG21" s="283" t="str">
        <f>VLOOKUP($A21,'KO64'!$G$6:$H$127,2,0)</f>
        <v xml:space="preserve"> - </v>
      </c>
      <c r="BH21" s="276">
        <f>VLOOKUP($A21,'KO64'!$G$6:$I$127,3,0)</f>
        <v>0</v>
      </c>
      <c r="BI21" s="283"/>
      <c r="BJ21" s="276"/>
      <c r="BK21" s="283"/>
      <c r="BL21" s="276"/>
      <c r="BM21" s="283"/>
      <c r="BN21" s="276"/>
      <c r="BO21" s="283"/>
      <c r="BP21" s="276"/>
      <c r="BQ21" s="283"/>
      <c r="BR21" s="283"/>
      <c r="BS21" s="276"/>
    </row>
    <row r="22" spans="1:71" ht="12" customHeight="1">
      <c r="A22" s="160">
        <f t="shared" si="0"/>
        <v>19</v>
      </c>
      <c r="B22" s="281" t="str">
        <f t="shared" si="1"/>
        <v xml:space="preserve"> - </v>
      </c>
      <c r="C22" s="282" t="str">
        <f>IF(E22&gt;$G$2,"",Nasazení!B22)</f>
        <v/>
      </c>
      <c r="D22" s="281" t="str">
        <f ca="1">IF(TYPE(VLOOKUP(C22,Výsledky_skupin!$A$3:$B$130,2,0))&gt;4," -",VLOOKUP(C22,Výsledky_skupin!$A$3:$B$130,2,0))</f>
        <v/>
      </c>
      <c r="E22" s="160">
        <v>20</v>
      </c>
      <c r="F22" s="6">
        <f t="shared" si="2"/>
        <v>-1</v>
      </c>
      <c r="L22" s="283"/>
      <c r="M22" s="276"/>
      <c r="N22" s="283"/>
      <c r="O22" s="276"/>
      <c r="P22" s="283"/>
      <c r="Q22" s="276"/>
      <c r="S22" s="283"/>
      <c r="T22" s="276"/>
      <c r="W22" s="283"/>
      <c r="X22" s="276"/>
      <c r="Y22" s="283"/>
      <c r="Z22" s="276"/>
      <c r="AA22" s="283"/>
      <c r="AB22" s="276"/>
      <c r="AC22" s="283"/>
      <c r="AE22" s="283"/>
      <c r="AF22" s="276"/>
      <c r="AI22" s="283"/>
      <c r="AJ22" s="276"/>
      <c r="AK22" s="283"/>
      <c r="AL22" s="276"/>
      <c r="AM22" s="283"/>
      <c r="AN22" s="276"/>
      <c r="AO22" s="283"/>
      <c r="AP22" s="276"/>
      <c r="AQ22" s="283"/>
      <c r="AR22" s="276"/>
      <c r="AT22" s="283"/>
      <c r="AU22" s="276"/>
      <c r="AV22" s="283"/>
      <c r="AW22" s="276"/>
      <c r="AX22" s="283"/>
      <c r="AY22" s="276"/>
      <c r="AZ22" s="283"/>
      <c r="BA22" s="276"/>
      <c r="BB22" s="283"/>
      <c r="BC22" s="276"/>
      <c r="BD22" s="283"/>
      <c r="BE22" s="276"/>
      <c r="BG22" s="283" t="str">
        <f>VLOOKUP($A22,'KO64'!$G$6:$H$127,2,0)</f>
        <v xml:space="preserve"> - </v>
      </c>
      <c r="BH22" s="276">
        <f>VLOOKUP($A22,'KO64'!$G$6:$I$127,3,0)</f>
        <v>0</v>
      </c>
      <c r="BI22" s="283"/>
      <c r="BJ22" s="276"/>
      <c r="BK22" s="283"/>
      <c r="BL22" s="276"/>
      <c r="BM22" s="283"/>
      <c r="BN22" s="276"/>
      <c r="BO22" s="283"/>
      <c r="BP22" s="276"/>
      <c r="BQ22" s="283"/>
      <c r="BR22" s="283"/>
      <c r="BS22" s="276"/>
    </row>
    <row r="23" spans="1:71" ht="12" customHeight="1">
      <c r="A23" s="160">
        <f t="shared" si="0"/>
        <v>22</v>
      </c>
      <c r="B23" s="281" t="str">
        <f t="shared" si="1"/>
        <v xml:space="preserve"> - </v>
      </c>
      <c r="C23" s="282" t="str">
        <f>IF(E23&gt;$G$2,"",Nasazení!B23)</f>
        <v/>
      </c>
      <c r="D23" s="281" t="str">
        <f ca="1">IF(TYPE(VLOOKUP(C23,Výsledky_skupin!$A$3:$B$130,2,0))&gt;4," -",VLOOKUP(C23,Výsledky_skupin!$A$3:$B$130,2,0))</f>
        <v/>
      </c>
      <c r="E23" s="160">
        <v>21</v>
      </c>
      <c r="F23" s="6">
        <f t="shared" si="2"/>
        <v>1</v>
      </c>
      <c r="L23" s="283"/>
      <c r="M23" s="276"/>
      <c r="N23" s="283"/>
      <c r="O23" s="276"/>
      <c r="P23" s="283"/>
      <c r="Q23" s="276"/>
      <c r="S23" s="283"/>
      <c r="T23" s="276"/>
      <c r="W23" s="283"/>
      <c r="X23" s="276"/>
      <c r="Y23" s="283"/>
      <c r="Z23" s="276"/>
      <c r="AA23" s="283"/>
      <c r="AB23" s="276"/>
      <c r="AC23" s="283"/>
      <c r="AE23" s="283"/>
      <c r="AF23" s="276"/>
      <c r="AI23" s="283"/>
      <c r="AJ23" s="276"/>
      <c r="AK23" s="283"/>
      <c r="AL23" s="276"/>
      <c r="AM23" s="283"/>
      <c r="AN23" s="276"/>
      <c r="AO23" s="283"/>
      <c r="AP23" s="276"/>
      <c r="AQ23" s="283"/>
      <c r="AR23" s="276"/>
      <c r="AT23" s="283"/>
      <c r="AU23" s="276"/>
      <c r="AV23" s="283"/>
      <c r="AW23" s="276"/>
      <c r="AX23" s="283"/>
      <c r="AY23" s="276"/>
      <c r="AZ23" s="283"/>
      <c r="BA23" s="276"/>
      <c r="BB23" s="283"/>
      <c r="BC23" s="276"/>
      <c r="BD23" s="283"/>
      <c r="BE23" s="276"/>
      <c r="BG23" s="283" t="str">
        <f>VLOOKUP($A23,'KO64'!$G$6:$H$127,2,0)</f>
        <v xml:space="preserve"> - </v>
      </c>
      <c r="BH23" s="276">
        <f>VLOOKUP($A23,'KO64'!$G$6:$I$127,3,0)</f>
        <v>0</v>
      </c>
      <c r="BI23" s="283"/>
      <c r="BJ23" s="276"/>
      <c r="BK23" s="283"/>
      <c r="BL23" s="276"/>
      <c r="BM23" s="283"/>
      <c r="BN23" s="276"/>
      <c r="BO23" s="283"/>
      <c r="BP23" s="276"/>
      <c r="BQ23" s="283"/>
      <c r="BR23" s="283"/>
      <c r="BS23" s="276"/>
    </row>
    <row r="24" spans="1:71" ht="12" customHeight="1">
      <c r="A24" s="160">
        <f t="shared" si="0"/>
        <v>21</v>
      </c>
      <c r="B24" s="281" t="str">
        <f t="shared" si="1"/>
        <v xml:space="preserve"> - </v>
      </c>
      <c r="C24" s="282" t="str">
        <f>IF(E24&gt;$G$2,"",Nasazení!B24)</f>
        <v/>
      </c>
      <c r="D24" s="281" t="str">
        <f ca="1">IF(TYPE(VLOOKUP(C24,Výsledky_skupin!$A$3:$B$130,2,0))&gt;4," -",VLOOKUP(C24,Výsledky_skupin!$A$3:$B$130,2,0))</f>
        <v/>
      </c>
      <c r="E24" s="160">
        <v>22</v>
      </c>
      <c r="F24" s="6">
        <f t="shared" si="2"/>
        <v>-1</v>
      </c>
      <c r="L24" s="283"/>
      <c r="M24" s="276"/>
      <c r="N24" s="283"/>
      <c r="O24" s="276"/>
      <c r="P24" s="283"/>
      <c r="Q24" s="276"/>
      <c r="S24" s="283"/>
      <c r="T24" s="276"/>
      <c r="W24" s="283"/>
      <c r="X24" s="276"/>
      <c r="Y24" s="283"/>
      <c r="Z24" s="276"/>
      <c r="AA24" s="283"/>
      <c r="AB24" s="276"/>
      <c r="AC24" s="283"/>
      <c r="AE24" s="283"/>
      <c r="AF24" s="276"/>
      <c r="AI24" s="283"/>
      <c r="AJ24" s="276"/>
      <c r="AK24" s="283"/>
      <c r="AL24" s="276"/>
      <c r="AM24" s="283"/>
      <c r="AN24" s="276"/>
      <c r="AO24" s="283"/>
      <c r="AP24" s="276"/>
      <c r="AQ24" s="283"/>
      <c r="AR24" s="276"/>
      <c r="AT24" s="283"/>
      <c r="AU24" s="276"/>
      <c r="AV24" s="283"/>
      <c r="AW24" s="276"/>
      <c r="AX24" s="283"/>
      <c r="AY24" s="276"/>
      <c r="AZ24" s="283"/>
      <c r="BA24" s="276"/>
      <c r="BB24" s="283"/>
      <c r="BC24" s="276"/>
      <c r="BD24" s="283"/>
      <c r="BE24" s="276"/>
      <c r="BG24" s="283" t="str">
        <f>VLOOKUP($A24,'KO64'!$G$6:$H$127,2,0)</f>
        <v xml:space="preserve"> - </v>
      </c>
      <c r="BH24" s="276">
        <f>VLOOKUP($A24,'KO64'!$G$6:$I$127,3,0)</f>
        <v>0</v>
      </c>
      <c r="BI24" s="283"/>
      <c r="BJ24" s="276"/>
      <c r="BK24" s="283"/>
      <c r="BL24" s="276"/>
      <c r="BM24" s="283"/>
      <c r="BN24" s="276"/>
      <c r="BO24" s="283"/>
      <c r="BP24" s="276"/>
      <c r="BQ24" s="283"/>
      <c r="BR24" s="283"/>
      <c r="BS24" s="276"/>
    </row>
    <row r="25" spans="1:71" ht="12" customHeight="1">
      <c r="A25" s="160">
        <f t="shared" si="0"/>
        <v>24</v>
      </c>
      <c r="B25" s="281" t="str">
        <f t="shared" si="1"/>
        <v xml:space="preserve"> - </v>
      </c>
      <c r="C25" s="282" t="str">
        <f>IF(E25&gt;$G$2,"",Nasazení!B25)</f>
        <v/>
      </c>
      <c r="D25" s="281" t="str">
        <f ca="1">IF(TYPE(VLOOKUP(C25,Výsledky_skupin!$A$3:$B$130,2,0))&gt;4," -",VLOOKUP(C25,Výsledky_skupin!$A$3:$B$130,2,0))</f>
        <v/>
      </c>
      <c r="E25" s="160">
        <v>23</v>
      </c>
      <c r="F25" s="6">
        <f t="shared" si="2"/>
        <v>1</v>
      </c>
      <c r="L25" s="283"/>
      <c r="M25" s="276"/>
      <c r="N25" s="283"/>
      <c r="O25" s="276"/>
      <c r="P25" s="283"/>
      <c r="Q25" s="276"/>
      <c r="S25" s="283"/>
      <c r="T25" s="276"/>
      <c r="W25" s="283"/>
      <c r="X25" s="276"/>
      <c r="Y25" s="283"/>
      <c r="Z25" s="276"/>
      <c r="AA25" s="283"/>
      <c r="AB25" s="276"/>
      <c r="AC25" s="283"/>
      <c r="AE25" s="283"/>
      <c r="AF25" s="276"/>
      <c r="AI25" s="283"/>
      <c r="AJ25" s="276"/>
      <c r="AK25" s="283"/>
      <c r="AL25" s="276"/>
      <c r="AM25" s="283"/>
      <c r="AN25" s="276"/>
      <c r="AO25" s="283"/>
      <c r="AP25" s="276"/>
      <c r="AQ25" s="283"/>
      <c r="AR25" s="276"/>
      <c r="AT25" s="283"/>
      <c r="AU25" s="276"/>
      <c r="AV25" s="283"/>
      <c r="AW25" s="276"/>
      <c r="AX25" s="283"/>
      <c r="AY25" s="276"/>
      <c r="AZ25" s="283"/>
      <c r="BA25" s="276"/>
      <c r="BB25" s="283"/>
      <c r="BC25" s="276"/>
      <c r="BD25" s="283"/>
      <c r="BE25" s="276"/>
      <c r="BG25" s="283" t="str">
        <f>VLOOKUP($A25,'KO64'!$G$6:$H$127,2,0)</f>
        <v xml:space="preserve"> - </v>
      </c>
      <c r="BH25" s="276">
        <f>VLOOKUP($A25,'KO64'!$G$6:$I$127,3,0)</f>
        <v>0</v>
      </c>
      <c r="BI25" s="283"/>
      <c r="BJ25" s="276"/>
      <c r="BK25" s="283"/>
      <c r="BL25" s="276"/>
      <c r="BM25" s="283"/>
      <c r="BN25" s="276"/>
      <c r="BO25" s="283"/>
      <c r="BP25" s="276"/>
      <c r="BQ25" s="283"/>
      <c r="BR25" s="283"/>
      <c r="BS25" s="276"/>
    </row>
    <row r="26" spans="1:71" ht="12" customHeight="1">
      <c r="A26" s="160">
        <f t="shared" si="0"/>
        <v>23</v>
      </c>
      <c r="B26" s="281" t="str">
        <f t="shared" si="1"/>
        <v xml:space="preserve"> - </v>
      </c>
      <c r="C26" s="282" t="str">
        <f>IF(E26&gt;$G$2,"",Nasazení!B26)</f>
        <v/>
      </c>
      <c r="D26" s="281" t="str">
        <f ca="1">IF(TYPE(VLOOKUP(C26,Výsledky_skupin!$A$3:$B$130,2,0))&gt;4," -",VLOOKUP(C26,Výsledky_skupin!$A$3:$B$130,2,0))</f>
        <v/>
      </c>
      <c r="E26" s="160">
        <v>24</v>
      </c>
      <c r="F26" s="6">
        <f t="shared" si="2"/>
        <v>-1</v>
      </c>
      <c r="L26" s="283"/>
      <c r="M26" s="276"/>
      <c r="N26" s="283"/>
      <c r="O26" s="276"/>
      <c r="P26" s="283"/>
      <c r="Q26" s="276"/>
      <c r="S26" s="283"/>
      <c r="T26" s="276"/>
      <c r="W26" s="283"/>
      <c r="X26" s="276"/>
      <c r="Y26" s="283"/>
      <c r="Z26" s="276"/>
      <c r="AA26" s="283"/>
      <c r="AB26" s="276"/>
      <c r="AC26" s="283"/>
      <c r="AE26" s="283"/>
      <c r="AF26" s="276"/>
      <c r="AI26" s="283"/>
      <c r="AJ26" s="276"/>
      <c r="AK26" s="283"/>
      <c r="AL26" s="276"/>
      <c r="AM26" s="283"/>
      <c r="AN26" s="276"/>
      <c r="AO26" s="283"/>
      <c r="AP26" s="276"/>
      <c r="AQ26" s="283"/>
      <c r="AR26" s="276"/>
      <c r="AT26" s="283"/>
      <c r="AU26" s="276"/>
      <c r="AV26" s="283"/>
      <c r="AW26" s="276"/>
      <c r="AX26" s="283"/>
      <c r="AY26" s="276"/>
      <c r="AZ26" s="283"/>
      <c r="BA26" s="276"/>
      <c r="BB26" s="283"/>
      <c r="BC26" s="276"/>
      <c r="BD26" s="283"/>
      <c r="BE26" s="276"/>
      <c r="BG26" s="283" t="str">
        <f>VLOOKUP($A26,'KO64'!$G$6:$H$127,2,0)</f>
        <v xml:space="preserve"> - </v>
      </c>
      <c r="BH26" s="276">
        <f>VLOOKUP($A26,'KO64'!$G$6:$I$127,3,0)</f>
        <v>0</v>
      </c>
      <c r="BI26" s="283"/>
      <c r="BJ26" s="276"/>
      <c r="BK26" s="283"/>
      <c r="BL26" s="276"/>
      <c r="BM26" s="283"/>
      <c r="BN26" s="276"/>
      <c r="BO26" s="283"/>
      <c r="BP26" s="276"/>
      <c r="BQ26" s="283"/>
      <c r="BR26" s="283"/>
      <c r="BS26" s="276"/>
    </row>
    <row r="27" spans="1:71" ht="12" customHeight="1">
      <c r="A27" s="160">
        <f t="shared" si="0"/>
        <v>26</v>
      </c>
      <c r="B27" s="281" t="str">
        <f t="shared" si="1"/>
        <v xml:space="preserve"> - </v>
      </c>
      <c r="C27" s="282" t="str">
        <f>IF(E27&gt;$G$2,"",Nasazení!B27)</f>
        <v/>
      </c>
      <c r="D27" s="281" t="str">
        <f ca="1">IF(TYPE(VLOOKUP(C27,Výsledky_skupin!$A$3:$B$130,2,0))&gt;4," -",VLOOKUP(C27,Výsledky_skupin!$A$3:$B$130,2,0))</f>
        <v/>
      </c>
      <c r="E27" s="160">
        <v>25</v>
      </c>
      <c r="F27" s="6">
        <f t="shared" si="2"/>
        <v>1</v>
      </c>
      <c r="L27" s="283"/>
      <c r="M27" s="276"/>
      <c r="N27" s="283"/>
      <c r="O27" s="276"/>
      <c r="P27" s="283"/>
      <c r="Q27" s="276"/>
      <c r="S27" s="283"/>
      <c r="T27" s="276"/>
      <c r="W27" s="283"/>
      <c r="X27" s="276"/>
      <c r="Y27" s="283"/>
      <c r="Z27" s="276"/>
      <c r="AA27" s="283"/>
      <c r="AB27" s="276"/>
      <c r="AC27" s="283"/>
      <c r="AE27" s="283"/>
      <c r="AF27" s="276"/>
      <c r="AI27" s="283"/>
      <c r="AJ27" s="276"/>
      <c r="AK27" s="283"/>
      <c r="AL27" s="276"/>
      <c r="AM27" s="283"/>
      <c r="AN27" s="276"/>
      <c r="AO27" s="283"/>
      <c r="AP27" s="276"/>
      <c r="AQ27" s="283"/>
      <c r="AR27" s="276"/>
      <c r="AT27" s="283"/>
      <c r="AU27" s="276"/>
      <c r="AV27" s="283"/>
      <c r="AW27" s="276"/>
      <c r="AX27" s="283"/>
      <c r="AY27" s="276"/>
      <c r="AZ27" s="283"/>
      <c r="BA27" s="276"/>
      <c r="BB27" s="283"/>
      <c r="BC27" s="276"/>
      <c r="BD27" s="283"/>
      <c r="BE27" s="276"/>
      <c r="BG27" s="283" t="str">
        <f>VLOOKUP($A27,'KO64'!$G$6:$H$127,2,0)</f>
        <v xml:space="preserve"> - </v>
      </c>
      <c r="BH27" s="276">
        <f>VLOOKUP($A27,'KO64'!$G$6:$I$127,3,0)</f>
        <v>0</v>
      </c>
      <c r="BI27" s="283"/>
      <c r="BJ27" s="276"/>
      <c r="BK27" s="283"/>
      <c r="BL27" s="276"/>
      <c r="BM27" s="283"/>
      <c r="BN27" s="276"/>
      <c r="BO27" s="283"/>
      <c r="BP27" s="276"/>
      <c r="BQ27" s="283"/>
      <c r="BR27" s="283"/>
      <c r="BS27" s="276"/>
    </row>
    <row r="28" spans="1:71" ht="12" customHeight="1">
      <c r="A28" s="160">
        <f t="shared" si="0"/>
        <v>25</v>
      </c>
      <c r="B28" s="281" t="str">
        <f t="shared" si="1"/>
        <v xml:space="preserve"> - </v>
      </c>
      <c r="C28" s="282" t="str">
        <f>IF(E28&gt;$G$2,"",Nasazení!B28)</f>
        <v/>
      </c>
      <c r="D28" s="281" t="str">
        <f ca="1">IF(TYPE(VLOOKUP(C28,Výsledky_skupin!$A$3:$B$130,2,0))&gt;4," -",VLOOKUP(C28,Výsledky_skupin!$A$3:$B$130,2,0))</f>
        <v/>
      </c>
      <c r="E28" s="160">
        <v>26</v>
      </c>
      <c r="F28" s="6">
        <f t="shared" si="2"/>
        <v>-1</v>
      </c>
      <c r="L28" s="283"/>
      <c r="M28" s="276"/>
      <c r="N28" s="283"/>
      <c r="O28" s="276"/>
      <c r="P28" s="283"/>
      <c r="Q28" s="276"/>
      <c r="S28" s="283"/>
      <c r="T28" s="276"/>
      <c r="W28" s="283"/>
      <c r="X28" s="276"/>
      <c r="Y28" s="283"/>
      <c r="Z28" s="276"/>
      <c r="AA28" s="283"/>
      <c r="AB28" s="276"/>
      <c r="AC28" s="283"/>
      <c r="AE28" s="283"/>
      <c r="AF28" s="276"/>
      <c r="AI28" s="283"/>
      <c r="AJ28" s="276"/>
      <c r="AK28" s="283"/>
      <c r="AL28" s="276"/>
      <c r="AM28" s="283"/>
      <c r="AN28" s="276"/>
      <c r="AO28" s="283"/>
      <c r="AP28" s="276"/>
      <c r="AQ28" s="283"/>
      <c r="AR28" s="276"/>
      <c r="AT28" s="283"/>
      <c r="AU28" s="276"/>
      <c r="AV28" s="283"/>
      <c r="AW28" s="276"/>
      <c r="AX28" s="283"/>
      <c r="AY28" s="276"/>
      <c r="AZ28" s="283"/>
      <c r="BA28" s="276"/>
      <c r="BB28" s="283"/>
      <c r="BC28" s="276"/>
      <c r="BD28" s="283"/>
      <c r="BE28" s="276"/>
      <c r="BG28" s="283" t="str">
        <f>VLOOKUP($A28,'KO64'!$G$6:$H$127,2,0)</f>
        <v xml:space="preserve"> - </v>
      </c>
      <c r="BH28" s="276">
        <f>VLOOKUP($A28,'KO64'!$G$6:$I$127,3,0)</f>
        <v>0</v>
      </c>
      <c r="BI28" s="283"/>
      <c r="BJ28" s="276"/>
      <c r="BK28" s="283"/>
      <c r="BL28" s="276"/>
      <c r="BM28" s="283"/>
      <c r="BN28" s="276"/>
      <c r="BO28" s="283"/>
      <c r="BP28" s="276"/>
      <c r="BQ28" s="283"/>
      <c r="BR28" s="283"/>
      <c r="BS28" s="276"/>
    </row>
    <row r="29" spans="1:71" ht="12" customHeight="1">
      <c r="A29" s="160">
        <f t="shared" si="0"/>
        <v>28</v>
      </c>
      <c r="B29" s="281" t="str">
        <f t="shared" si="1"/>
        <v xml:space="preserve"> - </v>
      </c>
      <c r="C29" s="282" t="str">
        <f>IF(E29&gt;$G$2,"",Nasazení!B29)</f>
        <v/>
      </c>
      <c r="D29" s="281" t="str">
        <f ca="1">IF(TYPE(VLOOKUP(C29,Výsledky_skupin!$A$3:$B$130,2,0))&gt;4," -",VLOOKUP(C29,Výsledky_skupin!$A$3:$B$130,2,0))</f>
        <v/>
      </c>
      <c r="E29" s="160">
        <v>27</v>
      </c>
      <c r="F29" s="6">
        <f t="shared" si="2"/>
        <v>1</v>
      </c>
      <c r="L29" s="283"/>
      <c r="M29" s="276"/>
      <c r="N29" s="283"/>
      <c r="O29" s="276"/>
      <c r="P29" s="283"/>
      <c r="Q29" s="276"/>
      <c r="S29" s="283"/>
      <c r="T29" s="276"/>
      <c r="W29" s="283"/>
      <c r="X29" s="276"/>
      <c r="Y29" s="283"/>
      <c r="Z29" s="276"/>
      <c r="AA29" s="283"/>
      <c r="AB29" s="276"/>
      <c r="AC29" s="283"/>
      <c r="AE29" s="283"/>
      <c r="AF29" s="276"/>
      <c r="AI29" s="283"/>
      <c r="AJ29" s="276"/>
      <c r="AK29" s="283"/>
      <c r="AL29" s="276"/>
      <c r="AM29" s="283"/>
      <c r="AN29" s="276"/>
      <c r="AO29" s="283"/>
      <c r="AP29" s="276"/>
      <c r="AQ29" s="283"/>
      <c r="AR29" s="276"/>
      <c r="AT29" s="283"/>
      <c r="AU29" s="276"/>
      <c r="AV29" s="283"/>
      <c r="AW29" s="276"/>
      <c r="AX29" s="283"/>
      <c r="AY29" s="276"/>
      <c r="AZ29" s="283"/>
      <c r="BA29" s="276"/>
      <c r="BB29" s="283"/>
      <c r="BC29" s="276"/>
      <c r="BD29" s="283"/>
      <c r="BE29" s="276"/>
      <c r="BG29" s="283" t="str">
        <f>VLOOKUP($A29,'KO64'!$G$6:$H$127,2,0)</f>
        <v xml:space="preserve"> - </v>
      </c>
      <c r="BH29" s="276">
        <f>VLOOKUP($A29,'KO64'!$G$6:$I$127,3,0)</f>
        <v>0</v>
      </c>
      <c r="BI29" s="283"/>
      <c r="BJ29" s="276"/>
      <c r="BK29" s="283"/>
      <c r="BL29" s="276"/>
      <c r="BM29" s="283"/>
      <c r="BN29" s="276"/>
      <c r="BO29" s="283"/>
      <c r="BP29" s="276"/>
      <c r="BQ29" s="283"/>
      <c r="BR29" s="283"/>
      <c r="BS29" s="276"/>
    </row>
    <row r="30" spans="1:71" ht="12" customHeight="1">
      <c r="A30" s="160">
        <f t="shared" si="0"/>
        <v>27</v>
      </c>
      <c r="B30" s="281" t="str">
        <f t="shared" si="1"/>
        <v xml:space="preserve"> - </v>
      </c>
      <c r="C30" s="282" t="str">
        <f>IF(E30&gt;$G$2,"",Nasazení!B30)</f>
        <v/>
      </c>
      <c r="D30" s="281" t="str">
        <f ca="1">IF(TYPE(VLOOKUP(C30,Výsledky_skupin!$A$3:$B$130,2,0))&gt;4," -",VLOOKUP(C30,Výsledky_skupin!$A$3:$B$130,2,0))</f>
        <v/>
      </c>
      <c r="E30" s="160">
        <v>28</v>
      </c>
      <c r="F30" s="6">
        <f t="shared" si="2"/>
        <v>-1</v>
      </c>
      <c r="L30" s="283"/>
      <c r="M30" s="276"/>
      <c r="N30" s="283"/>
      <c r="O30" s="276"/>
      <c r="P30" s="283"/>
      <c r="Q30" s="276"/>
      <c r="S30" s="283"/>
      <c r="T30" s="276"/>
      <c r="W30" s="283"/>
      <c r="X30" s="276"/>
      <c r="Y30" s="283"/>
      <c r="Z30" s="276"/>
      <c r="AA30" s="283"/>
      <c r="AB30" s="276"/>
      <c r="AC30" s="283"/>
      <c r="AE30" s="283"/>
      <c r="AF30" s="276"/>
      <c r="AI30" s="283"/>
      <c r="AJ30" s="276"/>
      <c r="AK30" s="283"/>
      <c r="AL30" s="276"/>
      <c r="AM30" s="283"/>
      <c r="AN30" s="276"/>
      <c r="AO30" s="283"/>
      <c r="AP30" s="276"/>
      <c r="AQ30" s="283"/>
      <c r="AR30" s="276"/>
      <c r="AT30" s="283"/>
      <c r="AU30" s="276"/>
      <c r="AV30" s="283"/>
      <c r="AW30" s="276"/>
      <c r="AX30" s="283"/>
      <c r="AY30" s="276"/>
      <c r="AZ30" s="283"/>
      <c r="BA30" s="276"/>
      <c r="BB30" s="283"/>
      <c r="BC30" s="276"/>
      <c r="BD30" s="283"/>
      <c r="BE30" s="276"/>
      <c r="BG30" s="283" t="str">
        <f>VLOOKUP($A30,'KO64'!$G$6:$H$127,2,0)</f>
        <v xml:space="preserve"> - </v>
      </c>
      <c r="BH30" s="276">
        <f>VLOOKUP($A30,'KO64'!$G$6:$I$127,3,0)</f>
        <v>0</v>
      </c>
      <c r="BI30" s="283"/>
      <c r="BJ30" s="276"/>
      <c r="BK30" s="283"/>
      <c r="BL30" s="276"/>
      <c r="BM30" s="283"/>
      <c r="BN30" s="276"/>
      <c r="BO30" s="283"/>
      <c r="BP30" s="276"/>
      <c r="BQ30" s="283"/>
      <c r="BR30" s="283"/>
      <c r="BS30" s="276"/>
    </row>
    <row r="31" spans="1:71" ht="12" customHeight="1">
      <c r="A31" s="160">
        <f t="shared" si="0"/>
        <v>30</v>
      </c>
      <c r="B31" s="281" t="str">
        <f t="shared" si="1"/>
        <v xml:space="preserve"> - </v>
      </c>
      <c r="C31" s="282" t="str">
        <f>IF(E31&gt;$G$2,"",Nasazení!B31)</f>
        <v/>
      </c>
      <c r="D31" s="281" t="str">
        <f ca="1">IF(TYPE(VLOOKUP(C31,Výsledky_skupin!$A$3:$B$130,2,0))&gt;4," -",VLOOKUP(C31,Výsledky_skupin!$A$3:$B$130,2,0))</f>
        <v/>
      </c>
      <c r="E31" s="160">
        <v>29</v>
      </c>
      <c r="F31" s="6">
        <f t="shared" si="2"/>
        <v>1</v>
      </c>
      <c r="L31" s="283"/>
      <c r="M31" s="276"/>
      <c r="N31" s="283"/>
      <c r="O31" s="276"/>
      <c r="P31" s="283"/>
      <c r="Q31" s="276"/>
      <c r="S31" s="283"/>
      <c r="T31" s="276"/>
      <c r="W31" s="283"/>
      <c r="X31" s="276"/>
      <c r="Y31" s="283"/>
      <c r="Z31" s="276"/>
      <c r="AA31" s="283"/>
      <c r="AB31" s="276"/>
      <c r="AC31" s="283"/>
      <c r="AE31" s="283"/>
      <c r="AF31" s="276"/>
      <c r="AI31" s="283"/>
      <c r="AJ31" s="276"/>
      <c r="AK31" s="283"/>
      <c r="AL31" s="276"/>
      <c r="AM31" s="283"/>
      <c r="AN31" s="276"/>
      <c r="AO31" s="283"/>
      <c r="AP31" s="276"/>
      <c r="AQ31" s="283"/>
      <c r="AR31" s="276"/>
      <c r="AT31" s="283"/>
      <c r="AU31" s="276"/>
      <c r="AV31" s="283"/>
      <c r="AW31" s="276"/>
      <c r="AX31" s="283"/>
      <c r="AY31" s="276"/>
      <c r="AZ31" s="283"/>
      <c r="BA31" s="276"/>
      <c r="BB31" s="283"/>
      <c r="BC31" s="276"/>
      <c r="BD31" s="283"/>
      <c r="BE31" s="276"/>
      <c r="BG31" s="283" t="str">
        <f>VLOOKUP($A31,'KO64'!$G$6:$H$127,2,0)</f>
        <v xml:space="preserve"> - </v>
      </c>
      <c r="BH31" s="276">
        <f>VLOOKUP($A31,'KO64'!$G$6:$I$127,3,0)</f>
        <v>0</v>
      </c>
      <c r="BI31" s="283"/>
      <c r="BJ31" s="276"/>
      <c r="BK31" s="283"/>
      <c r="BL31" s="276"/>
      <c r="BM31" s="283"/>
      <c r="BN31" s="276"/>
      <c r="BO31" s="283"/>
      <c r="BP31" s="276"/>
      <c r="BQ31" s="283"/>
      <c r="BR31" s="283"/>
      <c r="BS31" s="276"/>
    </row>
    <row r="32" spans="1:71" ht="12" customHeight="1">
      <c r="A32" s="160">
        <f t="shared" si="0"/>
        <v>29</v>
      </c>
      <c r="B32" s="281" t="str">
        <f t="shared" si="1"/>
        <v xml:space="preserve"> - </v>
      </c>
      <c r="C32" s="282" t="str">
        <f>IF(E32&gt;$G$2,"",Nasazení!B32)</f>
        <v/>
      </c>
      <c r="D32" s="281" t="str">
        <f ca="1">IF(TYPE(VLOOKUP(C32,Výsledky_skupin!$A$3:$B$130,2,0))&gt;4," -",VLOOKUP(C32,Výsledky_skupin!$A$3:$B$130,2,0))</f>
        <v/>
      </c>
      <c r="E32" s="160">
        <v>30</v>
      </c>
      <c r="F32" s="6">
        <f t="shared" si="2"/>
        <v>-1</v>
      </c>
      <c r="L32" s="283"/>
      <c r="M32" s="276"/>
      <c r="N32" s="283"/>
      <c r="O32" s="276"/>
      <c r="P32" s="283"/>
      <c r="Q32" s="276"/>
      <c r="S32" s="283"/>
      <c r="T32" s="276"/>
      <c r="W32" s="283"/>
      <c r="X32" s="276"/>
      <c r="Y32" s="283"/>
      <c r="Z32" s="276"/>
      <c r="AA32" s="283"/>
      <c r="AB32" s="276"/>
      <c r="AC32" s="283"/>
      <c r="AE32" s="283"/>
      <c r="AF32" s="276"/>
      <c r="AI32" s="283"/>
      <c r="AJ32" s="276"/>
      <c r="AK32" s="283"/>
      <c r="AL32" s="276"/>
      <c r="AM32" s="283"/>
      <c r="AN32" s="276"/>
      <c r="AO32" s="283"/>
      <c r="AP32" s="276"/>
      <c r="AQ32" s="283"/>
      <c r="AR32" s="276"/>
      <c r="AT32" s="283"/>
      <c r="AU32" s="276"/>
      <c r="AV32" s="283"/>
      <c r="AW32" s="276"/>
      <c r="AX32" s="283"/>
      <c r="AY32" s="276"/>
      <c r="AZ32" s="283"/>
      <c r="BA32" s="276"/>
      <c r="BB32" s="283"/>
      <c r="BC32" s="276"/>
      <c r="BD32" s="283"/>
      <c r="BE32" s="276"/>
      <c r="BG32" s="283" t="str">
        <f>VLOOKUP($A32,'KO64'!$G$6:$H$127,2,0)</f>
        <v xml:space="preserve"> - </v>
      </c>
      <c r="BH32" s="276">
        <f>VLOOKUP($A32,'KO64'!$G$6:$I$127,3,0)</f>
        <v>0</v>
      </c>
      <c r="BI32" s="283"/>
      <c r="BJ32" s="276"/>
      <c r="BK32" s="283"/>
      <c r="BL32" s="276"/>
      <c r="BM32" s="283"/>
      <c r="BN32" s="276"/>
      <c r="BO32" s="283"/>
      <c r="BP32" s="276"/>
      <c r="BQ32" s="283"/>
      <c r="BR32" s="283"/>
      <c r="BS32" s="276"/>
    </row>
    <row r="33" spans="1:71" ht="12" customHeight="1">
      <c r="A33" s="160">
        <f t="shared" si="0"/>
        <v>32</v>
      </c>
      <c r="B33" s="281" t="str">
        <f t="shared" si="1"/>
        <v xml:space="preserve"> - </v>
      </c>
      <c r="C33" s="282" t="str">
        <f>IF(E33&gt;$G$2,"",Nasazení!B33)</f>
        <v/>
      </c>
      <c r="D33" s="281" t="str">
        <f ca="1">IF(TYPE(VLOOKUP(C33,Výsledky_skupin!$A$3:$B$130,2,0))&gt;4," -",VLOOKUP(C33,Výsledky_skupin!$A$3:$B$130,2,0))</f>
        <v/>
      </c>
      <c r="E33" s="160">
        <v>31</v>
      </c>
      <c r="F33" s="6">
        <f t="shared" si="2"/>
        <v>1</v>
      </c>
      <c r="L33" s="283"/>
      <c r="M33" s="276"/>
      <c r="N33" s="283"/>
      <c r="O33" s="276"/>
      <c r="P33" s="283"/>
      <c r="Q33" s="276"/>
      <c r="S33" s="283"/>
      <c r="T33" s="276"/>
      <c r="W33" s="283"/>
      <c r="X33" s="276"/>
      <c r="Y33" s="283"/>
      <c r="Z33" s="276"/>
      <c r="AA33" s="283"/>
      <c r="AB33" s="276"/>
      <c r="AC33" s="283"/>
      <c r="AE33" s="283"/>
      <c r="AF33" s="276"/>
      <c r="AI33" s="283"/>
      <c r="AJ33" s="276"/>
      <c r="AK33" s="283"/>
      <c r="AL33" s="276"/>
      <c r="AM33" s="283"/>
      <c r="AN33" s="276"/>
      <c r="AO33" s="283"/>
      <c r="AP33" s="276"/>
      <c r="AQ33" s="283"/>
      <c r="AR33" s="276"/>
      <c r="AT33" s="283"/>
      <c r="AU33" s="276"/>
      <c r="AV33" s="283"/>
      <c r="AW33" s="276"/>
      <c r="AX33" s="283"/>
      <c r="AY33" s="276"/>
      <c r="AZ33" s="283"/>
      <c r="BA33" s="276"/>
      <c r="BB33" s="283"/>
      <c r="BC33" s="276"/>
      <c r="BD33" s="283"/>
      <c r="BE33" s="276"/>
      <c r="BG33" s="283" t="str">
        <f>VLOOKUP($A33,'KO64'!$G$6:$H$127,2,0)</f>
        <v xml:space="preserve"> - </v>
      </c>
      <c r="BH33" s="276">
        <f>VLOOKUP($A33,'KO64'!$G$6:$I$127,3,0)</f>
        <v>0</v>
      </c>
      <c r="BI33" s="283"/>
      <c r="BJ33" s="276"/>
      <c r="BK33" s="283"/>
      <c r="BL33" s="276"/>
      <c r="BM33" s="283"/>
      <c r="BN33" s="276"/>
      <c r="BO33" s="283"/>
      <c r="BP33" s="276"/>
      <c r="BQ33" s="283"/>
      <c r="BR33" s="283"/>
      <c r="BS33" s="276"/>
    </row>
    <row r="34" spans="1:71" ht="12" customHeight="1">
      <c r="A34" s="160">
        <f t="shared" si="0"/>
        <v>31</v>
      </c>
      <c r="B34" s="281" t="str">
        <f t="shared" si="1"/>
        <v xml:space="preserve"> - </v>
      </c>
      <c r="C34" s="282" t="str">
        <f>IF(E34&gt;$G$2,"",Nasazení!B34)</f>
        <v/>
      </c>
      <c r="D34" s="281" t="str">
        <f ca="1">IF(TYPE(VLOOKUP(C34,Výsledky_skupin!$A$3:$B$130,2,0))&gt;4," -",VLOOKUP(C34,Výsledky_skupin!$A$3:$B$130,2,0))</f>
        <v/>
      </c>
      <c r="E34" s="160">
        <v>32</v>
      </c>
      <c r="F34" s="6">
        <f t="shared" si="2"/>
        <v>-1</v>
      </c>
      <c r="L34" s="283"/>
      <c r="M34" s="276"/>
      <c r="N34" s="283"/>
      <c r="O34" s="276"/>
      <c r="P34" s="283"/>
      <c r="Q34" s="276"/>
      <c r="S34" s="283"/>
      <c r="T34" s="276"/>
      <c r="W34" s="283"/>
      <c r="X34" s="276"/>
      <c r="Y34" s="283"/>
      <c r="Z34" s="276"/>
      <c r="AA34" s="283"/>
      <c r="AB34" s="276"/>
      <c r="AC34" s="283"/>
      <c r="AE34" s="283"/>
      <c r="AF34" s="276"/>
      <c r="AI34" s="283"/>
      <c r="AJ34" s="276"/>
      <c r="AK34" s="283"/>
      <c r="AL34" s="276"/>
      <c r="AM34" s="283"/>
      <c r="AN34" s="276"/>
      <c r="AO34" s="283"/>
      <c r="AP34" s="276"/>
      <c r="AQ34" s="283"/>
      <c r="AR34" s="276"/>
      <c r="AT34" s="283"/>
      <c r="AU34" s="276"/>
      <c r="AV34" s="283"/>
      <c r="AW34" s="276"/>
      <c r="AX34" s="283"/>
      <c r="AY34" s="276"/>
      <c r="AZ34" s="283"/>
      <c r="BA34" s="276"/>
      <c r="BB34" s="283"/>
      <c r="BC34" s="276"/>
      <c r="BD34" s="283"/>
      <c r="BE34" s="276"/>
      <c r="BG34" s="283" t="str">
        <f>VLOOKUP($A34,'KO64'!$G$6:$H$127,2,0)</f>
        <v xml:space="preserve"> - </v>
      </c>
      <c r="BH34" s="276">
        <f>VLOOKUP($A34,'KO64'!$G$6:$I$127,3,0)</f>
        <v>0</v>
      </c>
      <c r="BI34" s="283"/>
      <c r="BJ34" s="276"/>
      <c r="BK34" s="283"/>
      <c r="BL34" s="276"/>
      <c r="BM34" s="283"/>
      <c r="BN34" s="276"/>
      <c r="BO34" s="283"/>
      <c r="BP34" s="276"/>
      <c r="BQ34" s="283"/>
      <c r="BR34" s="283"/>
      <c r="BS34" s="276"/>
    </row>
    <row r="35" spans="1:71" ht="12" customHeight="1">
      <c r="A35" s="160">
        <f t="shared" si="0"/>
        <v>34</v>
      </c>
      <c r="B35" s="281" t="str">
        <f t="shared" si="1"/>
        <v xml:space="preserve"> - </v>
      </c>
      <c r="C35" s="282" t="str">
        <f>IF(E35&gt;$G$2,"",Nasazení!B35)</f>
        <v/>
      </c>
      <c r="D35" s="281" t="str">
        <f ca="1">IF(TYPE(VLOOKUP(C35,Výsledky_skupin!$A$3:$B$130,2,0))&gt;4," -",VLOOKUP(C35,Výsledky_skupin!$A$3:$B$130,2,0))</f>
        <v/>
      </c>
      <c r="E35" s="160">
        <v>33</v>
      </c>
      <c r="F35" s="6">
        <f t="shared" si="2"/>
        <v>1</v>
      </c>
      <c r="L35" s="283"/>
      <c r="M35" s="276"/>
      <c r="N35" s="283"/>
      <c r="O35" s="276"/>
      <c r="P35" s="283"/>
      <c r="Q35" s="276"/>
      <c r="S35" s="283"/>
      <c r="T35" s="276"/>
      <c r="W35" s="283"/>
      <c r="X35" s="276"/>
      <c r="Y35" s="283"/>
      <c r="Z35" s="276"/>
      <c r="AA35" s="283"/>
      <c r="AB35" s="276"/>
      <c r="AC35" s="283"/>
      <c r="AE35" s="283"/>
      <c r="AF35" s="276"/>
      <c r="AI35" s="283"/>
      <c r="AJ35" s="276"/>
      <c r="AK35" s="283"/>
      <c r="AL35" s="276"/>
      <c r="AM35" s="283"/>
      <c r="AN35" s="276"/>
      <c r="AO35" s="283"/>
      <c r="AP35" s="276"/>
      <c r="AQ35" s="283"/>
      <c r="AR35" s="276"/>
      <c r="AT35" s="283"/>
      <c r="AU35" s="276"/>
      <c r="AV35" s="283"/>
      <c r="AW35" s="276"/>
      <c r="AX35" s="283"/>
      <c r="AY35" s="276"/>
      <c r="AZ35" s="283"/>
      <c r="BA35" s="276"/>
      <c r="BB35" s="283"/>
      <c r="BC35" s="276"/>
      <c r="BD35" s="283"/>
      <c r="BE35" s="276"/>
      <c r="BG35" s="283"/>
      <c r="BH35" s="276"/>
      <c r="BI35" s="283"/>
      <c r="BJ35" s="276"/>
      <c r="BK35" s="283"/>
      <c r="BL35" s="276"/>
      <c r="BM35" s="283"/>
      <c r="BN35" s="276"/>
      <c r="BO35" s="283"/>
      <c r="BP35" s="276"/>
      <c r="BQ35" s="283"/>
      <c r="BR35" s="283"/>
      <c r="BS35" s="276"/>
    </row>
    <row r="36" spans="1:71" ht="12" customHeight="1">
      <c r="A36" s="160">
        <f t="shared" si="0"/>
        <v>33</v>
      </c>
      <c r="B36" s="281" t="str">
        <f t="shared" si="1"/>
        <v xml:space="preserve"> - </v>
      </c>
      <c r="C36" s="282" t="str">
        <f>IF(E36&gt;$G$2,"",Nasazení!B36)</f>
        <v/>
      </c>
      <c r="D36" s="281" t="str">
        <f ca="1">IF(TYPE(VLOOKUP(C36,Výsledky_skupin!$A$3:$B$130,2,0))&gt;4," -",VLOOKUP(C36,Výsledky_skupin!$A$3:$B$130,2,0))</f>
        <v/>
      </c>
      <c r="E36" s="160">
        <v>34</v>
      </c>
      <c r="F36" s="6">
        <f t="shared" si="2"/>
        <v>-1</v>
      </c>
      <c r="L36" s="283"/>
      <c r="M36" s="276"/>
      <c r="N36" s="283"/>
      <c r="O36" s="276"/>
      <c r="P36" s="283"/>
      <c r="Q36" s="276"/>
      <c r="S36" s="283"/>
      <c r="T36" s="276"/>
      <c r="W36" s="283"/>
      <c r="X36" s="276"/>
      <c r="Y36" s="283"/>
      <c r="Z36" s="276"/>
      <c r="AA36" s="283"/>
      <c r="AB36" s="276"/>
      <c r="AC36" s="283"/>
      <c r="AE36" s="283"/>
      <c r="AF36" s="276"/>
      <c r="AI36" s="283"/>
      <c r="AJ36" s="276"/>
      <c r="AK36" s="283"/>
      <c r="AL36" s="276"/>
      <c r="AM36" s="283"/>
      <c r="AN36" s="276"/>
      <c r="AO36" s="283"/>
      <c r="AP36" s="276"/>
      <c r="AQ36" s="283"/>
      <c r="AR36" s="276"/>
      <c r="AT36" s="283"/>
      <c r="AU36" s="276"/>
      <c r="AV36" s="283"/>
      <c r="AW36" s="276"/>
      <c r="AX36" s="283"/>
      <c r="AY36" s="276"/>
      <c r="AZ36" s="283"/>
      <c r="BA36" s="276"/>
      <c r="BB36" s="283"/>
      <c r="BC36" s="276"/>
      <c r="BD36" s="283"/>
      <c r="BE36" s="276"/>
      <c r="BG36" s="283"/>
      <c r="BH36" s="276"/>
      <c r="BI36" s="283"/>
      <c r="BJ36" s="276"/>
      <c r="BK36" s="283"/>
      <c r="BL36" s="276"/>
      <c r="BM36" s="283"/>
      <c r="BN36" s="276"/>
      <c r="BO36" s="283"/>
      <c r="BP36" s="276"/>
      <c r="BQ36" s="283"/>
      <c r="BR36" s="283"/>
      <c r="BS36" s="276"/>
    </row>
    <row r="37" spans="1:71" ht="12" customHeight="1">
      <c r="A37" s="160">
        <f t="shared" si="0"/>
        <v>36</v>
      </c>
      <c r="B37" s="281" t="str">
        <f t="shared" si="1"/>
        <v xml:space="preserve"> - </v>
      </c>
      <c r="C37" s="282" t="str">
        <f>IF(E37&gt;$G$2,"",Nasazení!B37)</f>
        <v/>
      </c>
      <c r="D37" s="281" t="str">
        <f ca="1">IF(TYPE(VLOOKUP(C37,Výsledky_skupin!$A$3:$B$130,2,0))&gt;4," -",VLOOKUP(C37,Výsledky_skupin!$A$3:$B$130,2,0))</f>
        <v/>
      </c>
      <c r="E37" s="160">
        <v>35</v>
      </c>
      <c r="F37" s="6">
        <f t="shared" si="2"/>
        <v>1</v>
      </c>
      <c r="L37" s="283"/>
      <c r="M37" s="276"/>
      <c r="N37" s="283"/>
      <c r="O37" s="276"/>
      <c r="P37" s="283"/>
      <c r="Q37" s="276"/>
      <c r="S37" s="283"/>
      <c r="T37" s="276"/>
      <c r="W37" s="283"/>
      <c r="X37" s="276"/>
      <c r="Y37" s="283"/>
      <c r="Z37" s="276"/>
      <c r="AA37" s="283"/>
      <c r="AB37" s="276"/>
      <c r="AC37" s="283"/>
      <c r="AE37" s="283"/>
      <c r="AF37" s="276"/>
      <c r="AI37" s="283"/>
      <c r="AJ37" s="276"/>
      <c r="AK37" s="283"/>
      <c r="AL37" s="276"/>
      <c r="AM37" s="283"/>
      <c r="AN37" s="276"/>
      <c r="AO37" s="283"/>
      <c r="AP37" s="276"/>
      <c r="AQ37" s="283"/>
      <c r="AR37" s="276"/>
      <c r="AT37" s="283"/>
      <c r="AU37" s="276"/>
      <c r="AV37" s="283"/>
      <c r="AW37" s="276"/>
      <c r="AX37" s="283"/>
      <c r="AY37" s="276"/>
      <c r="AZ37" s="283"/>
      <c r="BA37" s="276"/>
      <c r="BB37" s="283"/>
      <c r="BC37" s="276"/>
      <c r="BD37" s="283"/>
      <c r="BE37" s="276"/>
      <c r="BG37" s="283"/>
      <c r="BH37" s="276"/>
      <c r="BI37" s="283"/>
      <c r="BJ37" s="276"/>
      <c r="BK37" s="283"/>
      <c r="BL37" s="276"/>
      <c r="BM37" s="283"/>
      <c r="BN37" s="276"/>
      <c r="BO37" s="283"/>
      <c r="BP37" s="276"/>
      <c r="BQ37" s="283"/>
      <c r="BR37" s="283"/>
      <c r="BS37" s="276"/>
    </row>
    <row r="38" spans="1:71" ht="12" customHeight="1">
      <c r="A38" s="160">
        <f t="shared" si="0"/>
        <v>35</v>
      </c>
      <c r="B38" s="281" t="str">
        <f t="shared" si="1"/>
        <v xml:space="preserve"> - </v>
      </c>
      <c r="C38" s="282" t="str">
        <f>IF(E38&gt;$G$2,"",Nasazení!B38)</f>
        <v/>
      </c>
      <c r="D38" s="281" t="str">
        <f ca="1">IF(TYPE(VLOOKUP(C38,Výsledky_skupin!$A$3:$B$130,2,0))&gt;4," -",VLOOKUP(C38,Výsledky_skupin!$A$3:$B$130,2,0))</f>
        <v/>
      </c>
      <c r="E38" s="160">
        <v>36</v>
      </c>
      <c r="F38" s="6">
        <f t="shared" si="2"/>
        <v>-1</v>
      </c>
      <c r="L38" s="283"/>
      <c r="M38" s="276"/>
      <c r="N38" s="283"/>
      <c r="O38" s="276"/>
      <c r="P38" s="283"/>
      <c r="Q38" s="276"/>
      <c r="S38" s="283"/>
      <c r="T38" s="276"/>
      <c r="W38" s="283"/>
      <c r="X38" s="276"/>
      <c r="Y38" s="283"/>
      <c r="Z38" s="276"/>
      <c r="AA38" s="283"/>
      <c r="AB38" s="276"/>
      <c r="AC38" s="283"/>
      <c r="AE38" s="283"/>
      <c r="AF38" s="276"/>
      <c r="AI38" s="283"/>
      <c r="AJ38" s="276"/>
      <c r="AK38" s="283"/>
      <c r="AL38" s="276"/>
      <c r="AM38" s="283"/>
      <c r="AN38" s="276"/>
      <c r="AO38" s="283"/>
      <c r="AP38" s="276"/>
      <c r="AQ38" s="283"/>
      <c r="AR38" s="276"/>
      <c r="AT38" s="283"/>
      <c r="AU38" s="276"/>
      <c r="AV38" s="283"/>
      <c r="AW38" s="276"/>
      <c r="AX38" s="283"/>
      <c r="AY38" s="276"/>
      <c r="AZ38" s="283"/>
      <c r="BA38" s="276"/>
      <c r="BB38" s="283"/>
      <c r="BC38" s="276"/>
      <c r="BD38" s="283"/>
      <c r="BE38" s="276"/>
      <c r="BG38" s="283"/>
      <c r="BH38" s="276"/>
      <c r="BI38" s="283"/>
      <c r="BJ38" s="276"/>
      <c r="BK38" s="283"/>
      <c r="BL38" s="276"/>
      <c r="BM38" s="283"/>
      <c r="BN38" s="276"/>
      <c r="BO38" s="283"/>
      <c r="BP38" s="276"/>
      <c r="BQ38" s="283"/>
      <c r="BR38" s="283"/>
      <c r="BS38" s="276"/>
    </row>
    <row r="39" spans="1:71" ht="12" customHeight="1">
      <c r="A39" s="160">
        <f t="shared" si="0"/>
        <v>38</v>
      </c>
      <c r="B39" s="281" t="str">
        <f t="shared" si="1"/>
        <v xml:space="preserve"> - </v>
      </c>
      <c r="C39" s="282" t="str">
        <f>IF(E39&gt;$G$2,"",Nasazení!B39)</f>
        <v/>
      </c>
      <c r="D39" s="281" t="str">
        <f ca="1">IF(TYPE(VLOOKUP(C39,Výsledky_skupin!$A$3:$B$130,2,0))&gt;4," -",VLOOKUP(C39,Výsledky_skupin!$A$3:$B$130,2,0))</f>
        <v/>
      </c>
      <c r="E39" s="160">
        <v>37</v>
      </c>
      <c r="F39" s="6">
        <f t="shared" si="2"/>
        <v>1</v>
      </c>
      <c r="L39" s="283"/>
      <c r="M39" s="276"/>
      <c r="N39" s="283"/>
      <c r="O39" s="276"/>
      <c r="P39" s="283"/>
      <c r="Q39" s="276"/>
      <c r="S39" s="283"/>
      <c r="T39" s="276"/>
      <c r="W39" s="283"/>
      <c r="X39" s="276"/>
      <c r="Y39" s="283"/>
      <c r="Z39" s="276"/>
      <c r="AA39" s="283"/>
      <c r="AB39" s="276"/>
      <c r="AC39" s="283"/>
      <c r="AE39" s="283"/>
      <c r="AF39" s="276"/>
      <c r="AI39" s="283"/>
      <c r="AJ39" s="276"/>
      <c r="AK39" s="283"/>
      <c r="AL39" s="276"/>
      <c r="AM39" s="283"/>
      <c r="AN39" s="276"/>
      <c r="AO39" s="283"/>
      <c r="AP39" s="276"/>
      <c r="AQ39" s="283"/>
      <c r="AR39" s="276"/>
      <c r="AT39" s="283"/>
      <c r="AU39" s="276"/>
      <c r="AV39" s="283"/>
      <c r="AW39" s="276"/>
      <c r="AX39" s="283"/>
      <c r="AY39" s="276"/>
      <c r="AZ39" s="283"/>
      <c r="BA39" s="276"/>
      <c r="BB39" s="283"/>
      <c r="BC39" s="276"/>
      <c r="BD39" s="283"/>
      <c r="BE39" s="276"/>
      <c r="BG39" s="283"/>
      <c r="BH39" s="276"/>
      <c r="BI39" s="283"/>
      <c r="BJ39" s="276"/>
      <c r="BK39" s="283"/>
      <c r="BL39" s="276"/>
      <c r="BM39" s="283"/>
      <c r="BN39" s="276"/>
      <c r="BO39" s="283"/>
      <c r="BP39" s="276"/>
      <c r="BQ39" s="283"/>
      <c r="BR39" s="283"/>
      <c r="BS39" s="276"/>
    </row>
    <row r="40" spans="1:71" ht="12" customHeight="1">
      <c r="A40" s="160">
        <f t="shared" si="0"/>
        <v>37</v>
      </c>
      <c r="B40" s="281" t="str">
        <f t="shared" si="1"/>
        <v xml:space="preserve"> - </v>
      </c>
      <c r="C40" s="282" t="str">
        <f>IF(E40&gt;$G$2,"",Nasazení!B40)</f>
        <v/>
      </c>
      <c r="D40" s="281" t="str">
        <f ca="1">IF(TYPE(VLOOKUP(C40,Výsledky_skupin!$A$3:$B$130,2,0))&gt;4," -",VLOOKUP(C40,Výsledky_skupin!$A$3:$B$130,2,0))</f>
        <v/>
      </c>
      <c r="E40" s="160">
        <v>38</v>
      </c>
      <c r="F40" s="6">
        <f t="shared" si="2"/>
        <v>-1</v>
      </c>
      <c r="L40" s="283"/>
      <c r="M40" s="276"/>
      <c r="N40" s="283"/>
      <c r="O40" s="276"/>
      <c r="P40" s="283"/>
      <c r="Q40" s="276"/>
      <c r="S40" s="283"/>
      <c r="T40" s="276"/>
      <c r="W40" s="283"/>
      <c r="X40" s="276"/>
      <c r="Y40" s="283"/>
      <c r="Z40" s="276"/>
      <c r="AA40" s="283"/>
      <c r="AB40" s="276"/>
      <c r="AC40" s="283"/>
      <c r="AE40" s="283"/>
      <c r="AF40" s="276"/>
      <c r="AI40" s="283"/>
      <c r="AJ40" s="276"/>
      <c r="AK40" s="283"/>
      <c r="AL40" s="276"/>
      <c r="AM40" s="283"/>
      <c r="AN40" s="276"/>
      <c r="AO40" s="283"/>
      <c r="AP40" s="276"/>
      <c r="AQ40" s="283"/>
      <c r="AR40" s="276"/>
      <c r="AT40" s="283"/>
      <c r="AU40" s="276"/>
      <c r="AV40" s="283"/>
      <c r="AW40" s="276"/>
      <c r="AX40" s="283"/>
      <c r="AY40" s="276"/>
      <c r="AZ40" s="283"/>
      <c r="BA40" s="276"/>
      <c r="BB40" s="283"/>
      <c r="BC40" s="276"/>
      <c r="BD40" s="283"/>
      <c r="BE40" s="276"/>
      <c r="BG40" s="283"/>
      <c r="BH40" s="276"/>
      <c r="BI40" s="283"/>
      <c r="BJ40" s="276"/>
      <c r="BK40" s="283"/>
      <c r="BL40" s="276"/>
      <c r="BM40" s="283"/>
      <c r="BN40" s="276"/>
      <c r="BO40" s="283"/>
      <c r="BP40" s="276"/>
      <c r="BQ40" s="283"/>
      <c r="BR40" s="283"/>
      <c r="BS40" s="276"/>
    </row>
    <row r="41" spans="1:71" ht="12" customHeight="1">
      <c r="A41" s="160">
        <f t="shared" si="0"/>
        <v>40</v>
      </c>
      <c r="B41" s="281" t="str">
        <f t="shared" si="1"/>
        <v xml:space="preserve"> - </v>
      </c>
      <c r="C41" s="282" t="str">
        <f>IF(E41&gt;$G$2,"",Nasazení!B41)</f>
        <v/>
      </c>
      <c r="D41" s="281" t="str">
        <f ca="1">IF(TYPE(VLOOKUP(C41,Výsledky_skupin!$A$3:$B$130,2,0))&gt;4," -",VLOOKUP(C41,Výsledky_skupin!$A$3:$B$130,2,0))</f>
        <v/>
      </c>
      <c r="E41" s="160">
        <v>39</v>
      </c>
      <c r="F41" s="6">
        <f t="shared" si="2"/>
        <v>1</v>
      </c>
      <c r="L41" s="283"/>
      <c r="M41" s="276"/>
      <c r="N41" s="283"/>
      <c r="O41" s="276"/>
      <c r="P41" s="283"/>
      <c r="Q41" s="276"/>
      <c r="S41" s="283"/>
      <c r="T41" s="276"/>
      <c r="W41" s="283"/>
      <c r="X41" s="276"/>
      <c r="Y41" s="283"/>
      <c r="Z41" s="276"/>
      <c r="AA41" s="283"/>
      <c r="AB41" s="276"/>
      <c r="AC41" s="283"/>
      <c r="AE41" s="283"/>
      <c r="AF41" s="276"/>
      <c r="AI41" s="283"/>
      <c r="AJ41" s="276"/>
      <c r="AK41" s="283"/>
      <c r="AL41" s="276"/>
      <c r="AM41" s="283"/>
      <c r="AN41" s="276"/>
      <c r="AO41" s="283"/>
      <c r="AP41" s="276"/>
      <c r="AQ41" s="283"/>
      <c r="AR41" s="276"/>
      <c r="AT41" s="283"/>
      <c r="AU41" s="276"/>
      <c r="AV41" s="283"/>
      <c r="AW41" s="276"/>
      <c r="AX41" s="283"/>
      <c r="AY41" s="276"/>
      <c r="AZ41" s="283"/>
      <c r="BA41" s="276"/>
      <c r="BB41" s="283"/>
      <c r="BC41" s="276"/>
      <c r="BD41" s="283"/>
      <c r="BE41" s="276"/>
      <c r="BG41" s="283"/>
      <c r="BH41" s="276"/>
      <c r="BI41" s="283"/>
      <c r="BJ41" s="276"/>
      <c r="BK41" s="283"/>
      <c r="BL41" s="276"/>
      <c r="BM41" s="283"/>
      <c r="BN41" s="276"/>
      <c r="BO41" s="283"/>
      <c r="BP41" s="276"/>
      <c r="BQ41" s="283"/>
      <c r="BR41" s="283"/>
      <c r="BS41" s="276"/>
    </row>
    <row r="42" spans="1:71" ht="12" customHeight="1">
      <c r="A42" s="160">
        <f t="shared" si="0"/>
        <v>39</v>
      </c>
      <c r="B42" s="281" t="str">
        <f t="shared" si="1"/>
        <v xml:space="preserve"> - </v>
      </c>
      <c r="C42" s="282" t="str">
        <f>IF(E42&gt;$G$2,"",Nasazení!B42)</f>
        <v/>
      </c>
      <c r="D42" s="281" t="str">
        <f ca="1">IF(TYPE(VLOOKUP(C42,Výsledky_skupin!$A$3:$B$130,2,0))&gt;4," -",VLOOKUP(C42,Výsledky_skupin!$A$3:$B$130,2,0))</f>
        <v/>
      </c>
      <c r="E42" s="160">
        <v>40</v>
      </c>
      <c r="F42" s="6">
        <f t="shared" si="2"/>
        <v>-1</v>
      </c>
      <c r="L42" s="283"/>
      <c r="M42" s="276"/>
      <c r="N42" s="283"/>
      <c r="O42" s="276"/>
      <c r="P42" s="283"/>
      <c r="Q42" s="276"/>
      <c r="S42" s="283"/>
      <c r="T42" s="276"/>
      <c r="W42" s="283"/>
      <c r="X42" s="276"/>
      <c r="Y42" s="283"/>
      <c r="Z42" s="276"/>
      <c r="AA42" s="283"/>
      <c r="AB42" s="276"/>
      <c r="AC42" s="283"/>
      <c r="AE42" s="283"/>
      <c r="AF42" s="276"/>
      <c r="AI42" s="283"/>
      <c r="AJ42" s="276"/>
      <c r="AK42" s="283"/>
      <c r="AL42" s="276"/>
      <c r="AM42" s="283"/>
      <c r="AN42" s="276"/>
      <c r="AO42" s="283"/>
      <c r="AP42" s="276"/>
      <c r="AQ42" s="283"/>
      <c r="AR42" s="276"/>
      <c r="AT42" s="283"/>
      <c r="AU42" s="276"/>
      <c r="AV42" s="283"/>
      <c r="AW42" s="276"/>
      <c r="AX42" s="283"/>
      <c r="AY42" s="276"/>
      <c r="AZ42" s="283"/>
      <c r="BA42" s="276"/>
      <c r="BB42" s="283"/>
      <c r="BC42" s="276"/>
      <c r="BD42" s="283"/>
      <c r="BE42" s="276"/>
      <c r="BG42" s="283"/>
      <c r="BH42" s="276"/>
      <c r="BI42" s="283"/>
      <c r="BJ42" s="276"/>
      <c r="BK42" s="283"/>
      <c r="BL42" s="276"/>
      <c r="BM42" s="283"/>
      <c r="BN42" s="276"/>
      <c r="BO42" s="283"/>
      <c r="BP42" s="276"/>
      <c r="BQ42" s="283"/>
      <c r="BR42" s="283"/>
      <c r="BS42" s="276"/>
    </row>
    <row r="43" spans="1:71" ht="12" customHeight="1">
      <c r="A43" s="160">
        <f t="shared" si="0"/>
        <v>42</v>
      </c>
      <c r="B43" s="281" t="str">
        <f t="shared" si="1"/>
        <v xml:space="preserve"> - </v>
      </c>
      <c r="C43" s="282" t="str">
        <f>IF(E43&gt;$G$2,"",Nasazení!B43)</f>
        <v/>
      </c>
      <c r="D43" s="281" t="str">
        <f ca="1">IF(TYPE(VLOOKUP(C43,Výsledky_skupin!$A$3:$B$130,2,0))&gt;4," -",VLOOKUP(C43,Výsledky_skupin!$A$3:$B$130,2,0))</f>
        <v/>
      </c>
      <c r="E43" s="160">
        <v>41</v>
      </c>
      <c r="F43" s="6">
        <f t="shared" si="2"/>
        <v>1</v>
      </c>
      <c r="L43" s="283"/>
      <c r="M43" s="276"/>
      <c r="N43" s="283"/>
      <c r="O43" s="276"/>
      <c r="P43" s="283"/>
      <c r="Q43" s="276"/>
      <c r="S43" s="283"/>
      <c r="T43" s="276"/>
      <c r="W43" s="283"/>
      <c r="X43" s="276"/>
      <c r="Y43" s="283"/>
      <c r="Z43" s="276"/>
      <c r="AA43" s="283"/>
      <c r="AB43" s="276"/>
      <c r="AC43" s="283"/>
      <c r="AE43" s="283"/>
      <c r="AF43" s="276"/>
      <c r="AI43" s="283"/>
      <c r="AJ43" s="276"/>
      <c r="AK43" s="283"/>
      <c r="AL43" s="276"/>
      <c r="AM43" s="283"/>
      <c r="AN43" s="276"/>
      <c r="AO43" s="283"/>
      <c r="AP43" s="276"/>
      <c r="AQ43" s="283"/>
      <c r="AR43" s="276"/>
      <c r="AT43" s="283"/>
      <c r="AU43" s="276"/>
      <c r="AV43" s="283"/>
      <c r="AW43" s="276"/>
      <c r="AX43" s="283"/>
      <c r="AY43" s="276"/>
      <c r="AZ43" s="283"/>
      <c r="BA43" s="276"/>
      <c r="BB43" s="283"/>
      <c r="BC43" s="276"/>
      <c r="BD43" s="283"/>
      <c r="BE43" s="276"/>
      <c r="BG43" s="283"/>
      <c r="BH43" s="276"/>
      <c r="BI43" s="283"/>
      <c r="BJ43" s="276"/>
      <c r="BK43" s="283"/>
      <c r="BL43" s="276"/>
      <c r="BM43" s="283"/>
      <c r="BN43" s="276"/>
      <c r="BO43" s="283"/>
      <c r="BP43" s="276"/>
      <c r="BQ43" s="283"/>
      <c r="BR43" s="283"/>
      <c r="BS43" s="276"/>
    </row>
    <row r="44" spans="1:71" ht="12" customHeight="1">
      <c r="A44" s="160">
        <f t="shared" si="0"/>
        <v>41</v>
      </c>
      <c r="B44" s="281" t="str">
        <f t="shared" si="1"/>
        <v xml:space="preserve"> - </v>
      </c>
      <c r="C44" s="282" t="str">
        <f>IF(E44&gt;$G$2,"",Nasazení!B44)</f>
        <v/>
      </c>
      <c r="D44" s="281" t="str">
        <f ca="1">IF(TYPE(VLOOKUP(C44,Výsledky_skupin!$A$3:$B$130,2,0))&gt;4," -",VLOOKUP(C44,Výsledky_skupin!$A$3:$B$130,2,0))</f>
        <v/>
      </c>
      <c r="E44" s="160">
        <v>42</v>
      </c>
      <c r="F44" s="6">
        <f t="shared" si="2"/>
        <v>-1</v>
      </c>
      <c r="L44" s="283"/>
      <c r="M44" s="276"/>
      <c r="N44" s="283"/>
      <c r="O44" s="276"/>
      <c r="P44" s="283"/>
      <c r="Q44" s="276"/>
      <c r="S44" s="283"/>
      <c r="T44" s="276"/>
      <c r="W44" s="283"/>
      <c r="X44" s="276"/>
      <c r="Y44" s="283"/>
      <c r="Z44" s="276"/>
      <c r="AA44" s="283"/>
      <c r="AB44" s="276"/>
      <c r="AC44" s="283"/>
      <c r="AE44" s="283"/>
      <c r="AF44" s="276"/>
      <c r="AI44" s="283"/>
      <c r="AJ44" s="276"/>
      <c r="AK44" s="283"/>
      <c r="AL44" s="276"/>
      <c r="AM44" s="283"/>
      <c r="AN44" s="276"/>
      <c r="AO44" s="283"/>
      <c r="AP44" s="276"/>
      <c r="AQ44" s="283"/>
      <c r="AR44" s="276"/>
      <c r="AT44" s="283"/>
      <c r="AU44" s="276"/>
      <c r="AV44" s="283"/>
      <c r="AW44" s="276"/>
      <c r="AX44" s="283"/>
      <c r="AY44" s="276"/>
      <c r="AZ44" s="283"/>
      <c r="BA44" s="276"/>
      <c r="BB44" s="283"/>
      <c r="BC44" s="276"/>
      <c r="BD44" s="283"/>
      <c r="BE44" s="276"/>
      <c r="BG44" s="283"/>
      <c r="BH44" s="276"/>
      <c r="BI44" s="283"/>
      <c r="BJ44" s="276"/>
      <c r="BK44" s="283"/>
      <c r="BL44" s="276"/>
      <c r="BM44" s="283"/>
      <c r="BN44" s="276"/>
      <c r="BO44" s="283"/>
      <c r="BP44" s="276"/>
      <c r="BQ44" s="283"/>
      <c r="BR44" s="283"/>
      <c r="BS44" s="276"/>
    </row>
    <row r="45" spans="1:71" ht="12" customHeight="1">
      <c r="A45" s="160">
        <f t="shared" si="0"/>
        <v>44</v>
      </c>
      <c r="B45" s="281" t="str">
        <f t="shared" si="1"/>
        <v xml:space="preserve"> - </v>
      </c>
      <c r="C45" s="282" t="str">
        <f>IF(E45&gt;$G$2,"",Nasazení!B45)</f>
        <v/>
      </c>
      <c r="D45" s="281" t="str">
        <f ca="1">IF(TYPE(VLOOKUP(C45,Výsledky_skupin!$A$3:$B$130,2,0))&gt;4," -",VLOOKUP(C45,Výsledky_skupin!$A$3:$B$130,2,0))</f>
        <v/>
      </c>
      <c r="E45" s="160">
        <v>43</v>
      </c>
      <c r="F45" s="6">
        <f t="shared" si="2"/>
        <v>1</v>
      </c>
      <c r="L45" s="283"/>
      <c r="M45" s="276"/>
      <c r="N45" s="283"/>
      <c r="O45" s="276"/>
      <c r="P45" s="283"/>
      <c r="Q45" s="276"/>
      <c r="S45" s="283"/>
      <c r="T45" s="276"/>
      <c r="W45" s="283"/>
      <c r="X45" s="276"/>
      <c r="Y45" s="283"/>
      <c r="Z45" s="276"/>
      <c r="AA45" s="283"/>
      <c r="AB45" s="276"/>
      <c r="AC45" s="283"/>
      <c r="AE45" s="283"/>
      <c r="AF45" s="276"/>
      <c r="AI45" s="283"/>
      <c r="AJ45" s="276"/>
      <c r="AK45" s="283"/>
      <c r="AL45" s="276"/>
      <c r="AM45" s="283"/>
      <c r="AN45" s="276"/>
      <c r="AO45" s="283"/>
      <c r="AP45" s="276"/>
      <c r="AQ45" s="283"/>
      <c r="AR45" s="276"/>
      <c r="AT45" s="283"/>
      <c r="AU45" s="276"/>
      <c r="AV45" s="283"/>
      <c r="AW45" s="276"/>
      <c r="AX45" s="283"/>
      <c r="AY45" s="276"/>
      <c r="AZ45" s="283"/>
      <c r="BA45" s="276"/>
      <c r="BB45" s="283"/>
      <c r="BC45" s="276"/>
      <c r="BD45" s="283"/>
      <c r="BE45" s="276"/>
      <c r="BG45" s="283"/>
      <c r="BH45" s="276"/>
      <c r="BI45" s="283"/>
      <c r="BJ45" s="276"/>
      <c r="BK45" s="283"/>
      <c r="BL45" s="276"/>
      <c r="BM45" s="283"/>
      <c r="BN45" s="276"/>
      <c r="BO45" s="283"/>
      <c r="BP45" s="276"/>
      <c r="BQ45" s="283"/>
      <c r="BR45" s="283"/>
      <c r="BS45" s="276"/>
    </row>
    <row r="46" spans="1:71" ht="12" customHeight="1">
      <c r="A46" s="160">
        <f t="shared" si="0"/>
        <v>43</v>
      </c>
      <c r="B46" s="281" t="str">
        <f t="shared" si="1"/>
        <v xml:space="preserve"> - </v>
      </c>
      <c r="C46" s="282" t="str">
        <f>IF(E46&gt;$G$2,"",Nasazení!B46)</f>
        <v/>
      </c>
      <c r="D46" s="281" t="str">
        <f ca="1">IF(TYPE(VLOOKUP(C46,Výsledky_skupin!$A$3:$B$130,2,0))&gt;4," -",VLOOKUP(C46,Výsledky_skupin!$A$3:$B$130,2,0))</f>
        <v/>
      </c>
      <c r="E46" s="160">
        <v>44</v>
      </c>
      <c r="F46" s="6">
        <f t="shared" si="2"/>
        <v>-1</v>
      </c>
      <c r="L46" s="283"/>
      <c r="M46" s="276"/>
      <c r="N46" s="283"/>
      <c r="O46" s="276"/>
      <c r="P46" s="283"/>
      <c r="Q46" s="276"/>
      <c r="S46" s="283"/>
      <c r="T46" s="276"/>
      <c r="W46" s="283"/>
      <c r="X46" s="276"/>
      <c r="Y46" s="283"/>
      <c r="Z46" s="276"/>
      <c r="AA46" s="283"/>
      <c r="AB46" s="276"/>
      <c r="AC46" s="283"/>
      <c r="AE46" s="283"/>
      <c r="AF46" s="276"/>
      <c r="AI46" s="283"/>
      <c r="AJ46" s="276"/>
      <c r="AK46" s="283"/>
      <c r="AL46" s="276"/>
      <c r="AM46" s="283"/>
      <c r="AN46" s="276"/>
      <c r="AO46" s="283"/>
      <c r="AP46" s="276"/>
      <c r="AQ46" s="283"/>
      <c r="AR46" s="276"/>
      <c r="AT46" s="283"/>
      <c r="AU46" s="276"/>
      <c r="AV46" s="283"/>
      <c r="AW46" s="276"/>
      <c r="AX46" s="283"/>
      <c r="AY46" s="276"/>
      <c r="AZ46" s="283"/>
      <c r="BA46" s="276"/>
      <c r="BB46" s="283"/>
      <c r="BC46" s="276"/>
      <c r="BD46" s="283"/>
      <c r="BE46" s="276"/>
      <c r="BG46" s="283"/>
      <c r="BH46" s="276"/>
      <c r="BI46" s="283"/>
      <c r="BJ46" s="276"/>
      <c r="BK46" s="283"/>
      <c r="BL46" s="276"/>
      <c r="BM46" s="283"/>
      <c r="BN46" s="276"/>
      <c r="BO46" s="283"/>
      <c r="BP46" s="276"/>
      <c r="BQ46" s="283"/>
      <c r="BR46" s="283"/>
      <c r="BS46" s="276"/>
    </row>
    <row r="47" spans="1:71" ht="12" customHeight="1">
      <c r="A47" s="160">
        <f t="shared" si="0"/>
        <v>46</v>
      </c>
      <c r="B47" s="281" t="str">
        <f t="shared" si="1"/>
        <v xml:space="preserve"> - </v>
      </c>
      <c r="C47" s="282" t="str">
        <f>IF(E47&gt;$G$2,"",Nasazení!B47)</f>
        <v/>
      </c>
      <c r="D47" s="281" t="str">
        <f ca="1">IF(TYPE(VLOOKUP(C47,Výsledky_skupin!$A$3:$B$130,2,0))&gt;4," -",VLOOKUP(C47,Výsledky_skupin!$A$3:$B$130,2,0))</f>
        <v/>
      </c>
      <c r="E47" s="160">
        <v>45</v>
      </c>
      <c r="F47" s="6">
        <f t="shared" si="2"/>
        <v>1</v>
      </c>
      <c r="L47" s="283"/>
      <c r="M47" s="276"/>
      <c r="N47" s="283"/>
      <c r="O47" s="276"/>
      <c r="P47" s="283"/>
      <c r="Q47" s="276"/>
      <c r="S47" s="283"/>
      <c r="T47" s="276"/>
      <c r="W47" s="283"/>
      <c r="X47" s="276"/>
      <c r="Y47" s="283"/>
      <c r="Z47" s="276"/>
      <c r="AA47" s="283"/>
      <c r="AB47" s="276"/>
      <c r="AC47" s="283"/>
      <c r="AE47" s="283"/>
      <c r="AF47" s="276"/>
      <c r="AI47" s="283"/>
      <c r="AJ47" s="276"/>
      <c r="AK47" s="283"/>
      <c r="AL47" s="276"/>
      <c r="AM47" s="283"/>
      <c r="AN47" s="276"/>
      <c r="AO47" s="283"/>
      <c r="AP47" s="276"/>
      <c r="AQ47" s="283"/>
      <c r="AR47" s="276"/>
      <c r="AT47" s="283"/>
      <c r="AU47" s="276"/>
      <c r="AV47" s="283"/>
      <c r="AW47" s="276"/>
      <c r="AX47" s="283"/>
      <c r="AY47" s="276"/>
      <c r="AZ47" s="283"/>
      <c r="BA47" s="276"/>
      <c r="BB47" s="283"/>
      <c r="BC47" s="276"/>
      <c r="BD47" s="283"/>
      <c r="BE47" s="276"/>
      <c r="BG47" s="283"/>
      <c r="BH47" s="276"/>
      <c r="BI47" s="283"/>
      <c r="BJ47" s="276"/>
      <c r="BK47" s="283"/>
      <c r="BL47" s="276"/>
      <c r="BM47" s="283"/>
      <c r="BN47" s="276"/>
      <c r="BO47" s="283"/>
      <c r="BP47" s="276"/>
      <c r="BQ47" s="283"/>
      <c r="BR47" s="283"/>
      <c r="BS47" s="276"/>
    </row>
    <row r="48" spans="1:71" ht="12" customHeight="1">
      <c r="A48" s="160">
        <f t="shared" si="0"/>
        <v>45</v>
      </c>
      <c r="B48" s="281" t="str">
        <f t="shared" si="1"/>
        <v xml:space="preserve"> - </v>
      </c>
      <c r="C48" s="282" t="str">
        <f>IF(E48&gt;$G$2,"",Nasazení!B48)</f>
        <v/>
      </c>
      <c r="D48" s="281" t="str">
        <f ca="1">IF(TYPE(VLOOKUP(C48,Výsledky_skupin!$A$3:$B$130,2,0))&gt;4," -",VLOOKUP(C48,Výsledky_skupin!$A$3:$B$130,2,0))</f>
        <v/>
      </c>
      <c r="E48" s="160">
        <v>46</v>
      </c>
      <c r="F48" s="6">
        <f t="shared" si="2"/>
        <v>-1</v>
      </c>
      <c r="L48" s="283"/>
      <c r="M48" s="276"/>
      <c r="N48" s="283"/>
      <c r="O48" s="276"/>
      <c r="P48" s="283"/>
      <c r="Q48" s="276"/>
      <c r="S48" s="283"/>
      <c r="T48" s="276"/>
      <c r="W48" s="283"/>
      <c r="X48" s="276"/>
      <c r="Y48" s="283"/>
      <c r="Z48" s="276"/>
      <c r="AA48" s="283"/>
      <c r="AB48" s="276"/>
      <c r="AC48" s="283"/>
      <c r="AE48" s="283"/>
      <c r="AF48" s="276"/>
      <c r="AI48" s="283"/>
      <c r="AJ48" s="276"/>
      <c r="AK48" s="283"/>
      <c r="AL48" s="276"/>
      <c r="AM48" s="283"/>
      <c r="AN48" s="276"/>
      <c r="AO48" s="283"/>
      <c r="AP48" s="276"/>
      <c r="AQ48" s="283"/>
      <c r="AR48" s="276"/>
      <c r="AT48" s="283"/>
      <c r="AU48" s="276"/>
      <c r="AV48" s="283"/>
      <c r="AW48" s="276"/>
      <c r="AX48" s="283"/>
      <c r="AY48" s="276"/>
      <c r="AZ48" s="283"/>
      <c r="BA48" s="276"/>
      <c r="BB48" s="283"/>
      <c r="BC48" s="276"/>
      <c r="BD48" s="283"/>
      <c r="BE48" s="276"/>
      <c r="BG48" s="283"/>
      <c r="BH48" s="276"/>
      <c r="BI48" s="283"/>
      <c r="BJ48" s="276"/>
      <c r="BK48" s="283"/>
      <c r="BL48" s="276"/>
      <c r="BM48" s="283"/>
      <c r="BN48" s="276"/>
      <c r="BO48" s="283"/>
      <c r="BP48" s="276"/>
      <c r="BQ48" s="283"/>
      <c r="BR48" s="283"/>
      <c r="BS48" s="276"/>
    </row>
    <row r="49" spans="1:71" ht="12" customHeight="1">
      <c r="A49" s="160">
        <f t="shared" si="0"/>
        <v>48</v>
      </c>
      <c r="B49" s="281" t="str">
        <f t="shared" si="1"/>
        <v xml:space="preserve"> - </v>
      </c>
      <c r="C49" s="282" t="str">
        <f>IF(E49&gt;$G$2,"",Nasazení!B49)</f>
        <v/>
      </c>
      <c r="D49" s="281" t="str">
        <f ca="1">IF(TYPE(VLOOKUP(C49,Výsledky_skupin!$A$3:$B$130,2,0))&gt;4," -",VLOOKUP(C49,Výsledky_skupin!$A$3:$B$130,2,0))</f>
        <v/>
      </c>
      <c r="E49" s="160">
        <v>47</v>
      </c>
      <c r="F49" s="6">
        <f t="shared" si="2"/>
        <v>1</v>
      </c>
      <c r="L49" s="283"/>
      <c r="M49" s="276"/>
      <c r="N49" s="283"/>
      <c r="O49" s="276"/>
      <c r="P49" s="283"/>
      <c r="Q49" s="276"/>
      <c r="S49" s="283"/>
      <c r="T49" s="276"/>
      <c r="W49" s="283"/>
      <c r="X49" s="276"/>
      <c r="Y49" s="283"/>
      <c r="Z49" s="276"/>
      <c r="AA49" s="283"/>
      <c r="AB49" s="276"/>
      <c r="AC49" s="283"/>
      <c r="AE49" s="283"/>
      <c r="AF49" s="276"/>
      <c r="AI49" s="283"/>
      <c r="AJ49" s="276"/>
      <c r="AK49" s="283"/>
      <c r="AL49" s="276"/>
      <c r="AM49" s="283"/>
      <c r="AN49" s="276"/>
      <c r="AO49" s="283"/>
      <c r="AP49" s="276"/>
      <c r="AQ49" s="283"/>
      <c r="AR49" s="276"/>
      <c r="AT49" s="283"/>
      <c r="AU49" s="276"/>
      <c r="AV49" s="283"/>
      <c r="AW49" s="276"/>
      <c r="AX49" s="283"/>
      <c r="AY49" s="276"/>
      <c r="AZ49" s="283"/>
      <c r="BA49" s="276"/>
      <c r="BB49" s="283"/>
      <c r="BC49" s="276"/>
      <c r="BD49" s="283"/>
      <c r="BE49" s="276"/>
      <c r="BG49" s="283"/>
      <c r="BH49" s="276"/>
      <c r="BI49" s="283"/>
      <c r="BJ49" s="276"/>
      <c r="BK49" s="283"/>
      <c r="BL49" s="276"/>
      <c r="BM49" s="283"/>
      <c r="BN49" s="276"/>
      <c r="BO49" s="283"/>
      <c r="BP49" s="276"/>
      <c r="BQ49" s="283"/>
      <c r="BR49" s="283"/>
      <c r="BS49" s="276"/>
    </row>
    <row r="50" spans="1:71" ht="12" customHeight="1">
      <c r="A50" s="160">
        <f t="shared" si="0"/>
        <v>47</v>
      </c>
      <c r="B50" s="281" t="str">
        <f t="shared" si="1"/>
        <v xml:space="preserve"> - </v>
      </c>
      <c r="C50" s="282" t="str">
        <f>IF(E50&gt;$G$2,"",Nasazení!B50)</f>
        <v/>
      </c>
      <c r="D50" s="281" t="str">
        <f ca="1">IF(TYPE(VLOOKUP(C50,Výsledky_skupin!$A$3:$B$130,2,0))&gt;4," -",VLOOKUP(C50,Výsledky_skupin!$A$3:$B$130,2,0))</f>
        <v/>
      </c>
      <c r="E50" s="160">
        <v>48</v>
      </c>
      <c r="F50" s="6">
        <f t="shared" si="2"/>
        <v>-1</v>
      </c>
      <c r="L50" s="283"/>
      <c r="M50" s="276"/>
      <c r="N50" s="283"/>
      <c r="O50" s="276"/>
      <c r="P50" s="283"/>
      <c r="Q50" s="276"/>
      <c r="S50" s="283"/>
      <c r="T50" s="276"/>
      <c r="W50" s="283"/>
      <c r="X50" s="276"/>
      <c r="Y50" s="283"/>
      <c r="Z50" s="276"/>
      <c r="AA50" s="283"/>
      <c r="AB50" s="276"/>
      <c r="AC50" s="283"/>
      <c r="AE50" s="283"/>
      <c r="AF50" s="276"/>
      <c r="AI50" s="283"/>
      <c r="AJ50" s="276"/>
      <c r="AK50" s="283"/>
      <c r="AL50" s="276"/>
      <c r="AM50" s="283"/>
      <c r="AN50" s="276"/>
      <c r="AO50" s="283"/>
      <c r="AP50" s="276"/>
      <c r="AQ50" s="283"/>
      <c r="AR50" s="276"/>
      <c r="AT50" s="283"/>
      <c r="AU50" s="276"/>
      <c r="AV50" s="283"/>
      <c r="AW50" s="276"/>
      <c r="AX50" s="283"/>
      <c r="AY50" s="276"/>
      <c r="AZ50" s="283"/>
      <c r="BA50" s="276"/>
      <c r="BB50" s="283"/>
      <c r="BC50" s="276"/>
      <c r="BD50" s="283"/>
      <c r="BE50" s="276"/>
      <c r="BG50" s="283"/>
      <c r="BH50" s="276"/>
      <c r="BI50" s="283"/>
      <c r="BJ50" s="276"/>
      <c r="BK50" s="283"/>
      <c r="BL50" s="276"/>
      <c r="BM50" s="283"/>
      <c r="BN50" s="276"/>
      <c r="BO50" s="283"/>
      <c r="BP50" s="276"/>
      <c r="BQ50" s="283"/>
      <c r="BR50" s="283"/>
      <c r="BS50" s="276"/>
    </row>
    <row r="51" spans="1:71" ht="12" customHeight="1">
      <c r="A51" s="160">
        <f t="shared" si="0"/>
        <v>50</v>
      </c>
      <c r="B51" s="281" t="str">
        <f t="shared" si="1"/>
        <v xml:space="preserve"> - </v>
      </c>
      <c r="C51" s="282" t="str">
        <f>IF(E51&gt;$G$2,"",Nasazení!B51)</f>
        <v/>
      </c>
      <c r="D51" s="281" t="str">
        <f ca="1">IF(TYPE(VLOOKUP(C51,Výsledky_skupin!$A$3:$B$130,2,0))&gt;4," -",VLOOKUP(C51,Výsledky_skupin!$A$3:$B$130,2,0))</f>
        <v/>
      </c>
      <c r="E51" s="160">
        <v>49</v>
      </c>
      <c r="F51" s="6">
        <f t="shared" si="2"/>
        <v>1</v>
      </c>
      <c r="L51" s="283"/>
      <c r="M51" s="276"/>
      <c r="N51" s="283"/>
      <c r="O51" s="276"/>
      <c r="P51" s="283"/>
      <c r="Q51" s="276"/>
      <c r="S51" s="283"/>
      <c r="T51" s="276"/>
      <c r="W51" s="283"/>
      <c r="X51" s="276"/>
      <c r="Y51" s="283"/>
      <c r="Z51" s="276"/>
      <c r="AA51" s="283"/>
      <c r="AB51" s="276"/>
      <c r="AC51" s="283"/>
      <c r="AE51" s="283"/>
      <c r="AF51" s="276"/>
      <c r="AI51" s="283"/>
      <c r="AJ51" s="276"/>
      <c r="AK51" s="283"/>
      <c r="AL51" s="276"/>
      <c r="AM51" s="283"/>
      <c r="AN51" s="276"/>
      <c r="AO51" s="283"/>
      <c r="AP51" s="276"/>
      <c r="AQ51" s="283"/>
      <c r="AR51" s="276"/>
      <c r="AT51" s="283"/>
      <c r="AU51" s="276"/>
      <c r="AV51" s="283"/>
      <c r="AW51" s="276"/>
      <c r="AX51" s="283"/>
      <c r="AY51" s="276"/>
      <c r="AZ51" s="283"/>
      <c r="BA51" s="276"/>
      <c r="BB51" s="283"/>
      <c r="BC51" s="276"/>
      <c r="BD51" s="283"/>
      <c r="BE51" s="276"/>
      <c r="BG51" s="283"/>
      <c r="BH51" s="276"/>
      <c r="BI51" s="283"/>
      <c r="BJ51" s="276"/>
      <c r="BK51" s="283"/>
      <c r="BL51" s="276"/>
      <c r="BM51" s="283"/>
      <c r="BN51" s="276"/>
      <c r="BO51" s="283"/>
      <c r="BP51" s="276"/>
      <c r="BQ51" s="283"/>
      <c r="BR51" s="283"/>
      <c r="BS51" s="276"/>
    </row>
    <row r="52" spans="1:71" ht="12" customHeight="1">
      <c r="A52" s="160">
        <f t="shared" si="0"/>
        <v>49</v>
      </c>
      <c r="B52" s="281" t="str">
        <f t="shared" si="1"/>
        <v xml:space="preserve"> - </v>
      </c>
      <c r="C52" s="282" t="str">
        <f>IF(E52&gt;$G$2,"",Nasazení!B52)</f>
        <v/>
      </c>
      <c r="D52" s="281" t="str">
        <f ca="1">IF(TYPE(VLOOKUP(C52,Výsledky_skupin!$A$3:$B$130,2,0))&gt;4," -",VLOOKUP(C52,Výsledky_skupin!$A$3:$B$130,2,0))</f>
        <v/>
      </c>
      <c r="E52" s="160">
        <v>50</v>
      </c>
      <c r="F52" s="6">
        <f t="shared" si="2"/>
        <v>-1</v>
      </c>
      <c r="L52" s="283"/>
      <c r="M52" s="276"/>
      <c r="N52" s="283"/>
      <c r="O52" s="276"/>
      <c r="P52" s="283"/>
      <c r="Q52" s="276"/>
      <c r="S52" s="283"/>
      <c r="T52" s="276"/>
      <c r="W52" s="283"/>
      <c r="X52" s="276"/>
      <c r="Y52" s="283"/>
      <c r="Z52" s="276"/>
      <c r="AA52" s="283"/>
      <c r="AB52" s="276"/>
      <c r="AC52" s="283"/>
      <c r="AE52" s="283"/>
      <c r="AF52" s="276"/>
      <c r="AI52" s="283"/>
      <c r="AJ52" s="276"/>
      <c r="AK52" s="283"/>
      <c r="AL52" s="276"/>
      <c r="AM52" s="283"/>
      <c r="AN52" s="276"/>
      <c r="AO52" s="283"/>
      <c r="AP52" s="276"/>
      <c r="AQ52" s="283"/>
      <c r="AR52" s="276"/>
      <c r="AT52" s="283"/>
      <c r="AU52" s="276"/>
      <c r="AV52" s="283"/>
      <c r="AW52" s="276"/>
      <c r="AX52" s="283"/>
      <c r="AY52" s="276"/>
      <c r="AZ52" s="283"/>
      <c r="BA52" s="276"/>
      <c r="BB52" s="283"/>
      <c r="BC52" s="276"/>
      <c r="BD52" s="283"/>
      <c r="BE52" s="276"/>
      <c r="BG52" s="283"/>
      <c r="BH52" s="276"/>
      <c r="BI52" s="283"/>
      <c r="BJ52" s="276"/>
      <c r="BK52" s="283"/>
      <c r="BL52" s="276"/>
      <c r="BM52" s="283"/>
      <c r="BN52" s="276"/>
      <c r="BO52" s="283"/>
      <c r="BP52" s="276"/>
      <c r="BQ52" s="283"/>
      <c r="BR52" s="283"/>
      <c r="BS52" s="276"/>
    </row>
    <row r="53" spans="1:71" ht="12" customHeight="1">
      <c r="A53" s="160">
        <f t="shared" si="0"/>
        <v>52</v>
      </c>
      <c r="B53" s="281" t="str">
        <f t="shared" si="1"/>
        <v xml:space="preserve"> - </v>
      </c>
      <c r="C53" s="282" t="str">
        <f>IF(E53&gt;$G$2,"",Nasazení!B53)</f>
        <v/>
      </c>
      <c r="D53" s="281" t="str">
        <f ca="1">IF(TYPE(VLOOKUP(C53,Výsledky_skupin!$A$3:$B$130,2,0))&gt;4," -",VLOOKUP(C53,Výsledky_skupin!$A$3:$B$130,2,0))</f>
        <v/>
      </c>
      <c r="E53" s="160">
        <v>51</v>
      </c>
      <c r="F53" s="6">
        <f t="shared" si="2"/>
        <v>1</v>
      </c>
      <c r="L53" s="283"/>
      <c r="M53" s="276"/>
      <c r="N53" s="283"/>
      <c r="O53" s="276"/>
      <c r="P53" s="283"/>
      <c r="Q53" s="276"/>
      <c r="S53" s="283"/>
      <c r="T53" s="276"/>
      <c r="W53" s="283"/>
      <c r="X53" s="276"/>
      <c r="Y53" s="283"/>
      <c r="Z53" s="276"/>
      <c r="AA53" s="283"/>
      <c r="AB53" s="276"/>
      <c r="AC53" s="283"/>
      <c r="AE53" s="283"/>
      <c r="AF53" s="276"/>
      <c r="AI53" s="283"/>
      <c r="AJ53" s="276"/>
      <c r="AK53" s="283"/>
      <c r="AL53" s="276"/>
      <c r="AM53" s="283"/>
      <c r="AN53" s="276"/>
      <c r="AO53" s="283"/>
      <c r="AP53" s="276"/>
      <c r="AQ53" s="283"/>
      <c r="AR53" s="276"/>
      <c r="AT53" s="283"/>
      <c r="AU53" s="276"/>
      <c r="AV53" s="283"/>
      <c r="AW53" s="276"/>
      <c r="AX53" s="283"/>
      <c r="AY53" s="276"/>
      <c r="AZ53" s="283"/>
      <c r="BA53" s="276"/>
      <c r="BB53" s="283"/>
      <c r="BC53" s="276"/>
      <c r="BD53" s="283"/>
      <c r="BE53" s="276"/>
      <c r="BG53" s="283"/>
      <c r="BH53" s="276"/>
      <c r="BI53" s="283"/>
      <c r="BJ53" s="276"/>
      <c r="BK53" s="283"/>
      <c r="BL53" s="276"/>
      <c r="BM53" s="283"/>
      <c r="BN53" s="276"/>
      <c r="BO53" s="283"/>
      <c r="BP53" s="276"/>
      <c r="BQ53" s="283"/>
      <c r="BR53" s="283"/>
      <c r="BS53" s="276"/>
    </row>
    <row r="54" spans="1:71" ht="12" customHeight="1">
      <c r="A54" s="160">
        <f t="shared" si="0"/>
        <v>51</v>
      </c>
      <c r="B54" s="281" t="str">
        <f t="shared" si="1"/>
        <v xml:space="preserve"> - </v>
      </c>
      <c r="C54" s="282" t="str">
        <f>IF(E54&gt;$G$2,"",Nasazení!B54)</f>
        <v/>
      </c>
      <c r="D54" s="281" t="str">
        <f ca="1">IF(TYPE(VLOOKUP(C54,Výsledky_skupin!$A$3:$B$130,2,0))&gt;4," -",VLOOKUP(C54,Výsledky_skupin!$A$3:$B$130,2,0))</f>
        <v/>
      </c>
      <c r="E54" s="160">
        <v>52</v>
      </c>
      <c r="F54" s="6">
        <f t="shared" si="2"/>
        <v>-1</v>
      </c>
      <c r="L54" s="283"/>
      <c r="M54" s="276"/>
      <c r="N54" s="283"/>
      <c r="O54" s="276"/>
      <c r="P54" s="283"/>
      <c r="Q54" s="276"/>
      <c r="S54" s="283"/>
      <c r="T54" s="276"/>
      <c r="W54" s="283"/>
      <c r="X54" s="276"/>
      <c r="Y54" s="283"/>
      <c r="Z54" s="276"/>
      <c r="AA54" s="283"/>
      <c r="AB54" s="276"/>
      <c r="AC54" s="283"/>
      <c r="AE54" s="283"/>
      <c r="AF54" s="276"/>
      <c r="AI54" s="283"/>
      <c r="AJ54" s="276"/>
      <c r="AK54" s="283"/>
      <c r="AL54" s="276"/>
      <c r="AM54" s="283"/>
      <c r="AN54" s="276"/>
      <c r="AO54" s="283"/>
      <c r="AP54" s="276"/>
      <c r="AQ54" s="283"/>
      <c r="AR54" s="276"/>
      <c r="AT54" s="283"/>
      <c r="AU54" s="276"/>
      <c r="AV54" s="283"/>
      <c r="AW54" s="276"/>
      <c r="AX54" s="283"/>
      <c r="AY54" s="276"/>
      <c r="AZ54" s="283"/>
      <c r="BA54" s="276"/>
      <c r="BB54" s="283"/>
      <c r="BC54" s="276"/>
      <c r="BD54" s="283"/>
      <c r="BE54" s="276"/>
      <c r="BG54" s="283"/>
      <c r="BH54" s="276"/>
      <c r="BI54" s="283"/>
      <c r="BJ54" s="276"/>
      <c r="BK54" s="283"/>
      <c r="BL54" s="276"/>
      <c r="BM54" s="283"/>
      <c r="BN54" s="276"/>
      <c r="BO54" s="283"/>
      <c r="BP54" s="276"/>
      <c r="BQ54" s="283"/>
      <c r="BR54" s="283"/>
      <c r="BS54" s="276"/>
    </row>
    <row r="55" spans="1:71" ht="12" customHeight="1">
      <c r="A55" s="160">
        <f t="shared" si="0"/>
        <v>54</v>
      </c>
      <c r="B55" s="281" t="str">
        <f t="shared" si="1"/>
        <v xml:space="preserve"> - </v>
      </c>
      <c r="C55" s="282" t="str">
        <f>IF(E55&gt;$G$2,"",Nasazení!B55)</f>
        <v/>
      </c>
      <c r="D55" s="281" t="str">
        <f ca="1">IF(TYPE(VLOOKUP(C55,Výsledky_skupin!$A$3:$B$130,2,0))&gt;4," -",VLOOKUP(C55,Výsledky_skupin!$A$3:$B$130,2,0))</f>
        <v/>
      </c>
      <c r="E55" s="160">
        <v>53</v>
      </c>
      <c r="F55" s="6">
        <f t="shared" si="2"/>
        <v>1</v>
      </c>
      <c r="L55" s="283"/>
      <c r="M55" s="276"/>
      <c r="N55" s="283"/>
      <c r="O55" s="276"/>
      <c r="P55" s="283"/>
      <c r="Q55" s="276"/>
      <c r="S55" s="283"/>
      <c r="T55" s="276"/>
      <c r="W55" s="283"/>
      <c r="X55" s="276"/>
      <c r="Y55" s="283"/>
      <c r="Z55" s="276"/>
      <c r="AA55" s="283"/>
      <c r="AB55" s="276"/>
      <c r="AC55" s="283"/>
      <c r="AE55" s="283"/>
      <c r="AF55" s="276"/>
      <c r="AI55" s="283"/>
      <c r="AJ55" s="276"/>
      <c r="AK55" s="283"/>
      <c r="AL55" s="276"/>
      <c r="AM55" s="283"/>
      <c r="AN55" s="276"/>
      <c r="AO55" s="283"/>
      <c r="AP55" s="276"/>
      <c r="AQ55" s="283"/>
      <c r="AR55" s="276"/>
      <c r="AT55" s="283"/>
      <c r="AU55" s="276"/>
      <c r="AV55" s="283"/>
      <c r="AW55" s="276"/>
      <c r="AX55" s="283"/>
      <c r="AY55" s="276"/>
      <c r="AZ55" s="283"/>
      <c r="BA55" s="276"/>
      <c r="BB55" s="283"/>
      <c r="BC55" s="276"/>
      <c r="BD55" s="283"/>
      <c r="BE55" s="276"/>
      <c r="BG55" s="283"/>
      <c r="BH55" s="276"/>
      <c r="BI55" s="283"/>
      <c r="BJ55" s="276"/>
      <c r="BK55" s="283"/>
      <c r="BL55" s="276"/>
      <c r="BM55" s="283"/>
      <c r="BN55" s="276"/>
      <c r="BO55" s="283"/>
      <c r="BP55" s="276"/>
      <c r="BQ55" s="283"/>
      <c r="BR55" s="283"/>
      <c r="BS55" s="276"/>
    </row>
    <row r="56" spans="1:71" ht="12" customHeight="1">
      <c r="A56" s="160">
        <f t="shared" si="0"/>
        <v>53</v>
      </c>
      <c r="B56" s="281" t="str">
        <f t="shared" si="1"/>
        <v xml:space="preserve"> - </v>
      </c>
      <c r="C56" s="282" t="str">
        <f>IF(E56&gt;$G$2,"",Nasazení!B56)</f>
        <v/>
      </c>
      <c r="D56" s="281" t="str">
        <f ca="1">IF(TYPE(VLOOKUP(C56,Výsledky_skupin!$A$3:$B$130,2,0))&gt;4," -",VLOOKUP(C56,Výsledky_skupin!$A$3:$B$130,2,0))</f>
        <v/>
      </c>
      <c r="E56" s="160">
        <v>54</v>
      </c>
      <c r="F56" s="6">
        <f t="shared" si="2"/>
        <v>-1</v>
      </c>
      <c r="L56" s="283"/>
      <c r="M56" s="276"/>
      <c r="N56" s="283"/>
      <c r="O56" s="276"/>
      <c r="P56" s="283"/>
      <c r="Q56" s="276"/>
      <c r="S56" s="283"/>
      <c r="T56" s="276"/>
      <c r="W56" s="283"/>
      <c r="X56" s="276"/>
      <c r="Y56" s="283"/>
      <c r="Z56" s="276"/>
      <c r="AA56" s="283"/>
      <c r="AB56" s="276"/>
      <c r="AC56" s="283"/>
      <c r="AE56" s="283"/>
      <c r="AF56" s="276"/>
      <c r="AI56" s="283"/>
      <c r="AJ56" s="276"/>
      <c r="AK56" s="283"/>
      <c r="AL56" s="276"/>
      <c r="AM56" s="283"/>
      <c r="AN56" s="276"/>
      <c r="AO56" s="283"/>
      <c r="AP56" s="276"/>
      <c r="AQ56" s="283"/>
      <c r="AR56" s="276"/>
      <c r="AT56" s="283"/>
      <c r="AU56" s="276"/>
      <c r="AV56" s="283"/>
      <c r="AW56" s="276"/>
      <c r="AX56" s="283"/>
      <c r="AY56" s="276"/>
      <c r="AZ56" s="283"/>
      <c r="BA56" s="276"/>
      <c r="BB56" s="283"/>
      <c r="BC56" s="276"/>
      <c r="BD56" s="283"/>
      <c r="BE56" s="276"/>
      <c r="BG56" s="283"/>
      <c r="BH56" s="276"/>
      <c r="BI56" s="283"/>
      <c r="BJ56" s="276"/>
      <c r="BK56" s="283"/>
      <c r="BL56" s="276"/>
      <c r="BM56" s="283"/>
      <c r="BN56" s="276"/>
      <c r="BO56" s="283"/>
      <c r="BP56" s="276"/>
      <c r="BQ56" s="283"/>
      <c r="BR56" s="283"/>
      <c r="BS56" s="276"/>
    </row>
    <row r="57" spans="1:71" ht="12" customHeight="1">
      <c r="A57" s="160">
        <f t="shared" si="0"/>
        <v>56</v>
      </c>
      <c r="B57" s="281" t="str">
        <f t="shared" si="1"/>
        <v xml:space="preserve"> - </v>
      </c>
      <c r="C57" s="282" t="str">
        <f>IF(E57&gt;$G$2,"",Nasazení!B57)</f>
        <v/>
      </c>
      <c r="D57" s="281" t="str">
        <f ca="1">IF(TYPE(VLOOKUP(C57,Výsledky_skupin!$A$3:$B$130,2,0))&gt;4," -",VLOOKUP(C57,Výsledky_skupin!$A$3:$B$130,2,0))</f>
        <v/>
      </c>
      <c r="E57" s="160">
        <v>55</v>
      </c>
      <c r="F57" s="6">
        <f t="shared" si="2"/>
        <v>1</v>
      </c>
      <c r="L57" s="283"/>
      <c r="M57" s="276"/>
      <c r="N57" s="283"/>
      <c r="O57" s="276"/>
      <c r="P57" s="283"/>
      <c r="Q57" s="276"/>
      <c r="S57" s="283"/>
      <c r="T57" s="276"/>
      <c r="W57" s="283"/>
      <c r="X57" s="276"/>
      <c r="Y57" s="283"/>
      <c r="Z57" s="276"/>
      <c r="AA57" s="283"/>
      <c r="AB57" s="276"/>
      <c r="AC57" s="283"/>
      <c r="AE57" s="283"/>
      <c r="AF57" s="276"/>
      <c r="AI57" s="283"/>
      <c r="AJ57" s="276"/>
      <c r="AK57" s="283"/>
      <c r="AL57" s="276"/>
      <c r="AM57" s="283"/>
      <c r="AN57" s="276"/>
      <c r="AO57" s="283"/>
      <c r="AP57" s="276"/>
      <c r="AQ57" s="283"/>
      <c r="AR57" s="276"/>
      <c r="AT57" s="283"/>
      <c r="AU57" s="276"/>
      <c r="AV57" s="283"/>
      <c r="AW57" s="276"/>
      <c r="AX57" s="283"/>
      <c r="AY57" s="276"/>
      <c r="AZ57" s="283"/>
      <c r="BA57" s="276"/>
      <c r="BB57" s="283"/>
      <c r="BC57" s="276"/>
      <c r="BD57" s="283"/>
      <c r="BE57" s="276"/>
      <c r="BG57" s="283"/>
      <c r="BH57" s="276"/>
      <c r="BI57" s="283"/>
      <c r="BJ57" s="276"/>
      <c r="BK57" s="283"/>
      <c r="BL57" s="276"/>
      <c r="BM57" s="283"/>
      <c r="BN57" s="276"/>
      <c r="BO57" s="283"/>
      <c r="BP57" s="276"/>
      <c r="BQ57" s="283"/>
      <c r="BR57" s="283"/>
      <c r="BS57" s="276"/>
    </row>
    <row r="58" spans="1:71" ht="12" customHeight="1">
      <c r="A58" s="160">
        <f t="shared" si="0"/>
        <v>55</v>
      </c>
      <c r="B58" s="281" t="str">
        <f t="shared" si="1"/>
        <v xml:space="preserve"> - </v>
      </c>
      <c r="C58" s="282" t="str">
        <f>IF(E58&gt;$G$2,"",Nasazení!B58)</f>
        <v/>
      </c>
      <c r="D58" s="281" t="str">
        <f ca="1">IF(TYPE(VLOOKUP(C58,Výsledky_skupin!$A$3:$B$130,2,0))&gt;4," -",VLOOKUP(C58,Výsledky_skupin!$A$3:$B$130,2,0))</f>
        <v/>
      </c>
      <c r="E58" s="160">
        <v>56</v>
      </c>
      <c r="F58" s="6">
        <f t="shared" si="2"/>
        <v>-1</v>
      </c>
      <c r="L58" s="283"/>
      <c r="M58" s="276"/>
      <c r="N58" s="283"/>
      <c r="O58" s="276"/>
      <c r="P58" s="283"/>
      <c r="Q58" s="276"/>
      <c r="S58" s="283"/>
      <c r="T58" s="276"/>
      <c r="W58" s="283"/>
      <c r="X58" s="276"/>
      <c r="Y58" s="283"/>
      <c r="Z58" s="276"/>
      <c r="AA58" s="283"/>
      <c r="AB58" s="276"/>
      <c r="AC58" s="283"/>
      <c r="AE58" s="283"/>
      <c r="AF58" s="276"/>
      <c r="AI58" s="283"/>
      <c r="AJ58" s="276"/>
      <c r="AK58" s="283"/>
      <c r="AL58" s="276"/>
      <c r="AM58" s="283"/>
      <c r="AN58" s="276"/>
      <c r="AO58" s="283"/>
      <c r="AP58" s="276"/>
      <c r="AQ58" s="283"/>
      <c r="AR58" s="276"/>
      <c r="AT58" s="283"/>
      <c r="AU58" s="276"/>
      <c r="AV58" s="283"/>
      <c r="AW58" s="276"/>
      <c r="AX58" s="283"/>
      <c r="AY58" s="276"/>
      <c r="AZ58" s="283"/>
      <c r="BA58" s="276"/>
      <c r="BB58" s="283"/>
      <c r="BC58" s="276"/>
      <c r="BD58" s="283"/>
      <c r="BE58" s="276"/>
      <c r="BG58" s="283"/>
      <c r="BH58" s="276"/>
      <c r="BI58" s="283"/>
      <c r="BJ58" s="276"/>
      <c r="BK58" s="283"/>
      <c r="BL58" s="276"/>
      <c r="BM58" s="283"/>
      <c r="BN58" s="276"/>
      <c r="BO58" s="283"/>
      <c r="BP58" s="276"/>
      <c r="BQ58" s="283"/>
      <c r="BR58" s="283"/>
      <c r="BS58" s="276"/>
    </row>
    <row r="59" spans="1:71" ht="12" customHeight="1">
      <c r="A59" s="160">
        <f t="shared" si="0"/>
        <v>58</v>
      </c>
      <c r="B59" s="281" t="str">
        <f t="shared" si="1"/>
        <v xml:space="preserve"> - </v>
      </c>
      <c r="C59" s="282" t="str">
        <f>IF(E59&gt;$G$2,"",Nasazení!B59)</f>
        <v/>
      </c>
      <c r="D59" s="281" t="str">
        <f ca="1">IF(TYPE(VLOOKUP(C59,Výsledky_skupin!$A$3:$B$130,2,0))&gt;4," -",VLOOKUP(C59,Výsledky_skupin!$A$3:$B$130,2,0))</f>
        <v/>
      </c>
      <c r="E59" s="160">
        <v>57</v>
      </c>
      <c r="F59" s="6">
        <f t="shared" si="2"/>
        <v>1</v>
      </c>
      <c r="L59" s="283"/>
      <c r="M59" s="276"/>
      <c r="N59" s="283"/>
      <c r="O59" s="276"/>
      <c r="P59" s="283"/>
      <c r="Q59" s="276"/>
      <c r="S59" s="283"/>
      <c r="T59" s="276"/>
      <c r="W59" s="283"/>
      <c r="X59" s="276"/>
      <c r="Y59" s="283"/>
      <c r="Z59" s="276"/>
      <c r="AA59" s="283"/>
      <c r="AB59" s="276"/>
      <c r="AC59" s="283"/>
      <c r="AE59" s="283"/>
      <c r="AF59" s="276"/>
      <c r="AI59" s="283"/>
      <c r="AJ59" s="276"/>
      <c r="AK59" s="283"/>
      <c r="AL59" s="276"/>
      <c r="AM59" s="283"/>
      <c r="AN59" s="276"/>
      <c r="AO59" s="283"/>
      <c r="AP59" s="276"/>
      <c r="AQ59" s="283"/>
      <c r="AR59" s="276"/>
      <c r="AT59" s="283"/>
      <c r="AU59" s="276"/>
      <c r="AV59" s="283"/>
      <c r="AW59" s="276"/>
      <c r="AX59" s="283"/>
      <c r="AY59" s="276"/>
      <c r="AZ59" s="283"/>
      <c r="BA59" s="276"/>
      <c r="BB59" s="283"/>
      <c r="BC59" s="276"/>
      <c r="BD59" s="283"/>
      <c r="BE59" s="276"/>
      <c r="BG59" s="283"/>
      <c r="BH59" s="276"/>
      <c r="BI59" s="283"/>
      <c r="BJ59" s="276"/>
      <c r="BK59" s="283"/>
      <c r="BL59" s="276"/>
      <c r="BM59" s="283"/>
      <c r="BN59" s="276"/>
      <c r="BO59" s="283"/>
      <c r="BP59" s="276"/>
      <c r="BQ59" s="283"/>
      <c r="BR59" s="283"/>
      <c r="BS59" s="276"/>
    </row>
    <row r="60" spans="1:71" ht="12" customHeight="1">
      <c r="A60" s="160">
        <f t="shared" si="0"/>
        <v>57</v>
      </c>
      <c r="B60" s="281" t="str">
        <f t="shared" si="1"/>
        <v xml:space="preserve"> - </v>
      </c>
      <c r="C60" s="282" t="str">
        <f>IF(E60&gt;$G$2,"",Nasazení!B60)</f>
        <v/>
      </c>
      <c r="D60" s="281" t="str">
        <f ca="1">IF(TYPE(VLOOKUP(C60,Výsledky_skupin!$A$3:$B$130,2,0))&gt;4," -",VLOOKUP(C60,Výsledky_skupin!$A$3:$B$130,2,0))</f>
        <v/>
      </c>
      <c r="E60" s="160">
        <v>58</v>
      </c>
      <c r="F60" s="6">
        <f t="shared" si="2"/>
        <v>-1</v>
      </c>
      <c r="L60" s="283"/>
      <c r="M60" s="276"/>
      <c r="N60" s="283"/>
      <c r="O60" s="276"/>
      <c r="P60" s="283"/>
      <c r="Q60" s="276"/>
      <c r="S60" s="283"/>
      <c r="T60" s="276"/>
      <c r="W60" s="283"/>
      <c r="X60" s="276"/>
      <c r="Y60" s="283"/>
      <c r="Z60" s="276"/>
      <c r="AA60" s="283"/>
      <c r="AB60" s="276"/>
      <c r="AC60" s="283"/>
      <c r="AE60" s="283"/>
      <c r="AF60" s="276"/>
      <c r="AI60" s="283"/>
      <c r="AJ60" s="276"/>
      <c r="AK60" s="283"/>
      <c r="AL60" s="276"/>
      <c r="AM60" s="283"/>
      <c r="AN60" s="276"/>
      <c r="AO60" s="283"/>
      <c r="AP60" s="276"/>
      <c r="AQ60" s="283"/>
      <c r="AR60" s="276"/>
      <c r="AT60" s="283"/>
      <c r="AU60" s="276"/>
      <c r="AV60" s="283"/>
      <c r="AW60" s="276"/>
      <c r="AX60" s="283"/>
      <c r="AY60" s="276"/>
      <c r="AZ60" s="283"/>
      <c r="BA60" s="276"/>
      <c r="BB60" s="283"/>
      <c r="BC60" s="276"/>
      <c r="BD60" s="283"/>
      <c r="BE60" s="276"/>
      <c r="BG60" s="283"/>
      <c r="BH60" s="276"/>
      <c r="BI60" s="283"/>
      <c r="BJ60" s="276"/>
      <c r="BK60" s="283"/>
      <c r="BL60" s="276"/>
      <c r="BM60" s="283"/>
      <c r="BN60" s="276"/>
      <c r="BO60" s="283"/>
      <c r="BP60" s="276"/>
      <c r="BQ60" s="283"/>
      <c r="BR60" s="283"/>
      <c r="BS60" s="276"/>
    </row>
    <row r="61" spans="1:71" ht="12" customHeight="1">
      <c r="A61" s="160">
        <f t="shared" si="0"/>
        <v>60</v>
      </c>
      <c r="B61" s="281" t="str">
        <f t="shared" si="1"/>
        <v xml:space="preserve"> - </v>
      </c>
      <c r="C61" s="282" t="str">
        <f>IF(E61&gt;$G$2,"",Nasazení!B61)</f>
        <v/>
      </c>
      <c r="D61" s="281" t="str">
        <f ca="1">IF(TYPE(VLOOKUP(C61,Výsledky_skupin!$A$3:$B$130,2,0))&gt;4," -",VLOOKUP(C61,Výsledky_skupin!$A$3:$B$130,2,0))</f>
        <v/>
      </c>
      <c r="E61" s="160">
        <v>59</v>
      </c>
      <c r="F61" s="6">
        <f t="shared" si="2"/>
        <v>1</v>
      </c>
      <c r="L61" s="283"/>
      <c r="M61" s="276"/>
      <c r="N61" s="283"/>
      <c r="O61" s="276"/>
      <c r="P61" s="283"/>
      <c r="Q61" s="276"/>
      <c r="S61" s="283"/>
      <c r="T61" s="276"/>
      <c r="W61" s="283"/>
      <c r="X61" s="276"/>
      <c r="Y61" s="283"/>
      <c r="Z61" s="276"/>
      <c r="AA61" s="283"/>
      <c r="AB61" s="276"/>
      <c r="AC61" s="283"/>
      <c r="AE61" s="283"/>
      <c r="AF61" s="276"/>
      <c r="AI61" s="283"/>
      <c r="AJ61" s="276"/>
      <c r="AK61" s="283"/>
      <c r="AL61" s="276"/>
      <c r="AM61" s="283"/>
      <c r="AN61" s="276"/>
      <c r="AO61" s="283"/>
      <c r="AP61" s="276"/>
      <c r="AQ61" s="283"/>
      <c r="AR61" s="276"/>
      <c r="AT61" s="283"/>
      <c r="AU61" s="276"/>
      <c r="AV61" s="283"/>
      <c r="AW61" s="276"/>
      <c r="AX61" s="283"/>
      <c r="AY61" s="276"/>
      <c r="AZ61" s="283"/>
      <c r="BA61" s="276"/>
      <c r="BB61" s="283"/>
      <c r="BC61" s="276"/>
      <c r="BD61" s="283"/>
      <c r="BE61" s="276"/>
      <c r="BG61" s="283"/>
      <c r="BH61" s="276"/>
      <c r="BI61" s="283"/>
      <c r="BJ61" s="276"/>
      <c r="BK61" s="283"/>
      <c r="BL61" s="276"/>
      <c r="BM61" s="283"/>
      <c r="BN61" s="276"/>
      <c r="BO61" s="283"/>
      <c r="BP61" s="276"/>
      <c r="BQ61" s="283"/>
      <c r="BR61" s="283"/>
      <c r="BS61" s="276"/>
    </row>
    <row r="62" spans="1:71" ht="12" customHeight="1">
      <c r="A62" s="160">
        <f t="shared" si="0"/>
        <v>59</v>
      </c>
      <c r="B62" s="281" t="str">
        <f t="shared" si="1"/>
        <v xml:space="preserve"> - </v>
      </c>
      <c r="C62" s="282" t="str">
        <f>IF(E62&gt;$G$2,"",Nasazení!B62)</f>
        <v/>
      </c>
      <c r="D62" s="281" t="str">
        <f ca="1">IF(TYPE(VLOOKUP(C62,Výsledky_skupin!$A$3:$B$130,2,0))&gt;4," -",VLOOKUP(C62,Výsledky_skupin!$A$3:$B$130,2,0))</f>
        <v/>
      </c>
      <c r="E62" s="160">
        <v>60</v>
      </c>
      <c r="F62" s="6">
        <f t="shared" si="2"/>
        <v>-1</v>
      </c>
      <c r="L62" s="283"/>
      <c r="M62" s="276"/>
      <c r="N62" s="283"/>
      <c r="O62" s="276"/>
      <c r="P62" s="283"/>
      <c r="Q62" s="276"/>
      <c r="S62" s="283"/>
      <c r="T62" s="276"/>
      <c r="W62" s="283"/>
      <c r="X62" s="276"/>
      <c r="Y62" s="283"/>
      <c r="Z62" s="276"/>
      <c r="AA62" s="283"/>
      <c r="AB62" s="276"/>
      <c r="AC62" s="283"/>
      <c r="AE62" s="283"/>
      <c r="AF62" s="276"/>
      <c r="AI62" s="283"/>
      <c r="AJ62" s="276"/>
      <c r="AK62" s="283"/>
      <c r="AL62" s="276"/>
      <c r="AM62" s="283"/>
      <c r="AN62" s="276"/>
      <c r="AO62" s="283"/>
      <c r="AP62" s="276"/>
      <c r="AQ62" s="283"/>
      <c r="AR62" s="276"/>
      <c r="AT62" s="283"/>
      <c r="AU62" s="276"/>
      <c r="AV62" s="283"/>
      <c r="AW62" s="276"/>
      <c r="AX62" s="283"/>
      <c r="AY62" s="276"/>
      <c r="AZ62" s="283"/>
      <c r="BA62" s="276"/>
      <c r="BB62" s="283"/>
      <c r="BC62" s="276"/>
      <c r="BD62" s="283"/>
      <c r="BE62" s="276"/>
      <c r="BG62" s="283"/>
      <c r="BH62" s="276"/>
      <c r="BI62" s="283"/>
      <c r="BJ62" s="276"/>
      <c r="BK62" s="283"/>
      <c r="BL62" s="276"/>
      <c r="BM62" s="283"/>
      <c r="BN62" s="276"/>
      <c r="BO62" s="283"/>
      <c r="BP62" s="276"/>
      <c r="BQ62" s="283"/>
      <c r="BR62" s="283"/>
      <c r="BS62" s="276"/>
    </row>
    <row r="63" spans="1:71" ht="12" customHeight="1">
      <c r="A63" s="160">
        <f t="shared" si="0"/>
        <v>62</v>
      </c>
      <c r="B63" s="281" t="str">
        <f t="shared" si="1"/>
        <v xml:space="preserve"> - </v>
      </c>
      <c r="C63" s="282" t="str">
        <f>IF(E63&gt;$G$2,"",Nasazení!B63)</f>
        <v/>
      </c>
      <c r="D63" s="281" t="str">
        <f ca="1">IF(TYPE(VLOOKUP(C63,Výsledky_skupin!$A$3:$B$130,2,0))&gt;4," -",VLOOKUP(C63,Výsledky_skupin!$A$3:$B$130,2,0))</f>
        <v/>
      </c>
      <c r="E63" s="160">
        <v>61</v>
      </c>
      <c r="F63" s="6">
        <f t="shared" si="2"/>
        <v>1</v>
      </c>
      <c r="L63" s="283"/>
      <c r="M63" s="276"/>
      <c r="N63" s="283"/>
      <c r="O63" s="276"/>
      <c r="P63" s="283"/>
      <c r="Q63" s="276"/>
      <c r="S63" s="283"/>
      <c r="T63" s="276"/>
      <c r="W63" s="283"/>
      <c r="X63" s="276"/>
      <c r="Y63" s="283"/>
      <c r="Z63" s="276"/>
      <c r="AA63" s="283"/>
      <c r="AB63" s="276"/>
      <c r="AC63" s="283"/>
      <c r="AE63" s="283"/>
      <c r="AF63" s="276"/>
      <c r="AI63" s="283"/>
      <c r="AJ63" s="276"/>
      <c r="AK63" s="283"/>
      <c r="AL63" s="276"/>
      <c r="AM63" s="283"/>
      <c r="AN63" s="276"/>
      <c r="AO63" s="283"/>
      <c r="AP63" s="276"/>
      <c r="AQ63" s="283"/>
      <c r="AR63" s="276"/>
      <c r="AT63" s="283"/>
      <c r="AU63" s="276"/>
      <c r="AV63" s="283"/>
      <c r="AW63" s="276"/>
      <c r="AX63" s="283"/>
      <c r="AY63" s="276"/>
      <c r="AZ63" s="283"/>
      <c r="BA63" s="276"/>
      <c r="BB63" s="283"/>
      <c r="BC63" s="276"/>
      <c r="BD63" s="283"/>
      <c r="BE63" s="276"/>
      <c r="BG63" s="283"/>
      <c r="BH63" s="276"/>
      <c r="BI63" s="283"/>
      <c r="BJ63" s="276"/>
      <c r="BK63" s="283"/>
      <c r="BL63" s="276"/>
      <c r="BM63" s="283"/>
      <c r="BN63" s="276"/>
      <c r="BO63" s="283"/>
      <c r="BP63" s="276"/>
      <c r="BQ63" s="283"/>
      <c r="BR63" s="283"/>
      <c r="BS63" s="276"/>
    </row>
    <row r="64" spans="1:71" ht="12" customHeight="1">
      <c r="A64" s="160">
        <f t="shared" si="0"/>
        <v>61</v>
      </c>
      <c r="B64" s="281" t="str">
        <f t="shared" si="1"/>
        <v xml:space="preserve"> - </v>
      </c>
      <c r="C64" s="282" t="str">
        <f>IF(E64&gt;$G$2,"",Nasazení!B64)</f>
        <v/>
      </c>
      <c r="D64" s="281" t="str">
        <f ca="1">IF(TYPE(VLOOKUP(C64,Výsledky_skupin!$A$3:$B$130,2,0))&gt;4," -",VLOOKUP(C64,Výsledky_skupin!$A$3:$B$130,2,0))</f>
        <v/>
      </c>
      <c r="E64" s="160">
        <v>62</v>
      </c>
      <c r="F64" s="6">
        <f t="shared" si="2"/>
        <v>-1</v>
      </c>
      <c r="L64" s="283"/>
      <c r="M64" s="276"/>
      <c r="N64" s="283"/>
      <c r="O64" s="276"/>
      <c r="P64" s="283"/>
      <c r="Q64" s="276"/>
      <c r="S64" s="283"/>
      <c r="T64" s="276"/>
      <c r="W64" s="283"/>
      <c r="X64" s="276"/>
      <c r="Y64" s="283"/>
      <c r="Z64" s="276"/>
      <c r="AA64" s="283"/>
      <c r="AB64" s="276"/>
      <c r="AC64" s="283"/>
      <c r="AE64" s="283"/>
      <c r="AF64" s="276"/>
      <c r="AI64" s="283"/>
      <c r="AJ64" s="276"/>
      <c r="AK64" s="283"/>
      <c r="AL64" s="276"/>
      <c r="AM64" s="283"/>
      <c r="AN64" s="276"/>
      <c r="AO64" s="283"/>
      <c r="AP64" s="276"/>
      <c r="AQ64" s="283"/>
      <c r="AR64" s="276"/>
      <c r="AT64" s="283"/>
      <c r="AU64" s="276"/>
      <c r="AV64" s="283"/>
      <c r="AW64" s="276"/>
      <c r="AX64" s="283"/>
      <c r="AY64" s="276"/>
      <c r="AZ64" s="283"/>
      <c r="BA64" s="276"/>
      <c r="BB64" s="283"/>
      <c r="BC64" s="276"/>
      <c r="BD64" s="283"/>
      <c r="BE64" s="276"/>
      <c r="BG64" s="283"/>
      <c r="BH64" s="276"/>
      <c r="BI64" s="283"/>
      <c r="BJ64" s="276"/>
      <c r="BK64" s="283"/>
      <c r="BL64" s="276"/>
      <c r="BM64" s="283"/>
      <c r="BN64" s="276"/>
      <c r="BO64" s="283"/>
      <c r="BP64" s="276"/>
      <c r="BQ64" s="283"/>
      <c r="BR64" s="283"/>
      <c r="BS64" s="276"/>
    </row>
    <row r="65" spans="1:71" ht="12" customHeight="1">
      <c r="A65" s="160">
        <f t="shared" si="0"/>
        <v>64</v>
      </c>
      <c r="B65" s="281" t="str">
        <f t="shared" si="1"/>
        <v xml:space="preserve"> - </v>
      </c>
      <c r="C65" s="282" t="str">
        <f>IF(E65&gt;$G$2,"",Nasazení!B65)</f>
        <v/>
      </c>
      <c r="D65" s="281" t="str">
        <f ca="1">IF(TYPE(VLOOKUP(C65,Výsledky_skupin!$A$3:$B$130,2,0))&gt;4," -",VLOOKUP(C65,Výsledky_skupin!$A$3:$B$130,2,0))</f>
        <v/>
      </c>
      <c r="E65" s="160">
        <v>63</v>
      </c>
      <c r="F65" s="6">
        <f t="shared" si="2"/>
        <v>1</v>
      </c>
      <c r="L65" s="283"/>
      <c r="M65" s="276"/>
      <c r="N65" s="283"/>
      <c r="O65" s="276"/>
      <c r="P65" s="283"/>
      <c r="Q65" s="276"/>
      <c r="S65" s="283"/>
      <c r="T65" s="276"/>
      <c r="W65" s="283"/>
      <c r="X65" s="276"/>
      <c r="Y65" s="283"/>
      <c r="Z65" s="276"/>
      <c r="AA65" s="283"/>
      <c r="AB65" s="276"/>
      <c r="AC65" s="283"/>
      <c r="AE65" s="283"/>
      <c r="AF65" s="276"/>
      <c r="AI65" s="283"/>
      <c r="AJ65" s="276"/>
      <c r="AK65" s="283"/>
      <c r="AL65" s="276"/>
      <c r="AM65" s="283"/>
      <c r="AN65" s="276"/>
      <c r="AO65" s="283"/>
      <c r="AP65" s="276"/>
      <c r="AQ65" s="283"/>
      <c r="AR65" s="276"/>
      <c r="AT65" s="283"/>
      <c r="AU65" s="276"/>
      <c r="AV65" s="283"/>
      <c r="AW65" s="276"/>
      <c r="AX65" s="283"/>
      <c r="AY65" s="276"/>
      <c r="AZ65" s="283"/>
      <c r="BA65" s="276"/>
      <c r="BB65" s="283"/>
      <c r="BC65" s="276"/>
      <c r="BD65" s="283"/>
      <c r="BE65" s="276"/>
      <c r="BG65" s="283"/>
      <c r="BH65" s="276"/>
      <c r="BI65" s="283"/>
      <c r="BJ65" s="276"/>
      <c r="BK65" s="283"/>
      <c r="BL65" s="276"/>
      <c r="BM65" s="283"/>
      <c r="BN65" s="276"/>
      <c r="BO65" s="283"/>
      <c r="BP65" s="276"/>
      <c r="BQ65" s="283"/>
      <c r="BR65" s="283"/>
      <c r="BS65" s="276"/>
    </row>
    <row r="66" spans="1:71" ht="12" customHeight="1">
      <c r="A66" s="160">
        <f t="shared" si="0"/>
        <v>63</v>
      </c>
      <c r="B66" s="281" t="str">
        <f t="shared" si="1"/>
        <v xml:space="preserve"> - </v>
      </c>
      <c r="C66" s="282" t="str">
        <f>IF(E66&gt;$G$2,"",Nasazení!B66)</f>
        <v/>
      </c>
      <c r="D66" s="281" t="str">
        <f ca="1">IF(TYPE(VLOOKUP(C66,Výsledky_skupin!$A$3:$B$130,2,0))&gt;4," -",VLOOKUP(C66,Výsledky_skupin!$A$3:$B$130,2,0))</f>
        <v/>
      </c>
      <c r="E66" s="160">
        <v>64</v>
      </c>
      <c r="F66" s="6">
        <f t="shared" si="2"/>
        <v>-1</v>
      </c>
      <c r="L66" s="283"/>
      <c r="M66" s="276"/>
      <c r="N66" s="283"/>
      <c r="O66" s="276"/>
      <c r="P66" s="283"/>
      <c r="Q66" s="276"/>
      <c r="S66" s="283"/>
      <c r="T66" s="276"/>
      <c r="W66" s="283"/>
      <c r="X66" s="276"/>
      <c r="Y66" s="283"/>
      <c r="Z66" s="276"/>
      <c r="AA66" s="283"/>
      <c r="AB66" s="276"/>
      <c r="AC66" s="283"/>
      <c r="AE66" s="283"/>
      <c r="AF66" s="276"/>
      <c r="AI66" s="283"/>
      <c r="AJ66" s="276"/>
      <c r="AK66" s="283"/>
      <c r="AL66" s="276"/>
      <c r="AM66" s="283"/>
      <c r="AN66" s="276"/>
      <c r="AO66" s="283"/>
      <c r="AP66" s="276"/>
      <c r="AQ66" s="283"/>
      <c r="AR66" s="276"/>
      <c r="AT66" s="283"/>
      <c r="AU66" s="276"/>
      <c r="AV66" s="283"/>
      <c r="AW66" s="276"/>
      <c r="AX66" s="283"/>
      <c r="AY66" s="276"/>
      <c r="AZ66" s="283"/>
      <c r="BA66" s="276"/>
      <c r="BB66" s="283"/>
      <c r="BC66" s="276"/>
      <c r="BD66" s="283"/>
      <c r="BE66" s="276"/>
      <c r="BG66" s="283"/>
      <c r="BH66" s="276"/>
      <c r="BI66" s="283"/>
      <c r="BJ66" s="276"/>
      <c r="BK66" s="283"/>
      <c r="BL66" s="276"/>
      <c r="BM66" s="283"/>
      <c r="BN66" s="276"/>
      <c r="BO66" s="283"/>
      <c r="BP66" s="276"/>
      <c r="BQ66" s="283"/>
      <c r="BR66" s="283"/>
      <c r="BS66" s="276"/>
    </row>
    <row r="67" spans="1:71" ht="12" customHeight="1">
      <c r="L67" s="283"/>
      <c r="M67" s="276"/>
      <c r="N67" s="283"/>
      <c r="O67" s="276"/>
      <c r="P67" s="283"/>
      <c r="Q67" s="276"/>
      <c r="S67" s="283"/>
      <c r="T67" s="276"/>
      <c r="W67" s="283"/>
      <c r="X67" s="276"/>
      <c r="Y67" s="283"/>
      <c r="Z67" s="276"/>
      <c r="AA67" s="283"/>
      <c r="AB67" s="276"/>
      <c r="AC67" s="283"/>
      <c r="AE67" s="283"/>
      <c r="AF67" s="276"/>
      <c r="AI67" s="283"/>
      <c r="AJ67" s="276"/>
      <c r="AK67" s="283"/>
      <c r="AL67" s="276"/>
      <c r="AM67" s="283"/>
      <c r="AN67" s="276"/>
      <c r="AO67" s="283"/>
      <c r="AP67" s="276"/>
      <c r="AQ67" s="283"/>
      <c r="AR67" s="276"/>
      <c r="AT67" s="283"/>
      <c r="AU67" s="276"/>
      <c r="AV67" s="283"/>
      <c r="AW67" s="276"/>
      <c r="AX67" s="283"/>
      <c r="AY67" s="276"/>
      <c r="AZ67" s="283"/>
      <c r="BA67" s="276"/>
      <c r="BB67" s="283"/>
      <c r="BC67" s="276"/>
      <c r="BD67" s="283"/>
      <c r="BE67" s="276"/>
      <c r="BG67" s="283"/>
      <c r="BH67" s="276"/>
      <c r="BI67" s="283"/>
      <c r="BJ67" s="276"/>
      <c r="BK67" s="283"/>
      <c r="BL67" s="276"/>
      <c r="BM67" s="283"/>
      <c r="BN67" s="276"/>
      <c r="BO67" s="283"/>
      <c r="BP67" s="276"/>
      <c r="BQ67" s="283"/>
      <c r="BR67" s="283"/>
      <c r="BS67" s="276"/>
    </row>
    <row r="68" spans="1:71" ht="12" customHeight="1">
      <c r="L68" s="283"/>
      <c r="M68" s="276"/>
      <c r="N68" s="283"/>
      <c r="O68" s="276"/>
      <c r="P68" s="283"/>
      <c r="Q68" s="276"/>
      <c r="S68" s="283"/>
      <c r="T68" s="276"/>
      <c r="W68" s="283"/>
      <c r="X68" s="276"/>
      <c r="Y68" s="283"/>
      <c r="Z68" s="276"/>
      <c r="AA68" s="283"/>
      <c r="AB68" s="276"/>
      <c r="AC68" s="283"/>
      <c r="AE68" s="283"/>
      <c r="AF68" s="276"/>
      <c r="AI68" s="283"/>
      <c r="AJ68" s="276"/>
      <c r="AK68" s="283"/>
      <c r="AL68" s="276"/>
      <c r="AM68" s="283"/>
      <c r="AN68" s="276"/>
      <c r="AO68" s="283"/>
      <c r="AP68" s="276"/>
      <c r="AQ68" s="283"/>
      <c r="AR68" s="276"/>
      <c r="AT68" s="283"/>
      <c r="AU68" s="276"/>
      <c r="AV68" s="283"/>
      <c r="AW68" s="276"/>
      <c r="AX68" s="283"/>
      <c r="AY68" s="276"/>
      <c r="AZ68" s="283"/>
      <c r="BA68" s="276"/>
      <c r="BB68" s="283"/>
      <c r="BC68" s="276"/>
      <c r="BD68" s="283"/>
      <c r="BE68" s="276"/>
      <c r="BG68" s="283"/>
      <c r="BH68" s="276"/>
      <c r="BI68" s="283"/>
      <c r="BJ68" s="276"/>
      <c r="BK68" s="283"/>
      <c r="BL68" s="276"/>
      <c r="BM68" s="283"/>
      <c r="BN68" s="276"/>
      <c r="BO68" s="283"/>
      <c r="BP68" s="276"/>
      <c r="BQ68" s="283"/>
      <c r="BR68" s="283"/>
      <c r="BS68" s="276"/>
    </row>
    <row r="69" spans="1:71" ht="12" customHeight="1">
      <c r="L69" s="283"/>
      <c r="M69" s="276"/>
      <c r="N69" s="283"/>
      <c r="O69" s="276"/>
      <c r="P69" s="283"/>
      <c r="Q69" s="276"/>
      <c r="S69" s="283"/>
      <c r="T69" s="276"/>
      <c r="W69" s="283"/>
      <c r="X69" s="276"/>
      <c r="Y69" s="283"/>
      <c r="Z69" s="276"/>
      <c r="AA69" s="283"/>
      <c r="AB69" s="276"/>
      <c r="AC69" s="283"/>
      <c r="AE69" s="283"/>
      <c r="AF69" s="276"/>
      <c r="AI69" s="283"/>
      <c r="AJ69" s="276"/>
      <c r="AK69" s="283"/>
      <c r="AL69" s="276"/>
      <c r="AM69" s="283"/>
      <c r="AN69" s="276"/>
      <c r="AO69" s="283"/>
      <c r="AP69" s="276"/>
      <c r="AQ69" s="283"/>
      <c r="AR69" s="276"/>
      <c r="AT69" s="283"/>
      <c r="AU69" s="276"/>
      <c r="AV69" s="283"/>
      <c r="AW69" s="276"/>
      <c r="AX69" s="283"/>
      <c r="AY69" s="276"/>
      <c r="AZ69" s="283"/>
      <c r="BA69" s="276"/>
      <c r="BB69" s="283"/>
      <c r="BC69" s="276"/>
      <c r="BD69" s="283"/>
      <c r="BE69" s="276"/>
      <c r="BG69" s="283"/>
      <c r="BH69" s="276"/>
      <c r="BI69" s="283"/>
      <c r="BJ69" s="276"/>
      <c r="BK69" s="283"/>
      <c r="BL69" s="276"/>
      <c r="BM69" s="283"/>
      <c r="BN69" s="276"/>
      <c r="BO69" s="283"/>
      <c r="BP69" s="276"/>
      <c r="BQ69" s="283"/>
      <c r="BR69" s="283"/>
      <c r="BS69" s="276"/>
    </row>
    <row r="70" spans="1:71" ht="12" customHeight="1">
      <c r="L70" s="283"/>
      <c r="M70" s="276"/>
      <c r="N70" s="283"/>
      <c r="O70" s="276"/>
      <c r="P70" s="283"/>
      <c r="Q70" s="276"/>
      <c r="S70" s="283"/>
      <c r="T70" s="276"/>
      <c r="W70" s="283"/>
      <c r="X70" s="276"/>
      <c r="Y70" s="283"/>
      <c r="Z70" s="276"/>
      <c r="AA70" s="283"/>
      <c r="AB70" s="276"/>
      <c r="AC70" s="283"/>
      <c r="AE70" s="283"/>
      <c r="AF70" s="276"/>
      <c r="AI70" s="283"/>
      <c r="AJ70" s="276"/>
      <c r="AK70" s="283"/>
      <c r="AL70" s="276"/>
      <c r="AM70" s="283"/>
      <c r="AN70" s="276"/>
      <c r="AO70" s="283"/>
      <c r="AP70" s="276"/>
      <c r="AQ70" s="283"/>
      <c r="AR70" s="276"/>
      <c r="AT70" s="283"/>
      <c r="AU70" s="276"/>
      <c r="AV70" s="283"/>
      <c r="AW70" s="276"/>
      <c r="AX70" s="283"/>
      <c r="AY70" s="276"/>
      <c r="AZ70" s="283"/>
      <c r="BA70" s="276"/>
      <c r="BB70" s="283"/>
      <c r="BC70" s="276"/>
      <c r="BD70" s="283"/>
      <c r="BE70" s="276"/>
      <c r="BG70" s="283"/>
      <c r="BH70" s="276"/>
      <c r="BI70" s="283"/>
      <c r="BJ70" s="276"/>
      <c r="BK70" s="283"/>
      <c r="BL70" s="276"/>
      <c r="BM70" s="283"/>
      <c r="BN70" s="276"/>
      <c r="BO70" s="283"/>
      <c r="BP70" s="276"/>
      <c r="BQ70" s="283"/>
      <c r="BR70" s="283"/>
      <c r="BS70" s="276"/>
    </row>
    <row r="71" spans="1:71" ht="12" customHeight="1">
      <c r="L71" s="283"/>
      <c r="M71" s="276"/>
      <c r="N71" s="283"/>
      <c r="O71" s="276"/>
      <c r="P71" s="283"/>
      <c r="Q71" s="276"/>
      <c r="S71" s="283"/>
      <c r="T71" s="276"/>
      <c r="W71" s="283"/>
      <c r="X71" s="276"/>
      <c r="Y71" s="283"/>
      <c r="Z71" s="276"/>
      <c r="AA71" s="283"/>
      <c r="AB71" s="276"/>
      <c r="AC71" s="283"/>
      <c r="AE71" s="283"/>
      <c r="AF71" s="276"/>
      <c r="AI71" s="283"/>
      <c r="AJ71" s="276"/>
      <c r="AK71" s="283"/>
      <c r="AL71" s="276"/>
      <c r="AM71" s="283"/>
      <c r="AN71" s="276"/>
      <c r="AO71" s="283"/>
      <c r="AP71" s="276"/>
      <c r="AQ71" s="283"/>
      <c r="AR71" s="276"/>
      <c r="AT71" s="283"/>
      <c r="AU71" s="276"/>
      <c r="AV71" s="283"/>
      <c r="AW71" s="276"/>
      <c r="AX71" s="283"/>
      <c r="AY71" s="276"/>
      <c r="AZ71" s="283"/>
      <c r="BA71" s="276"/>
      <c r="BB71" s="283"/>
      <c r="BC71" s="276"/>
      <c r="BD71" s="283"/>
      <c r="BE71" s="276"/>
      <c r="BG71" s="283"/>
      <c r="BH71" s="276"/>
      <c r="BI71" s="283"/>
      <c r="BJ71" s="276"/>
      <c r="BK71" s="283"/>
      <c r="BL71" s="276"/>
      <c r="BM71" s="283"/>
      <c r="BN71" s="276"/>
      <c r="BO71" s="283"/>
      <c r="BP71" s="276"/>
      <c r="BQ71" s="283"/>
      <c r="BR71" s="283"/>
      <c r="BS71" s="276"/>
    </row>
    <row r="72" spans="1:71" ht="12" customHeight="1">
      <c r="L72" s="283"/>
      <c r="M72" s="276"/>
      <c r="N72" s="283"/>
      <c r="O72" s="276"/>
      <c r="P72" s="283"/>
      <c r="Q72" s="276"/>
      <c r="S72" s="283"/>
      <c r="T72" s="276"/>
      <c r="W72" s="283"/>
      <c r="X72" s="276"/>
      <c r="Y72" s="283"/>
      <c r="Z72" s="276"/>
      <c r="AA72" s="283"/>
      <c r="AB72" s="276"/>
      <c r="AC72" s="283"/>
      <c r="AE72" s="283"/>
      <c r="AF72" s="276"/>
      <c r="AI72" s="283"/>
      <c r="AJ72" s="276"/>
      <c r="AK72" s="283"/>
      <c r="AL72" s="276"/>
      <c r="AM72" s="283"/>
      <c r="AN72" s="276"/>
      <c r="AO72" s="283"/>
      <c r="AP72" s="276"/>
      <c r="AQ72" s="283"/>
      <c r="AR72" s="276"/>
      <c r="AT72" s="283"/>
      <c r="AU72" s="276"/>
      <c r="AV72" s="283"/>
      <c r="AW72" s="276"/>
      <c r="AX72" s="283"/>
      <c r="AY72" s="276"/>
      <c r="AZ72" s="283"/>
      <c r="BA72" s="276"/>
      <c r="BB72" s="283"/>
      <c r="BC72" s="276"/>
      <c r="BD72" s="283"/>
      <c r="BE72" s="276"/>
      <c r="BG72" s="283"/>
      <c r="BH72" s="276"/>
      <c r="BI72" s="283"/>
      <c r="BJ72" s="276"/>
      <c r="BK72" s="283"/>
      <c r="BL72" s="276"/>
      <c r="BM72" s="283"/>
      <c r="BN72" s="276"/>
      <c r="BO72" s="283"/>
      <c r="BP72" s="276"/>
      <c r="BQ72" s="283"/>
      <c r="BR72" s="283"/>
      <c r="BS72" s="276"/>
    </row>
    <row r="73" spans="1:71" ht="12" customHeight="1">
      <c r="L73" s="283"/>
      <c r="M73" s="276"/>
      <c r="N73" s="283"/>
      <c r="O73" s="276"/>
      <c r="P73" s="283"/>
      <c r="Q73" s="276"/>
      <c r="S73" s="283"/>
      <c r="T73" s="276"/>
      <c r="W73" s="283"/>
      <c r="X73" s="276"/>
      <c r="Y73" s="283"/>
      <c r="Z73" s="276"/>
      <c r="AA73" s="283"/>
      <c r="AB73" s="276"/>
      <c r="AC73" s="283"/>
      <c r="AE73" s="283"/>
      <c r="AF73" s="276"/>
      <c r="AI73" s="283"/>
      <c r="AJ73" s="276"/>
      <c r="AK73" s="283"/>
      <c r="AL73" s="276"/>
      <c r="AM73" s="283"/>
      <c r="AN73" s="276"/>
      <c r="AO73" s="283"/>
      <c r="AP73" s="276"/>
      <c r="AQ73" s="283"/>
      <c r="AR73" s="276"/>
      <c r="AT73" s="283"/>
      <c r="AU73" s="276"/>
      <c r="AV73" s="283"/>
      <c r="AW73" s="276"/>
      <c r="AX73" s="283"/>
      <c r="AY73" s="276"/>
      <c r="AZ73" s="283"/>
      <c r="BA73" s="276"/>
      <c r="BB73" s="283"/>
      <c r="BC73" s="276"/>
      <c r="BD73" s="283"/>
      <c r="BE73" s="276"/>
      <c r="BG73" s="283"/>
      <c r="BH73" s="276"/>
      <c r="BI73" s="283"/>
      <c r="BJ73" s="276"/>
      <c r="BK73" s="283"/>
      <c r="BL73" s="276"/>
      <c r="BM73" s="283"/>
      <c r="BN73" s="276"/>
      <c r="BO73" s="283"/>
      <c r="BP73" s="276"/>
      <c r="BQ73" s="283"/>
      <c r="BR73" s="283"/>
      <c r="BS73" s="276"/>
    </row>
    <row r="74" spans="1:71" ht="12" customHeight="1">
      <c r="L74" s="283"/>
      <c r="M74" s="276"/>
      <c r="N74" s="283"/>
      <c r="O74" s="276"/>
      <c r="P74" s="283"/>
      <c r="Q74" s="276"/>
      <c r="S74" s="283"/>
      <c r="T74" s="276"/>
      <c r="W74" s="283"/>
      <c r="X74" s="276"/>
      <c r="Y74" s="283"/>
      <c r="Z74" s="276"/>
      <c r="AA74" s="283"/>
      <c r="AB74" s="276"/>
      <c r="AC74" s="283"/>
      <c r="AE74" s="283"/>
      <c r="AF74" s="276"/>
      <c r="AI74" s="283"/>
      <c r="AJ74" s="276"/>
      <c r="AK74" s="283"/>
      <c r="AL74" s="276"/>
      <c r="AM74" s="283"/>
      <c r="AN74" s="276"/>
      <c r="AO74" s="283"/>
      <c r="AP74" s="276"/>
      <c r="AQ74" s="283"/>
      <c r="AR74" s="276"/>
      <c r="AT74" s="283"/>
      <c r="AU74" s="276"/>
      <c r="AV74" s="283"/>
      <c r="AW74" s="276"/>
      <c r="AX74" s="283"/>
      <c r="AY74" s="276"/>
      <c r="AZ74" s="283"/>
      <c r="BA74" s="276"/>
      <c r="BB74" s="283"/>
      <c r="BC74" s="276"/>
      <c r="BD74" s="283"/>
      <c r="BE74" s="276"/>
      <c r="BG74" s="283"/>
      <c r="BH74" s="276"/>
      <c r="BI74" s="283"/>
      <c r="BJ74" s="276"/>
      <c r="BK74" s="283"/>
      <c r="BL74" s="276"/>
      <c r="BM74" s="283"/>
      <c r="BN74" s="276"/>
      <c r="BO74" s="283"/>
      <c r="BP74" s="276"/>
      <c r="BQ74" s="283"/>
      <c r="BR74" s="283"/>
      <c r="BS74" s="276"/>
    </row>
    <row r="75" spans="1:71" ht="12" customHeight="1">
      <c r="L75" s="283"/>
      <c r="M75" s="276"/>
      <c r="N75" s="283"/>
      <c r="O75" s="276"/>
      <c r="P75" s="283"/>
      <c r="Q75" s="276"/>
      <c r="S75" s="283"/>
      <c r="T75" s="276"/>
      <c r="W75" s="283"/>
      <c r="X75" s="276"/>
      <c r="Y75" s="283"/>
      <c r="Z75" s="276"/>
      <c r="AA75" s="283"/>
      <c r="AB75" s="276"/>
      <c r="AC75" s="283"/>
      <c r="AE75" s="283"/>
      <c r="AF75" s="276"/>
      <c r="AI75" s="283"/>
      <c r="AJ75" s="276"/>
      <c r="AK75" s="283"/>
      <c r="AL75" s="276"/>
      <c r="AM75" s="283"/>
      <c r="AN75" s="276"/>
      <c r="AO75" s="283"/>
      <c r="AP75" s="276"/>
      <c r="AQ75" s="283"/>
      <c r="AR75" s="276"/>
      <c r="AT75" s="283"/>
      <c r="AU75" s="276"/>
      <c r="AV75" s="283"/>
      <c r="AW75" s="276"/>
      <c r="AX75" s="283"/>
      <c r="AY75" s="276"/>
      <c r="AZ75" s="283"/>
      <c r="BA75" s="276"/>
      <c r="BB75" s="283"/>
      <c r="BC75" s="276"/>
      <c r="BD75" s="283"/>
      <c r="BE75" s="276"/>
      <c r="BG75" s="283"/>
      <c r="BH75" s="276"/>
      <c r="BI75" s="283"/>
      <c r="BJ75" s="276"/>
      <c r="BK75" s="283"/>
      <c r="BL75" s="276"/>
      <c r="BM75" s="283"/>
      <c r="BN75" s="276"/>
      <c r="BO75" s="283"/>
      <c r="BP75" s="276"/>
      <c r="BQ75" s="283"/>
      <c r="BR75" s="283"/>
      <c r="BS75" s="276"/>
    </row>
    <row r="76" spans="1:71" ht="12" customHeight="1">
      <c r="L76" s="283"/>
      <c r="M76" s="276"/>
      <c r="N76" s="283"/>
      <c r="O76" s="276"/>
      <c r="P76" s="283"/>
      <c r="Q76" s="276"/>
      <c r="S76" s="283"/>
      <c r="T76" s="276"/>
      <c r="W76" s="283"/>
      <c r="X76" s="276"/>
      <c r="Y76" s="283"/>
      <c r="Z76" s="276"/>
      <c r="AA76" s="283"/>
      <c r="AB76" s="276"/>
      <c r="AC76" s="283"/>
      <c r="AE76" s="283"/>
      <c r="AF76" s="276"/>
      <c r="AI76" s="283"/>
      <c r="AJ76" s="276"/>
      <c r="AK76" s="283"/>
      <c r="AL76" s="276"/>
      <c r="AM76" s="283"/>
      <c r="AN76" s="276"/>
      <c r="AO76" s="283"/>
      <c r="AP76" s="276"/>
      <c r="AQ76" s="283"/>
      <c r="AR76" s="276"/>
      <c r="AT76" s="283"/>
      <c r="AU76" s="276"/>
      <c r="AV76" s="283"/>
      <c r="AW76" s="276"/>
      <c r="AX76" s="283"/>
      <c r="AY76" s="276"/>
      <c r="AZ76" s="283"/>
      <c r="BA76" s="276"/>
      <c r="BB76" s="283"/>
      <c r="BC76" s="276"/>
      <c r="BD76" s="283"/>
      <c r="BE76" s="276"/>
      <c r="BG76" s="283"/>
      <c r="BH76" s="276"/>
      <c r="BI76" s="283"/>
      <c r="BJ76" s="276"/>
      <c r="BK76" s="283"/>
      <c r="BL76" s="276"/>
      <c r="BM76" s="283"/>
      <c r="BN76" s="276"/>
      <c r="BO76" s="283"/>
      <c r="BP76" s="276"/>
      <c r="BQ76" s="283"/>
      <c r="BR76" s="283"/>
      <c r="BS76" s="276"/>
    </row>
    <row r="77" spans="1:71" ht="12" customHeight="1">
      <c r="L77" s="283"/>
      <c r="M77" s="276"/>
      <c r="N77" s="283"/>
      <c r="O77" s="276"/>
      <c r="P77" s="283"/>
      <c r="Q77" s="276"/>
      <c r="S77" s="283"/>
      <c r="T77" s="276"/>
      <c r="W77" s="283"/>
      <c r="X77" s="276"/>
      <c r="Y77" s="283"/>
      <c r="Z77" s="276"/>
      <c r="AA77" s="283"/>
      <c r="AB77" s="276"/>
      <c r="AC77" s="283"/>
      <c r="AE77" s="283"/>
      <c r="AF77" s="276"/>
      <c r="AI77" s="283"/>
      <c r="AJ77" s="276"/>
      <c r="AK77" s="283"/>
      <c r="AL77" s="276"/>
      <c r="AM77" s="283"/>
      <c r="AN77" s="276"/>
      <c r="AO77" s="283"/>
      <c r="AP77" s="276"/>
      <c r="AQ77" s="283"/>
      <c r="AR77" s="276"/>
      <c r="AT77" s="283"/>
      <c r="AU77" s="276"/>
      <c r="AV77" s="283"/>
      <c r="AW77" s="276"/>
      <c r="AX77" s="283"/>
      <c r="AY77" s="276"/>
      <c r="AZ77" s="283"/>
      <c r="BA77" s="276"/>
      <c r="BB77" s="283"/>
      <c r="BC77" s="276"/>
      <c r="BD77" s="283"/>
      <c r="BE77" s="276"/>
      <c r="BG77" s="283"/>
      <c r="BH77" s="276"/>
      <c r="BI77" s="283"/>
      <c r="BJ77" s="276"/>
      <c r="BK77" s="283"/>
      <c r="BL77" s="276"/>
      <c r="BM77" s="283"/>
      <c r="BN77" s="276"/>
      <c r="BO77" s="283"/>
      <c r="BP77" s="276"/>
      <c r="BQ77" s="283"/>
      <c r="BR77" s="283"/>
      <c r="BS77" s="276"/>
    </row>
    <row r="78" spans="1:71" ht="12" customHeight="1">
      <c r="L78" s="283"/>
      <c r="M78" s="276"/>
      <c r="N78" s="283"/>
      <c r="O78" s="276"/>
      <c r="P78" s="283"/>
      <c r="Q78" s="276"/>
      <c r="S78" s="283"/>
      <c r="T78" s="276"/>
      <c r="W78" s="283"/>
      <c r="X78" s="276"/>
      <c r="Y78" s="283"/>
      <c r="Z78" s="276"/>
      <c r="AA78" s="283"/>
      <c r="AB78" s="276"/>
      <c r="AC78" s="283"/>
      <c r="AE78" s="283"/>
      <c r="AF78" s="276"/>
      <c r="AI78" s="283"/>
      <c r="AJ78" s="276"/>
      <c r="AK78" s="283"/>
      <c r="AL78" s="276"/>
      <c r="AM78" s="283"/>
      <c r="AN78" s="276"/>
      <c r="AO78" s="283"/>
      <c r="AP78" s="276"/>
      <c r="AQ78" s="283"/>
      <c r="AR78" s="276"/>
      <c r="AT78" s="283"/>
      <c r="AU78" s="276"/>
      <c r="AV78" s="283"/>
      <c r="AW78" s="276"/>
      <c r="AX78" s="283"/>
      <c r="AY78" s="276"/>
      <c r="AZ78" s="283"/>
      <c r="BA78" s="276"/>
      <c r="BB78" s="283"/>
      <c r="BC78" s="276"/>
      <c r="BD78" s="283"/>
      <c r="BE78" s="276"/>
      <c r="BG78" s="283"/>
      <c r="BH78" s="276"/>
      <c r="BI78" s="283"/>
      <c r="BJ78" s="276"/>
      <c r="BK78" s="283"/>
      <c r="BL78" s="276"/>
      <c r="BM78" s="283"/>
      <c r="BN78" s="276"/>
      <c r="BO78" s="283"/>
      <c r="BP78" s="276"/>
      <c r="BQ78" s="283"/>
      <c r="BR78" s="283"/>
      <c r="BS78" s="276"/>
    </row>
    <row r="79" spans="1:71" ht="12" customHeight="1">
      <c r="L79" s="283"/>
      <c r="M79" s="276"/>
      <c r="N79" s="283"/>
      <c r="O79" s="276"/>
      <c r="P79" s="283"/>
      <c r="Q79" s="276"/>
      <c r="S79" s="283"/>
      <c r="T79" s="276"/>
      <c r="W79" s="283"/>
      <c r="X79" s="276"/>
      <c r="Y79" s="283"/>
      <c r="Z79" s="276"/>
      <c r="AA79" s="283"/>
      <c r="AB79" s="276"/>
      <c r="AC79" s="283"/>
      <c r="AE79" s="283"/>
      <c r="AF79" s="276"/>
      <c r="AI79" s="283"/>
      <c r="AJ79" s="276"/>
      <c r="AK79" s="283"/>
      <c r="AL79" s="276"/>
      <c r="AM79" s="283"/>
      <c r="AN79" s="276"/>
      <c r="AO79" s="283"/>
      <c r="AP79" s="276"/>
      <c r="AQ79" s="283"/>
      <c r="AR79" s="276"/>
      <c r="AT79" s="283"/>
      <c r="AU79" s="276"/>
      <c r="AV79" s="283"/>
      <c r="AW79" s="276"/>
      <c r="AX79" s="283"/>
      <c r="AY79" s="276"/>
      <c r="AZ79" s="283"/>
      <c r="BA79" s="276"/>
      <c r="BB79" s="283"/>
      <c r="BC79" s="276"/>
      <c r="BD79" s="283"/>
      <c r="BE79" s="276"/>
      <c r="BG79" s="283"/>
      <c r="BH79" s="276"/>
      <c r="BI79" s="283"/>
      <c r="BJ79" s="276"/>
      <c r="BK79" s="283"/>
      <c r="BL79" s="276"/>
      <c r="BM79" s="283"/>
      <c r="BN79" s="276"/>
      <c r="BO79" s="283"/>
      <c r="BP79" s="276"/>
      <c r="BQ79" s="283"/>
      <c r="BR79" s="283"/>
      <c r="BS79" s="276"/>
    </row>
    <row r="80" spans="1:71" ht="12" customHeight="1">
      <c r="L80" s="283"/>
      <c r="M80" s="276"/>
      <c r="N80" s="283"/>
      <c r="O80" s="276"/>
      <c r="P80" s="283"/>
      <c r="Q80" s="276"/>
      <c r="S80" s="283"/>
      <c r="T80" s="276"/>
      <c r="W80" s="283"/>
      <c r="X80" s="276"/>
      <c r="Y80" s="283"/>
      <c r="Z80" s="276"/>
      <c r="AA80" s="283"/>
      <c r="AB80" s="276"/>
      <c r="AC80" s="283"/>
      <c r="AE80" s="283"/>
      <c r="AF80" s="276"/>
      <c r="AI80" s="283"/>
      <c r="AJ80" s="276"/>
      <c r="AK80" s="283"/>
      <c r="AL80" s="276"/>
      <c r="AM80" s="283"/>
      <c r="AN80" s="276"/>
      <c r="AO80" s="283"/>
      <c r="AP80" s="276"/>
      <c r="AQ80" s="283"/>
      <c r="AR80" s="276"/>
      <c r="AT80" s="283"/>
      <c r="AU80" s="276"/>
      <c r="AV80" s="283"/>
      <c r="AW80" s="276"/>
      <c r="AX80" s="283"/>
      <c r="AY80" s="276"/>
      <c r="AZ80" s="283"/>
      <c r="BA80" s="276"/>
      <c r="BB80" s="283"/>
      <c r="BC80" s="276"/>
      <c r="BD80" s="283"/>
      <c r="BE80" s="276"/>
      <c r="BG80" s="283"/>
      <c r="BH80" s="276"/>
      <c r="BI80" s="283"/>
      <c r="BJ80" s="276"/>
      <c r="BK80" s="283"/>
      <c r="BL80" s="276"/>
      <c r="BM80" s="283"/>
      <c r="BN80" s="276"/>
      <c r="BO80" s="283"/>
      <c r="BP80" s="276"/>
      <c r="BQ80" s="283"/>
      <c r="BR80" s="283"/>
      <c r="BS80" s="276"/>
    </row>
    <row r="81" spans="12:71" ht="12" customHeight="1">
      <c r="L81" s="283"/>
      <c r="M81" s="276"/>
      <c r="N81" s="283"/>
      <c r="O81" s="276"/>
      <c r="P81" s="283"/>
      <c r="Q81" s="276"/>
      <c r="S81" s="283"/>
      <c r="T81" s="276"/>
      <c r="W81" s="283"/>
      <c r="X81" s="276"/>
      <c r="Y81" s="283"/>
      <c r="Z81" s="276"/>
      <c r="AA81" s="283"/>
      <c r="AB81" s="276"/>
      <c r="AC81" s="283"/>
      <c r="AE81" s="283"/>
      <c r="AF81" s="276"/>
      <c r="AI81" s="283"/>
      <c r="AJ81" s="276"/>
      <c r="AK81" s="283"/>
      <c r="AL81" s="276"/>
      <c r="AM81" s="283"/>
      <c r="AN81" s="276"/>
      <c r="AO81" s="283"/>
      <c r="AP81" s="276"/>
      <c r="AQ81" s="283"/>
      <c r="AR81" s="276"/>
      <c r="AT81" s="283"/>
      <c r="AU81" s="276"/>
      <c r="AV81" s="283"/>
      <c r="AW81" s="276"/>
      <c r="AX81" s="283"/>
      <c r="AY81" s="276"/>
      <c r="AZ81" s="283"/>
      <c r="BA81" s="276"/>
      <c r="BB81" s="283"/>
      <c r="BC81" s="276"/>
      <c r="BD81" s="283"/>
      <c r="BE81" s="276"/>
      <c r="BG81" s="283"/>
      <c r="BH81" s="276"/>
      <c r="BI81" s="283"/>
      <c r="BJ81" s="276"/>
      <c r="BK81" s="283"/>
      <c r="BL81" s="276"/>
      <c r="BM81" s="283"/>
      <c r="BN81" s="276"/>
      <c r="BO81" s="283"/>
      <c r="BP81" s="276"/>
      <c r="BQ81" s="283"/>
      <c r="BR81" s="283"/>
      <c r="BS81" s="276"/>
    </row>
    <row r="82" spans="12:71" ht="12" customHeight="1">
      <c r="L82" s="283"/>
      <c r="M82" s="276"/>
      <c r="N82" s="283"/>
      <c r="O82" s="276"/>
      <c r="P82" s="283"/>
      <c r="Q82" s="276"/>
      <c r="S82" s="283"/>
      <c r="T82" s="276"/>
      <c r="W82" s="283"/>
      <c r="X82" s="276"/>
      <c r="Y82" s="283"/>
      <c r="Z82" s="276"/>
      <c r="AA82" s="283"/>
      <c r="AB82" s="276"/>
      <c r="AC82" s="283"/>
      <c r="AE82" s="283"/>
      <c r="AF82" s="276"/>
      <c r="AI82" s="283"/>
      <c r="AJ82" s="276"/>
      <c r="AK82" s="283"/>
      <c r="AL82" s="276"/>
      <c r="AM82" s="283"/>
      <c r="AN82" s="276"/>
      <c r="AO82" s="283"/>
      <c r="AP82" s="276"/>
      <c r="AQ82" s="283"/>
      <c r="AR82" s="276"/>
      <c r="AT82" s="283"/>
      <c r="AU82" s="276"/>
      <c r="AV82" s="283"/>
      <c r="AW82" s="276"/>
      <c r="AX82" s="283"/>
      <c r="AY82" s="276"/>
      <c r="AZ82" s="283"/>
      <c r="BA82" s="276"/>
      <c r="BB82" s="283"/>
      <c r="BC82" s="276"/>
      <c r="BD82" s="283"/>
      <c r="BE82" s="276"/>
      <c r="BG82" s="283"/>
      <c r="BH82" s="276"/>
      <c r="BI82" s="283"/>
      <c r="BJ82" s="276"/>
      <c r="BK82" s="283"/>
      <c r="BL82" s="276"/>
      <c r="BM82" s="283"/>
      <c r="BN82" s="276"/>
      <c r="BO82" s="283"/>
      <c r="BP82" s="276"/>
      <c r="BQ82" s="283"/>
      <c r="BR82" s="283"/>
      <c r="BS82" s="276"/>
    </row>
    <row r="83" spans="12:71" ht="12" customHeight="1">
      <c r="L83" s="283"/>
      <c r="M83" s="276"/>
      <c r="N83" s="283"/>
      <c r="O83" s="276"/>
      <c r="P83" s="283"/>
      <c r="Q83" s="276"/>
      <c r="S83" s="283"/>
      <c r="T83" s="276"/>
      <c r="W83" s="283"/>
      <c r="X83" s="276"/>
      <c r="Y83" s="283"/>
      <c r="Z83" s="276"/>
      <c r="AA83" s="283"/>
      <c r="AB83" s="276"/>
      <c r="AC83" s="283"/>
      <c r="AE83" s="283"/>
      <c r="AF83" s="276"/>
      <c r="AI83" s="283"/>
      <c r="AJ83" s="276"/>
      <c r="AK83" s="283"/>
      <c r="AL83" s="276"/>
      <c r="AM83" s="283"/>
      <c r="AN83" s="276"/>
      <c r="AO83" s="283"/>
      <c r="AP83" s="276"/>
      <c r="AQ83" s="283"/>
      <c r="AR83" s="276"/>
      <c r="AT83" s="283"/>
      <c r="AU83" s="276"/>
      <c r="AV83" s="283"/>
      <c r="AW83" s="276"/>
      <c r="AX83" s="283"/>
      <c r="AY83" s="276"/>
      <c r="AZ83" s="283"/>
      <c r="BA83" s="276"/>
      <c r="BB83" s="283"/>
      <c r="BC83" s="276"/>
      <c r="BD83" s="283"/>
      <c r="BE83" s="276"/>
      <c r="BG83" s="283"/>
      <c r="BH83" s="276"/>
      <c r="BI83" s="283"/>
      <c r="BJ83" s="276"/>
      <c r="BK83" s="283"/>
      <c r="BL83" s="276"/>
      <c r="BM83" s="283"/>
      <c r="BN83" s="276"/>
      <c r="BO83" s="283"/>
      <c r="BP83" s="276"/>
      <c r="BQ83" s="283"/>
      <c r="BR83" s="283"/>
      <c r="BS83" s="276"/>
    </row>
    <row r="84" spans="12:71" ht="12" customHeight="1">
      <c r="L84" s="283"/>
      <c r="M84" s="276"/>
      <c r="N84" s="283"/>
      <c r="O84" s="276"/>
      <c r="P84" s="283"/>
      <c r="Q84" s="276"/>
      <c r="S84" s="283"/>
      <c r="T84" s="276"/>
      <c r="W84" s="283"/>
      <c r="X84" s="276"/>
      <c r="Y84" s="283"/>
      <c r="Z84" s="276"/>
      <c r="AA84" s="283"/>
      <c r="AB84" s="276"/>
      <c r="AC84" s="283"/>
      <c r="AE84" s="283"/>
      <c r="AF84" s="276"/>
      <c r="AI84" s="283"/>
      <c r="AJ84" s="276"/>
      <c r="AK84" s="283"/>
      <c r="AL84" s="276"/>
      <c r="AM84" s="283"/>
      <c r="AN84" s="276"/>
      <c r="AO84" s="283"/>
      <c r="AP84" s="276"/>
      <c r="AQ84" s="283"/>
      <c r="AR84" s="276"/>
      <c r="AT84" s="283"/>
      <c r="AU84" s="276"/>
      <c r="AV84" s="283"/>
      <c r="AW84" s="276"/>
      <c r="AX84" s="283"/>
      <c r="AY84" s="276"/>
      <c r="AZ84" s="283"/>
      <c r="BA84" s="276"/>
      <c r="BB84" s="283"/>
      <c r="BC84" s="276"/>
      <c r="BD84" s="283"/>
      <c r="BE84" s="276"/>
      <c r="BG84" s="283"/>
      <c r="BH84" s="276"/>
      <c r="BI84" s="283"/>
      <c r="BJ84" s="276"/>
      <c r="BK84" s="283"/>
      <c r="BL84" s="276"/>
      <c r="BM84" s="283"/>
      <c r="BN84" s="276"/>
      <c r="BO84" s="283"/>
      <c r="BP84" s="276"/>
      <c r="BQ84" s="283"/>
      <c r="BR84" s="283"/>
      <c r="BS84" s="276"/>
    </row>
    <row r="85" spans="12:71" ht="12" customHeight="1">
      <c r="L85" s="283"/>
      <c r="M85" s="276"/>
      <c r="N85" s="283"/>
      <c r="O85" s="276"/>
      <c r="P85" s="283"/>
      <c r="Q85" s="276"/>
      <c r="S85" s="283"/>
      <c r="T85" s="276"/>
      <c r="W85" s="283"/>
      <c r="X85" s="276"/>
      <c r="Y85" s="283"/>
      <c r="Z85" s="276"/>
      <c r="AA85" s="283"/>
      <c r="AB85" s="276"/>
      <c r="AC85" s="283"/>
      <c r="AE85" s="283"/>
      <c r="AF85" s="276"/>
      <c r="AI85" s="283"/>
      <c r="AJ85" s="276"/>
      <c r="AK85" s="283"/>
      <c r="AL85" s="276"/>
      <c r="AM85" s="283"/>
      <c r="AN85" s="276"/>
      <c r="AO85" s="283"/>
      <c r="AP85" s="276"/>
      <c r="AQ85" s="283"/>
      <c r="AR85" s="276"/>
      <c r="AT85" s="283"/>
      <c r="AU85" s="276"/>
      <c r="AV85" s="283"/>
      <c r="AW85" s="276"/>
      <c r="AX85" s="283"/>
      <c r="AY85" s="276"/>
      <c r="AZ85" s="283"/>
      <c r="BA85" s="276"/>
      <c r="BB85" s="283"/>
      <c r="BC85" s="276"/>
      <c r="BD85" s="283"/>
      <c r="BE85" s="276"/>
      <c r="BG85" s="283"/>
      <c r="BH85" s="276"/>
      <c r="BI85" s="283"/>
      <c r="BJ85" s="276"/>
      <c r="BK85" s="283"/>
      <c r="BL85" s="276"/>
      <c r="BM85" s="283"/>
      <c r="BN85" s="276"/>
      <c r="BO85" s="283"/>
      <c r="BP85" s="276"/>
      <c r="BQ85" s="283"/>
      <c r="BR85" s="283"/>
      <c r="BS85" s="276"/>
    </row>
    <row r="86" spans="12:71" ht="12" customHeight="1">
      <c r="L86" s="283"/>
      <c r="M86" s="276"/>
      <c r="N86" s="283"/>
      <c r="O86" s="276"/>
      <c r="P86" s="283"/>
      <c r="Q86" s="276"/>
      <c r="S86" s="283"/>
      <c r="T86" s="276"/>
      <c r="W86" s="283"/>
      <c r="X86" s="276"/>
      <c r="Y86" s="283"/>
      <c r="Z86" s="276"/>
      <c r="AA86" s="283"/>
      <c r="AB86" s="276"/>
      <c r="AC86" s="283"/>
      <c r="AE86" s="283"/>
      <c r="AF86" s="276"/>
      <c r="AI86" s="283"/>
      <c r="AJ86" s="276"/>
      <c r="AK86" s="283"/>
      <c r="AL86" s="276"/>
      <c r="AM86" s="283"/>
      <c r="AN86" s="276"/>
      <c r="AO86" s="283"/>
      <c r="AP86" s="276"/>
      <c r="AQ86" s="283"/>
      <c r="AR86" s="276"/>
      <c r="AT86" s="283"/>
      <c r="AU86" s="276"/>
      <c r="AV86" s="283"/>
      <c r="AW86" s="276"/>
      <c r="AX86" s="283"/>
      <c r="AY86" s="276"/>
      <c r="AZ86" s="283"/>
      <c r="BA86" s="276"/>
      <c r="BB86" s="283"/>
      <c r="BC86" s="276"/>
      <c r="BD86" s="283"/>
      <c r="BE86" s="276"/>
      <c r="BG86" s="283"/>
      <c r="BH86" s="276"/>
      <c r="BI86" s="283"/>
      <c r="BJ86" s="276"/>
      <c r="BK86" s="283"/>
      <c r="BL86" s="276"/>
      <c r="BM86" s="283"/>
      <c r="BN86" s="276"/>
      <c r="BO86" s="283"/>
      <c r="BP86" s="276"/>
      <c r="BQ86" s="283"/>
      <c r="BR86" s="283"/>
      <c r="BS86" s="276"/>
    </row>
    <row r="87" spans="12:71" ht="12" customHeight="1">
      <c r="L87" s="283"/>
      <c r="M87" s="276"/>
      <c r="N87" s="283"/>
      <c r="O87" s="276"/>
      <c r="P87" s="283"/>
      <c r="Q87" s="276"/>
      <c r="S87" s="283"/>
      <c r="T87" s="276"/>
      <c r="W87" s="283"/>
      <c r="X87" s="276"/>
      <c r="Y87" s="283"/>
      <c r="Z87" s="276"/>
      <c r="AA87" s="283"/>
      <c r="AB87" s="276"/>
      <c r="AC87" s="283"/>
      <c r="AE87" s="283"/>
      <c r="AF87" s="276"/>
      <c r="AI87" s="283"/>
      <c r="AJ87" s="276"/>
      <c r="AK87" s="283"/>
      <c r="AL87" s="276"/>
      <c r="AM87" s="283"/>
      <c r="AN87" s="276"/>
      <c r="AO87" s="283"/>
      <c r="AP87" s="276"/>
      <c r="AQ87" s="283"/>
      <c r="AR87" s="276"/>
      <c r="AT87" s="283"/>
      <c r="AU87" s="276"/>
      <c r="AV87" s="283"/>
      <c r="AW87" s="276"/>
      <c r="AX87" s="283"/>
      <c r="AY87" s="276"/>
      <c r="AZ87" s="283"/>
      <c r="BA87" s="276"/>
      <c r="BB87" s="283"/>
      <c r="BC87" s="276"/>
      <c r="BD87" s="283"/>
      <c r="BE87" s="276"/>
      <c r="BG87" s="283"/>
      <c r="BH87" s="276"/>
      <c r="BI87" s="283"/>
      <c r="BJ87" s="276"/>
      <c r="BK87" s="283"/>
      <c r="BL87" s="276"/>
      <c r="BM87" s="283"/>
      <c r="BN87" s="276"/>
      <c r="BO87" s="283"/>
      <c r="BP87" s="276"/>
      <c r="BQ87" s="283"/>
      <c r="BR87" s="283"/>
      <c r="BS87" s="276"/>
    </row>
    <row r="88" spans="12:71" ht="12" customHeight="1">
      <c r="L88" s="283"/>
      <c r="M88" s="276"/>
      <c r="N88" s="283"/>
      <c r="O88" s="276"/>
      <c r="P88" s="283"/>
      <c r="Q88" s="276"/>
      <c r="S88" s="283"/>
      <c r="T88" s="276"/>
      <c r="W88" s="283"/>
      <c r="X88" s="276"/>
      <c r="Y88" s="283"/>
      <c r="Z88" s="276"/>
      <c r="AA88" s="283"/>
      <c r="AB88" s="276"/>
      <c r="AC88" s="283"/>
      <c r="AE88" s="283"/>
      <c r="AF88" s="276"/>
      <c r="AI88" s="283"/>
      <c r="AJ88" s="276"/>
      <c r="AK88" s="283"/>
      <c r="AL88" s="276"/>
      <c r="AM88" s="283"/>
      <c r="AN88" s="276"/>
      <c r="AO88" s="283"/>
      <c r="AP88" s="276"/>
      <c r="AQ88" s="283"/>
      <c r="AR88" s="276"/>
      <c r="AT88" s="283"/>
      <c r="AU88" s="276"/>
      <c r="AV88" s="283"/>
      <c r="AW88" s="276"/>
      <c r="AX88" s="283"/>
      <c r="AY88" s="276"/>
      <c r="AZ88" s="283"/>
      <c r="BA88" s="276"/>
      <c r="BB88" s="283"/>
      <c r="BC88" s="276"/>
      <c r="BD88" s="283"/>
      <c r="BE88" s="276"/>
      <c r="BG88" s="283"/>
      <c r="BH88" s="276"/>
      <c r="BI88" s="283"/>
      <c r="BJ88" s="276"/>
      <c r="BK88" s="283"/>
      <c r="BL88" s="276"/>
      <c r="BM88" s="283"/>
      <c r="BN88" s="276"/>
      <c r="BO88" s="283"/>
      <c r="BP88" s="276"/>
      <c r="BQ88" s="283"/>
      <c r="BR88" s="283"/>
      <c r="BS88" s="276"/>
    </row>
    <row r="89" spans="12:71" ht="12" customHeight="1">
      <c r="L89" s="283"/>
      <c r="M89" s="276"/>
      <c r="N89" s="283"/>
      <c r="O89" s="276"/>
      <c r="P89" s="283"/>
      <c r="Q89" s="276"/>
      <c r="S89" s="283"/>
      <c r="T89" s="276"/>
      <c r="W89" s="283"/>
      <c r="X89" s="276"/>
      <c r="Y89" s="283"/>
      <c r="Z89" s="276"/>
      <c r="AA89" s="283"/>
      <c r="AB89" s="276"/>
      <c r="AC89" s="283"/>
      <c r="AE89" s="283"/>
      <c r="AF89" s="276"/>
      <c r="AI89" s="283"/>
      <c r="AJ89" s="276"/>
      <c r="AK89" s="283"/>
      <c r="AL89" s="276"/>
      <c r="AM89" s="283"/>
      <c r="AN89" s="276"/>
      <c r="AO89" s="283"/>
      <c r="AP89" s="276"/>
      <c r="AQ89" s="283"/>
      <c r="AR89" s="276"/>
      <c r="AT89" s="283"/>
      <c r="AU89" s="276"/>
      <c r="AV89" s="283"/>
      <c r="AW89" s="276"/>
      <c r="AX89" s="283"/>
      <c r="AY89" s="276"/>
      <c r="AZ89" s="283"/>
      <c r="BA89" s="276"/>
      <c r="BB89" s="283"/>
      <c r="BC89" s="276"/>
      <c r="BD89" s="283"/>
      <c r="BE89" s="276"/>
      <c r="BG89" s="283"/>
      <c r="BH89" s="276"/>
      <c r="BI89" s="283"/>
      <c r="BJ89" s="276"/>
      <c r="BK89" s="283"/>
      <c r="BL89" s="276"/>
      <c r="BM89" s="283"/>
      <c r="BN89" s="276"/>
      <c r="BO89" s="283"/>
      <c r="BP89" s="276"/>
      <c r="BQ89" s="283"/>
      <c r="BR89" s="283"/>
      <c r="BS89" s="276"/>
    </row>
    <row r="90" spans="12:71" ht="12" customHeight="1">
      <c r="L90" s="283"/>
      <c r="M90" s="276"/>
      <c r="N90" s="283"/>
      <c r="O90" s="276"/>
      <c r="P90" s="283"/>
      <c r="Q90" s="276"/>
      <c r="S90" s="283"/>
      <c r="T90" s="276"/>
      <c r="W90" s="283"/>
      <c r="X90" s="276"/>
      <c r="Y90" s="283"/>
      <c r="Z90" s="276"/>
      <c r="AA90" s="283"/>
      <c r="AB90" s="276"/>
      <c r="AC90" s="283"/>
      <c r="AE90" s="283"/>
      <c r="AF90" s="276"/>
      <c r="AI90" s="283"/>
      <c r="AJ90" s="276"/>
      <c r="AK90" s="283"/>
      <c r="AL90" s="276"/>
      <c r="AM90" s="283"/>
      <c r="AN90" s="276"/>
      <c r="AO90" s="283"/>
      <c r="AP90" s="276"/>
      <c r="AQ90" s="283"/>
      <c r="AR90" s="276"/>
      <c r="AT90" s="283"/>
      <c r="AU90" s="276"/>
      <c r="AV90" s="283"/>
      <c r="AW90" s="276"/>
      <c r="AX90" s="283"/>
      <c r="AY90" s="276"/>
      <c r="AZ90" s="283"/>
      <c r="BA90" s="276"/>
      <c r="BB90" s="283"/>
      <c r="BC90" s="276"/>
      <c r="BD90" s="283"/>
      <c r="BE90" s="276"/>
      <c r="BG90" s="283"/>
      <c r="BH90" s="276"/>
      <c r="BI90" s="283"/>
      <c r="BJ90" s="276"/>
      <c r="BK90" s="283"/>
      <c r="BL90" s="276"/>
      <c r="BM90" s="283"/>
      <c r="BN90" s="276"/>
      <c r="BO90" s="283"/>
      <c r="BP90" s="276"/>
      <c r="BQ90" s="283"/>
      <c r="BR90" s="283"/>
      <c r="BS90" s="276"/>
    </row>
    <row r="91" spans="12:71" ht="12" customHeight="1">
      <c r="L91" s="283"/>
      <c r="M91" s="276"/>
      <c r="N91" s="283"/>
      <c r="O91" s="276"/>
      <c r="P91" s="283"/>
      <c r="Q91" s="276"/>
      <c r="S91" s="283"/>
      <c r="T91" s="276"/>
      <c r="W91" s="283"/>
      <c r="X91" s="276"/>
      <c r="Y91" s="283"/>
      <c r="Z91" s="276"/>
      <c r="AA91" s="283"/>
      <c r="AB91" s="276"/>
      <c r="AC91" s="283"/>
      <c r="AE91" s="283"/>
      <c r="AF91" s="276"/>
      <c r="AI91" s="283"/>
      <c r="AJ91" s="276"/>
      <c r="AK91" s="283"/>
      <c r="AL91" s="276"/>
      <c r="AM91" s="283"/>
      <c r="AN91" s="276"/>
      <c r="AO91" s="283"/>
      <c r="AP91" s="276"/>
      <c r="AQ91" s="283"/>
      <c r="AR91" s="276"/>
      <c r="AT91" s="283"/>
      <c r="AU91" s="276"/>
      <c r="AV91" s="283"/>
      <c r="AW91" s="276"/>
      <c r="AX91" s="283"/>
      <c r="AY91" s="276"/>
      <c r="AZ91" s="283"/>
      <c r="BA91" s="276"/>
      <c r="BB91" s="283"/>
      <c r="BC91" s="276"/>
      <c r="BD91" s="283"/>
      <c r="BE91" s="276"/>
      <c r="BG91" s="283"/>
      <c r="BH91" s="276"/>
      <c r="BI91" s="283"/>
      <c r="BJ91" s="276"/>
      <c r="BK91" s="283"/>
      <c r="BL91" s="276"/>
      <c r="BM91" s="283"/>
      <c r="BN91" s="276"/>
      <c r="BO91" s="283"/>
      <c r="BP91" s="276"/>
      <c r="BQ91" s="283"/>
      <c r="BR91" s="283"/>
      <c r="BS91" s="276"/>
    </row>
    <row r="92" spans="12:71" ht="12" customHeight="1">
      <c r="L92" s="283"/>
      <c r="M92" s="276"/>
      <c r="N92" s="283"/>
      <c r="O92" s="276"/>
      <c r="P92" s="283"/>
      <c r="Q92" s="276"/>
      <c r="S92" s="283"/>
      <c r="T92" s="276"/>
      <c r="W92" s="283"/>
      <c r="X92" s="276"/>
      <c r="Y92" s="283"/>
      <c r="Z92" s="276"/>
      <c r="AA92" s="283"/>
      <c r="AB92" s="276"/>
      <c r="AC92" s="283"/>
      <c r="AE92" s="283"/>
      <c r="AF92" s="276"/>
      <c r="AI92" s="283"/>
      <c r="AJ92" s="276"/>
      <c r="AK92" s="283"/>
      <c r="AL92" s="276"/>
      <c r="AM92" s="283"/>
      <c r="AN92" s="276"/>
      <c r="AO92" s="283"/>
      <c r="AP92" s="276"/>
      <c r="AQ92" s="283"/>
      <c r="AR92" s="276"/>
      <c r="AT92" s="283"/>
      <c r="AU92" s="276"/>
      <c r="AV92" s="283"/>
      <c r="AW92" s="276"/>
      <c r="AX92" s="283"/>
      <c r="AY92" s="276"/>
      <c r="AZ92" s="283"/>
      <c r="BA92" s="276"/>
      <c r="BB92" s="283"/>
      <c r="BC92" s="276"/>
      <c r="BD92" s="283"/>
      <c r="BE92" s="276"/>
      <c r="BG92" s="283"/>
      <c r="BH92" s="276"/>
      <c r="BI92" s="283"/>
      <c r="BJ92" s="276"/>
      <c r="BK92" s="283"/>
      <c r="BL92" s="276"/>
      <c r="BM92" s="283"/>
      <c r="BN92" s="276"/>
      <c r="BO92" s="283"/>
      <c r="BP92" s="276"/>
      <c r="BQ92" s="283"/>
      <c r="BR92" s="283"/>
      <c r="BS92" s="276"/>
    </row>
    <row r="93" spans="12:71" ht="12" customHeight="1">
      <c r="L93" s="283"/>
      <c r="M93" s="276"/>
      <c r="N93" s="283"/>
      <c r="O93" s="276"/>
      <c r="P93" s="283"/>
      <c r="Q93" s="276"/>
      <c r="S93" s="283"/>
      <c r="T93" s="276"/>
      <c r="W93" s="283"/>
      <c r="X93" s="276"/>
      <c r="Y93" s="283"/>
      <c r="Z93" s="276"/>
      <c r="AA93" s="283"/>
      <c r="AB93" s="276"/>
      <c r="AC93" s="283"/>
      <c r="AE93" s="283"/>
      <c r="AF93" s="276"/>
      <c r="AI93" s="283"/>
      <c r="AJ93" s="276"/>
      <c r="AK93" s="283"/>
      <c r="AL93" s="276"/>
      <c r="AM93" s="283"/>
      <c r="AN93" s="276"/>
      <c r="AO93" s="283"/>
      <c r="AP93" s="276"/>
      <c r="AQ93" s="283"/>
      <c r="AR93" s="276"/>
      <c r="AT93" s="283"/>
      <c r="AU93" s="276"/>
      <c r="AV93" s="283"/>
      <c r="AW93" s="276"/>
      <c r="AX93" s="283"/>
      <c r="AY93" s="276"/>
      <c r="AZ93" s="283"/>
      <c r="BA93" s="276"/>
      <c r="BB93" s="283"/>
      <c r="BC93" s="276"/>
      <c r="BD93" s="283"/>
      <c r="BE93" s="276"/>
      <c r="BG93" s="283"/>
      <c r="BH93" s="276"/>
      <c r="BI93" s="283"/>
      <c r="BJ93" s="276"/>
      <c r="BK93" s="283"/>
      <c r="BL93" s="276"/>
      <c r="BM93" s="283"/>
      <c r="BN93" s="276"/>
      <c r="BO93" s="283"/>
      <c r="BP93" s="276"/>
      <c r="BQ93" s="283"/>
      <c r="BR93" s="283"/>
      <c r="BS93" s="276"/>
    </row>
    <row r="94" spans="12:71" ht="12" customHeight="1">
      <c r="L94" s="283"/>
      <c r="M94" s="276"/>
      <c r="N94" s="283"/>
      <c r="O94" s="276"/>
      <c r="P94" s="283"/>
      <c r="Q94" s="276"/>
      <c r="S94" s="283"/>
      <c r="T94" s="276"/>
      <c r="W94" s="283"/>
      <c r="X94" s="276"/>
      <c r="Y94" s="283"/>
      <c r="Z94" s="276"/>
      <c r="AA94" s="283"/>
      <c r="AB94" s="276"/>
      <c r="AC94" s="283"/>
      <c r="AE94" s="283"/>
      <c r="AF94" s="276"/>
      <c r="AI94" s="283"/>
      <c r="AJ94" s="276"/>
      <c r="AK94" s="283"/>
      <c r="AL94" s="276"/>
      <c r="AM94" s="283"/>
      <c r="AN94" s="276"/>
      <c r="AO94" s="283"/>
      <c r="AP94" s="276"/>
      <c r="AQ94" s="283"/>
      <c r="AR94" s="276"/>
      <c r="AT94" s="283"/>
      <c r="AU94" s="276"/>
      <c r="AV94" s="283"/>
      <c r="AW94" s="276"/>
      <c r="AX94" s="283"/>
      <c r="AY94" s="276"/>
      <c r="AZ94" s="283"/>
      <c r="BA94" s="276"/>
      <c r="BB94" s="283"/>
      <c r="BC94" s="276"/>
      <c r="BD94" s="283"/>
      <c r="BE94" s="276"/>
      <c r="BG94" s="283"/>
      <c r="BH94" s="276"/>
      <c r="BI94" s="283"/>
      <c r="BJ94" s="276"/>
      <c r="BK94" s="283"/>
      <c r="BL94" s="276"/>
      <c r="BM94" s="283"/>
      <c r="BN94" s="276"/>
      <c r="BO94" s="283"/>
      <c r="BP94" s="276"/>
      <c r="BQ94" s="283"/>
      <c r="BR94" s="283"/>
      <c r="BS94" s="276"/>
    </row>
    <row r="95" spans="12:71" ht="12" customHeight="1">
      <c r="L95" s="283"/>
      <c r="M95" s="276"/>
      <c r="N95" s="283"/>
      <c r="O95" s="276"/>
      <c r="P95" s="283"/>
      <c r="Q95" s="276"/>
      <c r="S95" s="283"/>
      <c r="T95" s="276"/>
      <c r="W95" s="283"/>
      <c r="X95" s="276"/>
      <c r="Y95" s="283"/>
      <c r="Z95" s="276"/>
      <c r="AA95" s="283"/>
      <c r="AB95" s="276"/>
      <c r="AC95" s="283"/>
      <c r="AE95" s="283"/>
      <c r="AF95" s="276"/>
      <c r="AI95" s="283"/>
      <c r="AJ95" s="276"/>
      <c r="AK95" s="283"/>
      <c r="AL95" s="276"/>
      <c r="AM95" s="283"/>
      <c r="AN95" s="276"/>
      <c r="AO95" s="283"/>
      <c r="AP95" s="276"/>
      <c r="AQ95" s="283"/>
      <c r="AR95" s="276"/>
      <c r="AT95" s="283"/>
      <c r="AU95" s="276"/>
      <c r="AV95" s="283"/>
      <c r="AW95" s="276"/>
      <c r="AX95" s="283"/>
      <c r="AY95" s="276"/>
      <c r="AZ95" s="283"/>
      <c r="BA95" s="276"/>
      <c r="BB95" s="283"/>
      <c r="BC95" s="276"/>
      <c r="BD95" s="283"/>
      <c r="BE95" s="276"/>
      <c r="BG95" s="283"/>
      <c r="BH95" s="276"/>
      <c r="BI95" s="283"/>
      <c r="BJ95" s="276"/>
      <c r="BK95" s="283"/>
      <c r="BL95" s="276"/>
      <c r="BM95" s="283"/>
      <c r="BN95" s="276"/>
      <c r="BO95" s="283"/>
      <c r="BP95" s="276"/>
      <c r="BQ95" s="283"/>
      <c r="BR95" s="283"/>
      <c r="BS95" s="276"/>
    </row>
    <row r="96" spans="12:71" ht="12" customHeight="1">
      <c r="L96" s="283"/>
      <c r="M96" s="276"/>
      <c r="N96" s="283"/>
      <c r="O96" s="276"/>
      <c r="P96" s="283"/>
      <c r="Q96" s="276"/>
      <c r="S96" s="283"/>
      <c r="T96" s="276"/>
      <c r="W96" s="283"/>
      <c r="X96" s="276"/>
      <c r="Y96" s="283"/>
      <c r="Z96" s="276"/>
      <c r="AA96" s="283"/>
      <c r="AB96" s="276"/>
      <c r="AC96" s="283"/>
      <c r="AE96" s="283"/>
      <c r="AF96" s="276"/>
      <c r="AI96" s="283"/>
      <c r="AJ96" s="276"/>
      <c r="AK96" s="283"/>
      <c r="AL96" s="276"/>
      <c r="AM96" s="283"/>
      <c r="AN96" s="276"/>
      <c r="AO96" s="283"/>
      <c r="AP96" s="276"/>
      <c r="AQ96" s="283"/>
      <c r="AR96" s="276"/>
      <c r="AT96" s="283"/>
      <c r="AU96" s="276"/>
      <c r="AV96" s="283"/>
      <c r="AW96" s="276"/>
      <c r="AX96" s="283"/>
      <c r="AY96" s="276"/>
      <c r="AZ96" s="283"/>
      <c r="BA96" s="276"/>
      <c r="BB96" s="283"/>
      <c r="BC96" s="276"/>
      <c r="BD96" s="283"/>
      <c r="BE96" s="276"/>
      <c r="BG96" s="283"/>
      <c r="BH96" s="276"/>
      <c r="BI96" s="283"/>
      <c r="BJ96" s="276"/>
      <c r="BK96" s="283"/>
      <c r="BL96" s="276"/>
      <c r="BM96" s="283"/>
      <c r="BN96" s="276"/>
      <c r="BO96" s="283"/>
      <c r="BP96" s="276"/>
      <c r="BQ96" s="283"/>
      <c r="BR96" s="283"/>
      <c r="BS96" s="276"/>
    </row>
    <row r="97" spans="12:71" ht="12" customHeight="1">
      <c r="L97" s="283"/>
      <c r="M97" s="276"/>
      <c r="N97" s="283"/>
      <c r="O97" s="276"/>
      <c r="P97" s="283"/>
      <c r="Q97" s="276"/>
      <c r="S97" s="283"/>
      <c r="T97" s="276"/>
      <c r="W97" s="283"/>
      <c r="X97" s="276"/>
      <c r="Y97" s="283"/>
      <c r="Z97" s="276"/>
      <c r="AA97" s="283"/>
      <c r="AB97" s="276"/>
      <c r="AC97" s="283"/>
      <c r="AE97" s="283"/>
      <c r="AF97" s="276"/>
      <c r="AI97" s="283"/>
      <c r="AJ97" s="276"/>
      <c r="AK97" s="283"/>
      <c r="AL97" s="276"/>
      <c r="AM97" s="283"/>
      <c r="AN97" s="276"/>
      <c r="AO97" s="283"/>
      <c r="AP97" s="276"/>
      <c r="AQ97" s="283"/>
      <c r="AR97" s="276"/>
      <c r="AT97" s="283"/>
      <c r="AU97" s="276"/>
      <c r="AV97" s="283"/>
      <c r="AW97" s="276"/>
      <c r="AX97" s="283"/>
      <c r="AY97" s="276"/>
      <c r="AZ97" s="283"/>
      <c r="BA97" s="276"/>
      <c r="BB97" s="283"/>
      <c r="BC97" s="276"/>
      <c r="BD97" s="283"/>
      <c r="BE97" s="276"/>
      <c r="BG97" s="283"/>
      <c r="BH97" s="276"/>
      <c r="BI97" s="283"/>
      <c r="BJ97" s="276"/>
      <c r="BK97" s="283"/>
      <c r="BL97" s="276"/>
      <c r="BM97" s="283"/>
      <c r="BN97" s="276"/>
      <c r="BO97" s="283"/>
      <c r="BP97" s="276"/>
      <c r="BQ97" s="283"/>
      <c r="BR97" s="283"/>
      <c r="BS97" s="276"/>
    </row>
    <row r="98" spans="12:71" ht="12" customHeight="1">
      <c r="L98" s="283"/>
      <c r="M98" s="276"/>
      <c r="N98" s="283"/>
      <c r="O98" s="276"/>
      <c r="P98" s="283"/>
      <c r="Q98" s="276"/>
      <c r="S98" s="283"/>
      <c r="T98" s="276"/>
      <c r="W98" s="283"/>
      <c r="X98" s="276"/>
      <c r="Y98" s="283"/>
      <c r="Z98" s="276"/>
      <c r="AA98" s="283"/>
      <c r="AB98" s="276"/>
      <c r="AC98" s="283"/>
      <c r="AE98" s="283"/>
      <c r="AF98" s="276"/>
      <c r="AI98" s="283"/>
      <c r="AJ98" s="276"/>
      <c r="AK98" s="283"/>
      <c r="AL98" s="276"/>
      <c r="AM98" s="283"/>
      <c r="AN98" s="276"/>
      <c r="AO98" s="283"/>
      <c r="AP98" s="276"/>
      <c r="AQ98" s="283"/>
      <c r="AR98" s="276"/>
      <c r="AT98" s="283"/>
      <c r="AU98" s="276"/>
      <c r="AV98" s="283"/>
      <c r="AW98" s="276"/>
      <c r="AX98" s="283"/>
      <c r="AY98" s="276"/>
      <c r="AZ98" s="283"/>
      <c r="BA98" s="276"/>
      <c r="BB98" s="283"/>
      <c r="BC98" s="276"/>
      <c r="BD98" s="283"/>
      <c r="BE98" s="276"/>
      <c r="BG98" s="283"/>
      <c r="BH98" s="276"/>
      <c r="BI98" s="283"/>
      <c r="BJ98" s="276"/>
      <c r="BK98" s="283"/>
      <c r="BL98" s="276"/>
      <c r="BM98" s="283"/>
      <c r="BN98" s="276"/>
      <c r="BO98" s="283"/>
      <c r="BP98" s="276"/>
      <c r="BQ98" s="283"/>
      <c r="BR98" s="283"/>
      <c r="BS98" s="276"/>
    </row>
    <row r="99" spans="12:71" ht="12" customHeight="1">
      <c r="L99" s="283"/>
      <c r="M99" s="276"/>
      <c r="N99" s="283"/>
      <c r="O99" s="276"/>
      <c r="P99" s="283"/>
      <c r="Q99" s="276"/>
      <c r="S99" s="283"/>
      <c r="T99" s="276"/>
      <c r="W99" s="283"/>
      <c r="X99" s="276"/>
      <c r="Y99" s="283"/>
      <c r="Z99" s="276"/>
      <c r="AA99" s="283"/>
      <c r="AB99" s="276"/>
      <c r="AC99" s="283"/>
      <c r="AE99" s="283"/>
      <c r="AF99" s="276"/>
      <c r="AI99" s="283"/>
      <c r="AJ99" s="276"/>
      <c r="AK99" s="283"/>
      <c r="AL99" s="276"/>
      <c r="AM99" s="283"/>
      <c r="AN99" s="276"/>
      <c r="AO99" s="283"/>
      <c r="AP99" s="276"/>
      <c r="AQ99" s="283"/>
      <c r="AR99" s="276"/>
      <c r="AT99" s="283"/>
      <c r="AU99" s="276"/>
      <c r="AV99" s="283"/>
      <c r="AW99" s="276"/>
      <c r="AX99" s="283"/>
      <c r="AY99" s="276"/>
      <c r="AZ99" s="283"/>
      <c r="BA99" s="276"/>
      <c r="BB99" s="283"/>
      <c r="BC99" s="276"/>
      <c r="BD99" s="283"/>
      <c r="BE99" s="276"/>
      <c r="BG99" s="283"/>
      <c r="BH99" s="276"/>
      <c r="BI99" s="283"/>
      <c r="BJ99" s="276"/>
      <c r="BK99" s="283"/>
      <c r="BL99" s="276"/>
      <c r="BM99" s="283"/>
      <c r="BN99" s="276"/>
      <c r="BO99" s="283"/>
      <c r="BP99" s="276"/>
      <c r="BQ99" s="283"/>
      <c r="BR99" s="283"/>
      <c r="BS99" s="276"/>
    </row>
    <row r="100" spans="12:71" ht="12" customHeight="1">
      <c r="L100" s="283"/>
      <c r="M100" s="276"/>
      <c r="N100" s="283"/>
      <c r="O100" s="276"/>
      <c r="P100" s="283"/>
      <c r="Q100" s="276"/>
      <c r="S100" s="283"/>
      <c r="T100" s="276"/>
      <c r="W100" s="283"/>
      <c r="X100" s="276"/>
      <c r="Y100" s="283"/>
      <c r="Z100" s="276"/>
      <c r="AA100" s="283"/>
      <c r="AB100" s="276"/>
      <c r="AC100" s="283"/>
      <c r="AE100" s="283"/>
      <c r="AF100" s="276"/>
      <c r="AI100" s="283"/>
      <c r="AJ100" s="276"/>
      <c r="AK100" s="283"/>
      <c r="AL100" s="276"/>
      <c r="AM100" s="283"/>
      <c r="AN100" s="276"/>
      <c r="AO100" s="283"/>
      <c r="AP100" s="276"/>
      <c r="AQ100" s="283"/>
      <c r="AR100" s="276"/>
      <c r="AT100" s="283"/>
      <c r="AU100" s="276"/>
      <c r="AV100" s="283"/>
      <c r="AW100" s="276"/>
      <c r="AX100" s="283"/>
      <c r="AY100" s="276"/>
      <c r="AZ100" s="283"/>
      <c r="BA100" s="276"/>
      <c r="BB100" s="283"/>
      <c r="BC100" s="276"/>
      <c r="BD100" s="283"/>
      <c r="BE100" s="276"/>
      <c r="BG100" s="283"/>
      <c r="BH100" s="276"/>
      <c r="BI100" s="283"/>
      <c r="BJ100" s="276"/>
      <c r="BK100" s="283"/>
      <c r="BL100" s="276"/>
      <c r="BM100" s="283"/>
      <c r="BN100" s="276"/>
      <c r="BO100" s="283"/>
      <c r="BP100" s="276"/>
      <c r="BQ100" s="283"/>
      <c r="BR100" s="283"/>
      <c r="BS100" s="276"/>
    </row>
    <row r="101" spans="12:71" ht="12" customHeight="1">
      <c r="L101" s="283"/>
      <c r="M101" s="276"/>
      <c r="N101" s="283"/>
      <c r="O101" s="276"/>
      <c r="P101" s="283"/>
      <c r="Q101" s="276"/>
      <c r="S101" s="283"/>
      <c r="T101" s="276"/>
      <c r="W101" s="283"/>
      <c r="X101" s="276"/>
      <c r="Y101" s="283"/>
      <c r="Z101" s="276"/>
      <c r="AA101" s="283"/>
      <c r="AB101" s="276"/>
      <c r="AC101" s="283"/>
      <c r="AE101" s="283"/>
      <c r="AF101" s="276"/>
      <c r="AI101" s="283"/>
      <c r="AJ101" s="276"/>
      <c r="AK101" s="283"/>
      <c r="AL101" s="276"/>
      <c r="AM101" s="283"/>
      <c r="AN101" s="276"/>
      <c r="AO101" s="283"/>
      <c r="AP101" s="276"/>
      <c r="AQ101" s="283"/>
      <c r="AR101" s="276"/>
      <c r="AT101" s="283"/>
      <c r="AU101" s="276"/>
      <c r="AV101" s="283"/>
      <c r="AW101" s="276"/>
      <c r="AX101" s="283"/>
      <c r="AY101" s="276"/>
      <c r="AZ101" s="283"/>
      <c r="BA101" s="276"/>
      <c r="BB101" s="283"/>
      <c r="BC101" s="276"/>
      <c r="BD101" s="283"/>
      <c r="BE101" s="276"/>
      <c r="BG101" s="283"/>
      <c r="BH101" s="276"/>
      <c r="BI101" s="283"/>
      <c r="BJ101" s="276"/>
      <c r="BK101" s="283"/>
      <c r="BL101" s="276"/>
      <c r="BM101" s="283"/>
      <c r="BN101" s="276"/>
      <c r="BO101" s="283"/>
      <c r="BP101" s="276"/>
      <c r="BQ101" s="283"/>
      <c r="BR101" s="283"/>
      <c r="BS101" s="276"/>
    </row>
    <row r="102" spans="12:71" ht="12" customHeight="1">
      <c r="L102" s="283"/>
      <c r="M102" s="276"/>
      <c r="N102" s="283"/>
      <c r="O102" s="276"/>
      <c r="P102" s="283"/>
      <c r="Q102" s="276"/>
      <c r="S102" s="283"/>
      <c r="T102" s="276"/>
      <c r="W102" s="283"/>
      <c r="X102" s="276"/>
      <c r="Y102" s="283"/>
      <c r="Z102" s="276"/>
      <c r="AA102" s="283"/>
      <c r="AB102" s="276"/>
      <c r="AC102" s="283"/>
      <c r="AE102" s="283"/>
      <c r="AF102" s="276"/>
      <c r="AI102" s="283"/>
      <c r="AJ102" s="276"/>
      <c r="AK102" s="283"/>
      <c r="AL102" s="276"/>
      <c r="AM102" s="283"/>
      <c r="AN102" s="276"/>
      <c r="AO102" s="283"/>
      <c r="AP102" s="276"/>
      <c r="AQ102" s="283"/>
      <c r="AR102" s="276"/>
      <c r="AT102" s="283"/>
      <c r="AU102" s="276"/>
      <c r="AV102" s="283"/>
      <c r="AW102" s="276"/>
      <c r="AX102" s="283"/>
      <c r="AY102" s="276"/>
      <c r="AZ102" s="283"/>
      <c r="BA102" s="276"/>
      <c r="BB102" s="283"/>
      <c r="BC102" s="276"/>
      <c r="BD102" s="283"/>
      <c r="BE102" s="276"/>
      <c r="BG102" s="283"/>
      <c r="BH102" s="276"/>
      <c r="BI102" s="283"/>
      <c r="BJ102" s="276"/>
      <c r="BK102" s="283"/>
      <c r="BL102" s="276"/>
      <c r="BM102" s="283"/>
      <c r="BN102" s="276"/>
      <c r="BO102" s="283"/>
      <c r="BP102" s="276"/>
      <c r="BQ102" s="283"/>
      <c r="BR102" s="283"/>
      <c r="BS102" s="276"/>
    </row>
    <row r="103" spans="12:71" ht="12" customHeight="1">
      <c r="L103" s="283"/>
      <c r="M103" s="276"/>
      <c r="N103" s="283"/>
      <c r="O103" s="276"/>
      <c r="P103" s="283"/>
      <c r="Q103" s="276"/>
      <c r="S103" s="283"/>
      <c r="T103" s="276"/>
      <c r="W103" s="283"/>
      <c r="X103" s="276"/>
      <c r="Y103" s="283"/>
      <c r="Z103" s="276"/>
      <c r="AA103" s="283"/>
      <c r="AB103" s="276"/>
      <c r="AC103" s="283"/>
      <c r="AE103" s="283"/>
      <c r="AF103" s="276"/>
      <c r="AI103" s="283"/>
      <c r="AJ103" s="276"/>
      <c r="AK103" s="283"/>
      <c r="AL103" s="276"/>
      <c r="AM103" s="283"/>
      <c r="AN103" s="276"/>
      <c r="AO103" s="283"/>
      <c r="AP103" s="276"/>
      <c r="AQ103" s="283"/>
      <c r="AR103" s="276"/>
      <c r="AT103" s="283"/>
      <c r="AU103" s="276"/>
      <c r="AV103" s="283"/>
      <c r="AW103" s="276"/>
      <c r="AX103" s="283"/>
      <c r="AY103" s="276"/>
      <c r="AZ103" s="283"/>
      <c r="BA103" s="276"/>
      <c r="BB103" s="283"/>
      <c r="BC103" s="276"/>
      <c r="BD103" s="283"/>
      <c r="BE103" s="276"/>
      <c r="BG103" s="283"/>
      <c r="BH103" s="276"/>
      <c r="BI103" s="283"/>
      <c r="BJ103" s="276"/>
      <c r="BK103" s="283"/>
      <c r="BL103" s="276"/>
      <c r="BM103" s="283"/>
      <c r="BN103" s="276"/>
      <c r="BO103" s="283"/>
      <c r="BP103" s="276"/>
      <c r="BQ103" s="283"/>
      <c r="BR103" s="283"/>
      <c r="BS103" s="276"/>
    </row>
    <row r="104" spans="12:71" ht="12" customHeight="1">
      <c r="L104" s="283"/>
      <c r="M104" s="276"/>
      <c r="N104" s="283"/>
      <c r="O104" s="276"/>
      <c r="P104" s="283"/>
      <c r="Q104" s="276"/>
      <c r="S104" s="283"/>
      <c r="T104" s="276"/>
      <c r="W104" s="283"/>
      <c r="X104" s="276"/>
      <c r="Y104" s="283"/>
      <c r="Z104" s="276"/>
      <c r="AA104" s="283"/>
      <c r="AB104" s="276"/>
      <c r="AC104" s="283"/>
      <c r="AE104" s="283"/>
      <c r="AF104" s="276"/>
      <c r="AI104" s="283"/>
      <c r="AJ104" s="276"/>
      <c r="AK104" s="283"/>
      <c r="AL104" s="276"/>
      <c r="AM104" s="283"/>
      <c r="AN104" s="276"/>
      <c r="AO104" s="283"/>
      <c r="AP104" s="276"/>
      <c r="AQ104" s="283"/>
      <c r="AR104" s="276"/>
      <c r="AT104" s="283"/>
      <c r="AU104" s="276"/>
      <c r="AV104" s="283"/>
      <c r="AW104" s="276"/>
      <c r="AX104" s="283"/>
      <c r="AY104" s="276"/>
      <c r="AZ104" s="283"/>
      <c r="BA104" s="276"/>
      <c r="BB104" s="283"/>
      <c r="BC104" s="276"/>
      <c r="BD104" s="283"/>
      <c r="BE104" s="276"/>
      <c r="BG104" s="283"/>
      <c r="BH104" s="276"/>
      <c r="BI104" s="283"/>
      <c r="BJ104" s="276"/>
      <c r="BK104" s="283"/>
      <c r="BL104" s="276"/>
      <c r="BM104" s="283"/>
      <c r="BN104" s="276"/>
      <c r="BO104" s="283"/>
      <c r="BP104" s="276"/>
      <c r="BQ104" s="283"/>
      <c r="BR104" s="283"/>
      <c r="BS104" s="276"/>
    </row>
    <row r="105" spans="12:71" ht="12" customHeight="1">
      <c r="L105" s="283"/>
      <c r="M105" s="276"/>
      <c r="N105" s="283"/>
      <c r="O105" s="276"/>
      <c r="P105" s="283"/>
      <c r="Q105" s="276"/>
      <c r="S105" s="283"/>
      <c r="T105" s="276"/>
      <c r="W105" s="283"/>
      <c r="X105" s="276"/>
      <c r="Y105" s="283"/>
      <c r="Z105" s="276"/>
      <c r="AA105" s="283"/>
      <c r="AB105" s="276"/>
      <c r="AC105" s="283"/>
      <c r="AE105" s="283"/>
      <c r="AF105" s="276"/>
      <c r="AI105" s="283"/>
      <c r="AJ105" s="276"/>
      <c r="AK105" s="283"/>
      <c r="AL105" s="276"/>
      <c r="AM105" s="283"/>
      <c r="AN105" s="276"/>
      <c r="AO105" s="283"/>
      <c r="AP105" s="276"/>
      <c r="AQ105" s="283"/>
      <c r="AR105" s="276"/>
      <c r="AT105" s="283"/>
      <c r="AU105" s="276"/>
      <c r="AV105" s="283"/>
      <c r="AW105" s="276"/>
      <c r="AX105" s="283"/>
      <c r="AY105" s="276"/>
      <c r="AZ105" s="283"/>
      <c r="BA105" s="276"/>
      <c r="BB105" s="283"/>
      <c r="BC105" s="276"/>
      <c r="BD105" s="283"/>
      <c r="BE105" s="276"/>
      <c r="BG105" s="283"/>
      <c r="BH105" s="276"/>
      <c r="BI105" s="283"/>
      <c r="BJ105" s="276"/>
      <c r="BK105" s="283"/>
      <c r="BL105" s="276"/>
      <c r="BM105" s="283"/>
      <c r="BN105" s="276"/>
      <c r="BO105" s="283"/>
      <c r="BP105" s="276"/>
      <c r="BQ105" s="283"/>
      <c r="BR105" s="283"/>
      <c r="BS105" s="276"/>
    </row>
    <row r="106" spans="12:71" ht="12" customHeight="1">
      <c r="L106" s="283"/>
      <c r="M106" s="276"/>
      <c r="N106" s="283"/>
      <c r="O106" s="276"/>
      <c r="P106" s="283"/>
      <c r="Q106" s="276"/>
      <c r="S106" s="283"/>
      <c r="T106" s="276"/>
      <c r="W106" s="283"/>
      <c r="X106" s="276"/>
      <c r="Y106" s="283"/>
      <c r="Z106" s="276"/>
      <c r="AA106" s="283"/>
      <c r="AB106" s="276"/>
      <c r="AC106" s="283"/>
      <c r="AE106" s="283"/>
      <c r="AF106" s="276"/>
      <c r="AI106" s="283"/>
      <c r="AJ106" s="276"/>
      <c r="AK106" s="283"/>
      <c r="AL106" s="276"/>
      <c r="AM106" s="283"/>
      <c r="AN106" s="276"/>
      <c r="AO106" s="283"/>
      <c r="AP106" s="276"/>
      <c r="AQ106" s="283"/>
      <c r="AR106" s="276"/>
      <c r="AT106" s="283"/>
      <c r="AU106" s="276"/>
      <c r="AV106" s="283"/>
      <c r="AW106" s="276"/>
      <c r="AX106" s="283"/>
      <c r="AY106" s="276"/>
      <c r="AZ106" s="283"/>
      <c r="BA106" s="276"/>
      <c r="BB106" s="283"/>
      <c r="BC106" s="276"/>
      <c r="BD106" s="283"/>
      <c r="BE106" s="276"/>
      <c r="BG106" s="283"/>
      <c r="BH106" s="276"/>
      <c r="BI106" s="283"/>
      <c r="BJ106" s="276"/>
      <c r="BK106" s="283"/>
      <c r="BL106" s="276"/>
      <c r="BM106" s="283"/>
      <c r="BN106" s="276"/>
      <c r="BO106" s="283"/>
      <c r="BP106" s="276"/>
      <c r="BQ106" s="283"/>
      <c r="BR106" s="283"/>
      <c r="BS106" s="276"/>
    </row>
    <row r="107" spans="12:71" ht="12" customHeight="1">
      <c r="L107" s="283"/>
      <c r="M107" s="276"/>
      <c r="N107" s="283"/>
      <c r="O107" s="276"/>
      <c r="P107" s="283"/>
      <c r="Q107" s="276"/>
      <c r="S107" s="283"/>
      <c r="T107" s="276"/>
      <c r="W107" s="283"/>
      <c r="X107" s="276"/>
      <c r="Y107" s="283"/>
      <c r="Z107" s="276"/>
      <c r="AA107" s="283"/>
      <c r="AB107" s="276"/>
      <c r="AC107" s="283"/>
      <c r="AE107" s="283"/>
      <c r="AF107" s="276"/>
      <c r="AI107" s="283"/>
      <c r="AJ107" s="276"/>
      <c r="AK107" s="283"/>
      <c r="AL107" s="276"/>
      <c r="AM107" s="283"/>
      <c r="AN107" s="276"/>
      <c r="AO107" s="283"/>
      <c r="AP107" s="276"/>
      <c r="AQ107" s="283"/>
      <c r="AR107" s="276"/>
      <c r="AT107" s="283"/>
      <c r="AU107" s="276"/>
      <c r="AV107" s="283"/>
      <c r="AW107" s="276"/>
      <c r="AX107" s="283"/>
      <c r="AY107" s="276"/>
      <c r="AZ107" s="283"/>
      <c r="BA107" s="276"/>
      <c r="BB107" s="283"/>
      <c r="BC107" s="276"/>
      <c r="BD107" s="283"/>
      <c r="BE107" s="276"/>
      <c r="BG107" s="283"/>
      <c r="BH107" s="276"/>
      <c r="BI107" s="283"/>
      <c r="BJ107" s="276"/>
      <c r="BK107" s="283"/>
      <c r="BL107" s="276"/>
      <c r="BM107" s="283"/>
      <c r="BN107" s="276"/>
      <c r="BO107" s="283"/>
      <c r="BP107" s="276"/>
      <c r="BQ107" s="283"/>
      <c r="BR107" s="283"/>
      <c r="BS107" s="276"/>
    </row>
    <row r="108" spans="12:71" ht="12" customHeight="1">
      <c r="L108" s="283"/>
      <c r="M108" s="276"/>
      <c r="N108" s="283"/>
      <c r="O108" s="276"/>
      <c r="P108" s="283"/>
      <c r="Q108" s="276"/>
      <c r="S108" s="283"/>
      <c r="T108" s="276"/>
      <c r="W108" s="283"/>
      <c r="X108" s="276"/>
      <c r="Y108" s="283"/>
      <c r="Z108" s="276"/>
      <c r="AA108" s="283"/>
      <c r="AB108" s="276"/>
      <c r="AC108" s="283"/>
      <c r="AE108" s="283"/>
      <c r="AF108" s="276"/>
      <c r="AI108" s="283"/>
      <c r="AJ108" s="276"/>
      <c r="AK108" s="283"/>
      <c r="AL108" s="276"/>
      <c r="AM108" s="283"/>
      <c r="AN108" s="276"/>
      <c r="AO108" s="283"/>
      <c r="AP108" s="276"/>
      <c r="AQ108" s="283"/>
      <c r="AR108" s="276"/>
      <c r="AT108" s="283"/>
      <c r="AU108" s="276"/>
      <c r="AV108" s="283"/>
      <c r="AW108" s="276"/>
      <c r="AX108" s="283"/>
      <c r="AY108" s="276"/>
      <c r="AZ108" s="283"/>
      <c r="BA108" s="276"/>
      <c r="BB108" s="283"/>
      <c r="BC108" s="276"/>
      <c r="BD108" s="283"/>
      <c r="BE108" s="276"/>
      <c r="BG108" s="283"/>
      <c r="BH108" s="276"/>
      <c r="BI108" s="283"/>
      <c r="BJ108" s="276"/>
      <c r="BK108" s="283"/>
      <c r="BL108" s="276"/>
      <c r="BM108" s="283"/>
      <c r="BN108" s="276"/>
      <c r="BO108" s="283"/>
      <c r="BP108" s="276"/>
      <c r="BQ108" s="283"/>
      <c r="BR108" s="283"/>
      <c r="BS108" s="276"/>
    </row>
    <row r="109" spans="12:71" ht="12" customHeight="1">
      <c r="L109" s="283"/>
      <c r="M109" s="276"/>
      <c r="N109" s="283"/>
      <c r="O109" s="276"/>
      <c r="P109" s="283"/>
      <c r="Q109" s="276"/>
      <c r="S109" s="283"/>
      <c r="T109" s="276"/>
      <c r="W109" s="283"/>
      <c r="X109" s="276"/>
      <c r="Y109" s="283"/>
      <c r="Z109" s="276"/>
      <c r="AA109" s="283"/>
      <c r="AB109" s="276"/>
      <c r="AC109" s="283"/>
      <c r="AE109" s="283"/>
      <c r="AF109" s="276"/>
      <c r="AI109" s="283"/>
      <c r="AJ109" s="276"/>
      <c r="AK109" s="283"/>
      <c r="AL109" s="276"/>
      <c r="AM109" s="283"/>
      <c r="AN109" s="276"/>
      <c r="AO109" s="283"/>
      <c r="AP109" s="276"/>
      <c r="AQ109" s="283"/>
      <c r="AR109" s="276"/>
      <c r="AT109" s="283"/>
      <c r="AU109" s="276"/>
      <c r="AV109" s="283"/>
      <c r="AW109" s="276"/>
      <c r="AX109" s="283"/>
      <c r="AY109" s="276"/>
      <c r="AZ109" s="283"/>
      <c r="BA109" s="276"/>
      <c r="BB109" s="283"/>
      <c r="BC109" s="276"/>
      <c r="BD109" s="283"/>
      <c r="BE109" s="276"/>
      <c r="BG109" s="283"/>
      <c r="BH109" s="276"/>
      <c r="BI109" s="283"/>
      <c r="BJ109" s="276"/>
      <c r="BK109" s="283"/>
      <c r="BL109" s="276"/>
      <c r="BM109" s="283"/>
      <c r="BN109" s="276"/>
      <c r="BO109" s="283"/>
      <c r="BP109" s="276"/>
      <c r="BQ109" s="283"/>
      <c r="BR109" s="283"/>
      <c r="BS109" s="276"/>
    </row>
    <row r="110" spans="12:71" ht="12" customHeight="1">
      <c r="L110" s="283"/>
      <c r="M110" s="276"/>
      <c r="N110" s="283"/>
      <c r="O110" s="276"/>
      <c r="P110" s="283"/>
      <c r="Q110" s="276"/>
      <c r="S110" s="283"/>
      <c r="T110" s="276"/>
      <c r="W110" s="283"/>
      <c r="X110" s="276"/>
      <c r="Y110" s="283"/>
      <c r="Z110" s="276"/>
      <c r="AA110" s="283"/>
      <c r="AB110" s="276"/>
      <c r="AC110" s="283"/>
      <c r="AE110" s="283"/>
      <c r="AF110" s="276"/>
      <c r="AI110" s="283"/>
      <c r="AJ110" s="276"/>
      <c r="AK110" s="283"/>
      <c r="AL110" s="276"/>
      <c r="AM110" s="283"/>
      <c r="AN110" s="276"/>
      <c r="AO110" s="283"/>
      <c r="AP110" s="276"/>
      <c r="AQ110" s="283"/>
      <c r="AR110" s="276"/>
      <c r="AT110" s="283"/>
      <c r="AU110" s="276"/>
      <c r="AV110" s="283"/>
      <c r="AW110" s="276"/>
      <c r="AX110" s="283"/>
      <c r="AY110" s="276"/>
      <c r="AZ110" s="283"/>
      <c r="BA110" s="276"/>
      <c r="BB110" s="283"/>
      <c r="BC110" s="276"/>
      <c r="BD110" s="283"/>
      <c r="BE110" s="276"/>
      <c r="BG110" s="283"/>
      <c r="BH110" s="276"/>
      <c r="BI110" s="283"/>
      <c r="BJ110" s="276"/>
      <c r="BK110" s="283"/>
      <c r="BL110" s="276"/>
      <c r="BM110" s="283"/>
      <c r="BN110" s="276"/>
      <c r="BO110" s="283"/>
      <c r="BP110" s="276"/>
      <c r="BQ110" s="283"/>
      <c r="BR110" s="283"/>
      <c r="BS110" s="276"/>
    </row>
    <row r="111" spans="12:71" ht="12" customHeight="1">
      <c r="L111" s="283"/>
      <c r="M111" s="276"/>
      <c r="N111" s="283"/>
      <c r="O111" s="276"/>
      <c r="P111" s="283"/>
      <c r="Q111" s="276"/>
      <c r="S111" s="283"/>
      <c r="T111" s="276"/>
      <c r="W111" s="283"/>
      <c r="X111" s="276"/>
      <c r="Y111" s="283"/>
      <c r="Z111" s="276"/>
      <c r="AA111" s="283"/>
      <c r="AB111" s="276"/>
      <c r="AC111" s="283"/>
      <c r="AE111" s="283"/>
      <c r="AF111" s="276"/>
      <c r="AI111" s="283"/>
      <c r="AJ111" s="276"/>
      <c r="AK111" s="283"/>
      <c r="AL111" s="276"/>
      <c r="AM111" s="283"/>
      <c r="AN111" s="276"/>
      <c r="AO111" s="283"/>
      <c r="AP111" s="276"/>
      <c r="AQ111" s="283"/>
      <c r="AR111" s="276"/>
      <c r="AT111" s="283"/>
      <c r="AU111" s="276"/>
      <c r="AV111" s="283"/>
      <c r="AW111" s="276"/>
      <c r="AX111" s="283"/>
      <c r="AY111" s="276"/>
      <c r="AZ111" s="283"/>
      <c r="BA111" s="276"/>
      <c r="BB111" s="283"/>
      <c r="BC111" s="276"/>
      <c r="BD111" s="283"/>
      <c r="BE111" s="276"/>
      <c r="BG111" s="283"/>
      <c r="BH111" s="276"/>
      <c r="BI111" s="283"/>
      <c r="BJ111" s="276"/>
      <c r="BK111" s="283"/>
      <c r="BL111" s="276"/>
      <c r="BM111" s="283"/>
      <c r="BN111" s="276"/>
      <c r="BO111" s="283"/>
      <c r="BP111" s="276"/>
      <c r="BQ111" s="283"/>
      <c r="BR111" s="283"/>
      <c r="BS111" s="276"/>
    </row>
    <row r="112" spans="12:71" ht="12" customHeight="1">
      <c r="L112" s="283"/>
      <c r="M112" s="276"/>
      <c r="N112" s="283"/>
      <c r="O112" s="276"/>
      <c r="P112" s="283"/>
      <c r="Q112" s="276"/>
      <c r="S112" s="283"/>
      <c r="T112" s="276"/>
      <c r="W112" s="283"/>
      <c r="X112" s="276"/>
      <c r="Y112" s="283"/>
      <c r="Z112" s="276"/>
      <c r="AA112" s="283"/>
      <c r="AB112" s="276"/>
      <c r="AC112" s="283"/>
      <c r="AE112" s="283"/>
      <c r="AF112" s="276"/>
      <c r="AI112" s="283"/>
      <c r="AJ112" s="276"/>
      <c r="AK112" s="283"/>
      <c r="AL112" s="276"/>
      <c r="AM112" s="283"/>
      <c r="AN112" s="276"/>
      <c r="AO112" s="283"/>
      <c r="AP112" s="276"/>
      <c r="AQ112" s="283"/>
      <c r="AR112" s="276"/>
      <c r="AT112" s="283"/>
      <c r="AU112" s="276"/>
      <c r="AV112" s="283"/>
      <c r="AW112" s="276"/>
      <c r="AX112" s="283"/>
      <c r="AY112" s="276"/>
      <c r="AZ112" s="283"/>
      <c r="BA112" s="276"/>
      <c r="BB112" s="283"/>
      <c r="BC112" s="276"/>
      <c r="BD112" s="283"/>
      <c r="BE112" s="276"/>
      <c r="BG112" s="283"/>
      <c r="BH112" s="276"/>
      <c r="BI112" s="283"/>
      <c r="BJ112" s="276"/>
      <c r="BK112" s="283"/>
      <c r="BL112" s="276"/>
      <c r="BM112" s="283"/>
      <c r="BN112" s="276"/>
      <c r="BO112" s="283"/>
      <c r="BP112" s="276"/>
      <c r="BQ112" s="283"/>
      <c r="BR112" s="283"/>
      <c r="BS112" s="276"/>
    </row>
    <row r="113" spans="12:71" ht="12" customHeight="1">
      <c r="L113" s="283"/>
      <c r="M113" s="276"/>
      <c r="N113" s="283"/>
      <c r="O113" s="276"/>
      <c r="P113" s="283"/>
      <c r="Q113" s="276"/>
      <c r="S113" s="283"/>
      <c r="T113" s="276"/>
      <c r="W113" s="283"/>
      <c r="X113" s="276"/>
      <c r="Y113" s="283"/>
      <c r="Z113" s="276"/>
      <c r="AA113" s="283"/>
      <c r="AB113" s="276"/>
      <c r="AC113" s="283"/>
      <c r="AE113" s="283"/>
      <c r="AF113" s="276"/>
      <c r="AI113" s="283"/>
      <c r="AJ113" s="276"/>
      <c r="AK113" s="283"/>
      <c r="AL113" s="276"/>
      <c r="AM113" s="283"/>
      <c r="AN113" s="276"/>
      <c r="AO113" s="283"/>
      <c r="AP113" s="276"/>
      <c r="AQ113" s="283"/>
      <c r="AR113" s="276"/>
      <c r="AT113" s="283"/>
      <c r="AU113" s="276"/>
      <c r="AV113" s="283"/>
      <c r="AW113" s="276"/>
      <c r="AX113" s="283"/>
      <c r="AY113" s="276"/>
      <c r="AZ113" s="283"/>
      <c r="BA113" s="276"/>
      <c r="BB113" s="283"/>
      <c r="BC113" s="276"/>
      <c r="BD113" s="283"/>
      <c r="BE113" s="276"/>
      <c r="BG113" s="283"/>
      <c r="BH113" s="276"/>
      <c r="BI113" s="283"/>
      <c r="BJ113" s="276"/>
      <c r="BK113" s="283"/>
      <c r="BL113" s="276"/>
      <c r="BM113" s="283"/>
      <c r="BN113" s="276"/>
      <c r="BO113" s="283"/>
      <c r="BP113" s="276"/>
      <c r="BQ113" s="283"/>
      <c r="BR113" s="283"/>
      <c r="BS113" s="276"/>
    </row>
    <row r="114" spans="12:71" ht="12" customHeight="1">
      <c r="L114" s="283"/>
      <c r="M114" s="276"/>
      <c r="N114" s="283"/>
      <c r="O114" s="276"/>
      <c r="P114" s="283"/>
      <c r="Q114" s="276"/>
      <c r="S114" s="283"/>
      <c r="T114" s="276"/>
      <c r="W114" s="283"/>
      <c r="X114" s="276"/>
      <c r="Y114" s="283"/>
      <c r="Z114" s="276"/>
      <c r="AA114" s="283"/>
      <c r="AB114" s="276"/>
      <c r="AC114" s="283"/>
      <c r="AE114" s="283"/>
      <c r="AF114" s="276"/>
      <c r="AI114" s="283"/>
      <c r="AJ114" s="276"/>
      <c r="AK114" s="283"/>
      <c r="AL114" s="276"/>
      <c r="AM114" s="283"/>
      <c r="AN114" s="276"/>
      <c r="AO114" s="283"/>
      <c r="AP114" s="276"/>
      <c r="AQ114" s="283"/>
      <c r="AR114" s="276"/>
      <c r="AT114" s="283"/>
      <c r="AU114" s="276"/>
      <c r="AV114" s="283"/>
      <c r="AW114" s="276"/>
      <c r="AX114" s="283"/>
      <c r="AY114" s="276"/>
      <c r="AZ114" s="283"/>
      <c r="BA114" s="276"/>
      <c r="BB114" s="283"/>
      <c r="BC114" s="276"/>
      <c r="BD114" s="283"/>
      <c r="BE114" s="276"/>
      <c r="BG114" s="283"/>
      <c r="BH114" s="276"/>
      <c r="BI114" s="283"/>
      <c r="BJ114" s="276"/>
      <c r="BK114" s="283"/>
      <c r="BL114" s="276"/>
      <c r="BM114" s="283"/>
      <c r="BN114" s="276"/>
      <c r="BO114" s="283"/>
      <c r="BP114" s="276"/>
      <c r="BQ114" s="283"/>
      <c r="BR114" s="283"/>
      <c r="BS114" s="276"/>
    </row>
    <row r="115" spans="12:71" ht="12" customHeight="1">
      <c r="L115" s="283"/>
      <c r="M115" s="276"/>
      <c r="N115" s="283"/>
      <c r="O115" s="276"/>
      <c r="P115" s="283"/>
      <c r="Q115" s="276"/>
      <c r="S115" s="283"/>
      <c r="T115" s="276"/>
      <c r="W115" s="283"/>
      <c r="X115" s="276"/>
      <c r="Y115" s="283"/>
      <c r="Z115" s="276"/>
      <c r="AA115" s="283"/>
      <c r="AB115" s="276"/>
      <c r="AC115" s="283"/>
      <c r="AE115" s="283"/>
      <c r="AF115" s="276"/>
      <c r="AI115" s="283"/>
      <c r="AJ115" s="276"/>
      <c r="AK115" s="283"/>
      <c r="AL115" s="276"/>
      <c r="AM115" s="283"/>
      <c r="AN115" s="276"/>
      <c r="AO115" s="283"/>
      <c r="AP115" s="276"/>
      <c r="AQ115" s="283"/>
      <c r="AR115" s="276"/>
      <c r="AT115" s="283"/>
      <c r="AU115" s="276"/>
      <c r="AV115" s="283"/>
      <c r="AW115" s="276"/>
      <c r="AX115" s="283"/>
      <c r="AY115" s="276"/>
      <c r="AZ115" s="283"/>
      <c r="BA115" s="276"/>
      <c r="BB115" s="283"/>
      <c r="BC115" s="276"/>
      <c r="BD115" s="283"/>
      <c r="BE115" s="276"/>
      <c r="BG115" s="283"/>
      <c r="BH115" s="276"/>
      <c r="BI115" s="283"/>
      <c r="BJ115" s="276"/>
      <c r="BK115" s="283"/>
      <c r="BL115" s="276"/>
      <c r="BM115" s="283"/>
      <c r="BN115" s="276"/>
      <c r="BO115" s="283"/>
      <c r="BP115" s="276"/>
      <c r="BQ115" s="283"/>
      <c r="BR115" s="283"/>
      <c r="BS115" s="276"/>
    </row>
    <row r="116" spans="12:71" ht="12" customHeight="1">
      <c r="L116" s="283"/>
      <c r="M116" s="276"/>
      <c r="N116" s="283"/>
      <c r="O116" s="276"/>
      <c r="P116" s="283"/>
      <c r="Q116" s="276"/>
      <c r="S116" s="283"/>
      <c r="T116" s="276"/>
      <c r="W116" s="283"/>
      <c r="X116" s="276"/>
      <c r="Y116" s="283"/>
      <c r="Z116" s="276"/>
      <c r="AA116" s="283"/>
      <c r="AB116" s="276"/>
      <c r="AC116" s="283"/>
      <c r="AE116" s="283"/>
      <c r="AF116" s="276"/>
      <c r="AI116" s="283"/>
      <c r="AJ116" s="276"/>
      <c r="AK116" s="283"/>
      <c r="AL116" s="276"/>
      <c r="AM116" s="283"/>
      <c r="AN116" s="276"/>
      <c r="AO116" s="283"/>
      <c r="AP116" s="276"/>
      <c r="AQ116" s="283"/>
      <c r="AR116" s="276"/>
      <c r="AT116" s="283"/>
      <c r="AU116" s="276"/>
      <c r="AV116" s="283"/>
      <c r="AW116" s="276"/>
      <c r="AX116" s="283"/>
      <c r="AY116" s="276"/>
      <c r="AZ116" s="283"/>
      <c r="BA116" s="276"/>
      <c r="BB116" s="283"/>
      <c r="BC116" s="276"/>
      <c r="BD116" s="283"/>
      <c r="BE116" s="276"/>
      <c r="BG116" s="283"/>
      <c r="BH116" s="276"/>
      <c r="BI116" s="283"/>
      <c r="BJ116" s="276"/>
      <c r="BK116" s="283"/>
      <c r="BL116" s="276"/>
      <c r="BM116" s="283"/>
      <c r="BN116" s="276"/>
      <c r="BO116" s="283"/>
      <c r="BP116" s="276"/>
      <c r="BQ116" s="283"/>
      <c r="BR116" s="283"/>
      <c r="BS116" s="276"/>
    </row>
    <row r="117" spans="12:71" ht="12" customHeight="1">
      <c r="L117" s="283"/>
      <c r="M117" s="276"/>
      <c r="N117" s="283"/>
      <c r="O117" s="276"/>
      <c r="P117" s="283"/>
      <c r="Q117" s="276"/>
      <c r="S117" s="283"/>
      <c r="T117" s="276"/>
      <c r="W117" s="283"/>
      <c r="X117" s="276"/>
      <c r="Y117" s="283"/>
      <c r="Z117" s="276"/>
      <c r="AA117" s="283"/>
      <c r="AB117" s="276"/>
      <c r="AC117" s="283"/>
      <c r="AE117" s="283"/>
      <c r="AF117" s="276"/>
      <c r="AI117" s="283"/>
      <c r="AJ117" s="276"/>
      <c r="AK117" s="283"/>
      <c r="AL117" s="276"/>
      <c r="AM117" s="283"/>
      <c r="AN117" s="276"/>
      <c r="AO117" s="283"/>
      <c r="AP117" s="276"/>
      <c r="AQ117" s="283"/>
      <c r="AR117" s="276"/>
      <c r="AT117" s="283"/>
      <c r="AU117" s="276"/>
      <c r="AV117" s="283"/>
      <c r="AW117" s="276"/>
      <c r="AX117" s="283"/>
      <c r="AY117" s="276"/>
      <c r="AZ117" s="283"/>
      <c r="BA117" s="276"/>
      <c r="BB117" s="283"/>
      <c r="BC117" s="276"/>
      <c r="BD117" s="283"/>
      <c r="BE117" s="276"/>
      <c r="BG117" s="283"/>
      <c r="BH117" s="276"/>
      <c r="BI117" s="283"/>
      <c r="BJ117" s="276"/>
      <c r="BK117" s="283"/>
      <c r="BL117" s="276"/>
      <c r="BM117" s="283"/>
      <c r="BN117" s="276"/>
      <c r="BO117" s="283"/>
      <c r="BP117" s="276"/>
      <c r="BQ117" s="283"/>
      <c r="BR117" s="283"/>
      <c r="BS117" s="276"/>
    </row>
    <row r="118" spans="12:71" ht="12" customHeight="1">
      <c r="L118" s="283"/>
      <c r="M118" s="276"/>
      <c r="N118" s="283"/>
      <c r="O118" s="276"/>
      <c r="P118" s="283"/>
      <c r="Q118" s="276"/>
      <c r="S118" s="283"/>
      <c r="T118" s="276"/>
      <c r="W118" s="283"/>
      <c r="X118" s="276"/>
      <c r="Y118" s="283"/>
      <c r="Z118" s="276"/>
      <c r="AA118" s="283"/>
      <c r="AB118" s="276"/>
      <c r="AC118" s="283"/>
      <c r="AE118" s="283"/>
      <c r="AF118" s="276"/>
      <c r="AI118" s="283"/>
      <c r="AJ118" s="276"/>
      <c r="AK118" s="283"/>
      <c r="AL118" s="276"/>
      <c r="AM118" s="283"/>
      <c r="AN118" s="276"/>
      <c r="AO118" s="283"/>
      <c r="AP118" s="276"/>
      <c r="AQ118" s="283"/>
      <c r="AR118" s="276"/>
      <c r="AT118" s="283"/>
      <c r="AU118" s="276"/>
      <c r="AV118" s="283"/>
      <c r="AW118" s="276"/>
      <c r="AX118" s="283"/>
      <c r="AY118" s="276"/>
      <c r="AZ118" s="283"/>
      <c r="BA118" s="276"/>
      <c r="BB118" s="283"/>
      <c r="BC118" s="276"/>
      <c r="BD118" s="283"/>
      <c r="BE118" s="276"/>
      <c r="BG118" s="283"/>
      <c r="BH118" s="276"/>
      <c r="BI118" s="283"/>
      <c r="BJ118" s="276"/>
      <c r="BK118" s="283"/>
      <c r="BL118" s="276"/>
      <c r="BM118" s="283"/>
      <c r="BN118" s="276"/>
      <c r="BO118" s="283"/>
      <c r="BP118" s="276"/>
      <c r="BQ118" s="283"/>
      <c r="BR118" s="283"/>
      <c r="BS118" s="276"/>
    </row>
    <row r="119" spans="12:71" ht="12" customHeight="1">
      <c r="L119" s="283"/>
      <c r="M119" s="276"/>
      <c r="N119" s="283"/>
      <c r="O119" s="276"/>
      <c r="P119" s="283"/>
      <c r="Q119" s="276"/>
      <c r="S119" s="283"/>
      <c r="T119" s="276"/>
      <c r="W119" s="283"/>
      <c r="X119" s="276"/>
      <c r="Y119" s="283"/>
      <c r="Z119" s="276"/>
      <c r="AA119" s="283"/>
      <c r="AB119" s="276"/>
      <c r="AC119" s="283"/>
      <c r="AE119" s="283"/>
      <c r="AF119" s="276"/>
      <c r="AI119" s="283"/>
      <c r="AJ119" s="276"/>
      <c r="AK119" s="283"/>
      <c r="AL119" s="276"/>
      <c r="AM119" s="283"/>
      <c r="AN119" s="276"/>
      <c r="AO119" s="283"/>
      <c r="AP119" s="276"/>
      <c r="AQ119" s="283"/>
      <c r="AR119" s="276"/>
      <c r="AT119" s="283"/>
      <c r="AU119" s="276"/>
      <c r="AV119" s="283"/>
      <c r="AW119" s="276"/>
      <c r="AX119" s="283"/>
      <c r="AY119" s="276"/>
      <c r="AZ119" s="283"/>
      <c r="BA119" s="276"/>
      <c r="BB119" s="283"/>
      <c r="BC119" s="276"/>
      <c r="BD119" s="283"/>
      <c r="BE119" s="276"/>
      <c r="BG119" s="283"/>
      <c r="BH119" s="276"/>
      <c r="BI119" s="283"/>
      <c r="BJ119" s="276"/>
      <c r="BK119" s="283"/>
      <c r="BL119" s="276"/>
      <c r="BM119" s="283"/>
      <c r="BN119" s="276"/>
      <c r="BO119" s="283"/>
      <c r="BP119" s="276"/>
      <c r="BQ119" s="283"/>
      <c r="BR119" s="283"/>
      <c r="BS119" s="276"/>
    </row>
    <row r="120" spans="12:71" ht="12" customHeight="1">
      <c r="L120" s="283"/>
      <c r="M120" s="276"/>
      <c r="N120" s="283"/>
      <c r="O120" s="276"/>
      <c r="P120" s="283"/>
      <c r="Q120" s="276"/>
      <c r="S120" s="283"/>
      <c r="T120" s="276"/>
      <c r="W120" s="283"/>
      <c r="X120" s="276"/>
      <c r="Y120" s="283"/>
      <c r="Z120" s="276"/>
      <c r="AA120" s="283"/>
      <c r="AB120" s="276"/>
      <c r="AC120" s="283"/>
      <c r="AE120" s="283"/>
      <c r="AF120" s="276"/>
      <c r="AI120" s="283"/>
      <c r="AJ120" s="276"/>
      <c r="AK120" s="283"/>
      <c r="AL120" s="276"/>
      <c r="AM120" s="283"/>
      <c r="AN120" s="276"/>
      <c r="AO120" s="283"/>
      <c r="AP120" s="276"/>
      <c r="AQ120" s="283"/>
      <c r="AR120" s="276"/>
      <c r="AT120" s="283"/>
      <c r="AU120" s="276"/>
      <c r="AV120" s="283"/>
      <c r="AW120" s="276"/>
      <c r="AX120" s="283"/>
      <c r="AY120" s="276"/>
      <c r="AZ120" s="283"/>
      <c r="BA120" s="276"/>
      <c r="BB120" s="283"/>
      <c r="BC120" s="276"/>
      <c r="BD120" s="283"/>
      <c r="BE120" s="276"/>
      <c r="BG120" s="283"/>
      <c r="BH120" s="276"/>
      <c r="BI120" s="283"/>
      <c r="BJ120" s="276"/>
      <c r="BK120" s="283"/>
      <c r="BL120" s="276"/>
      <c r="BM120" s="283"/>
      <c r="BN120" s="276"/>
      <c r="BO120" s="283"/>
      <c r="BP120" s="276"/>
      <c r="BQ120" s="283"/>
      <c r="BR120" s="283"/>
      <c r="BS120" s="276"/>
    </row>
    <row r="121" spans="12:71" ht="12" customHeight="1">
      <c r="L121" s="283"/>
      <c r="M121" s="276"/>
      <c r="N121" s="283"/>
      <c r="O121" s="276"/>
      <c r="P121" s="283"/>
      <c r="Q121" s="276"/>
      <c r="S121" s="283"/>
      <c r="T121" s="276"/>
      <c r="W121" s="283"/>
      <c r="X121" s="276"/>
      <c r="Y121" s="283"/>
      <c r="Z121" s="276"/>
      <c r="AA121" s="283"/>
      <c r="AB121" s="276"/>
      <c r="AC121" s="283"/>
      <c r="AE121" s="283"/>
      <c r="AF121" s="276"/>
      <c r="AI121" s="283"/>
      <c r="AJ121" s="276"/>
      <c r="AK121" s="283"/>
      <c r="AL121" s="276"/>
      <c r="AM121" s="283"/>
      <c r="AN121" s="276"/>
      <c r="AO121" s="283"/>
      <c r="AP121" s="276"/>
      <c r="AQ121" s="283"/>
      <c r="AR121" s="276"/>
      <c r="AT121" s="283"/>
      <c r="AU121" s="276"/>
      <c r="AV121" s="283"/>
      <c r="AW121" s="276"/>
      <c r="AX121" s="283"/>
      <c r="AY121" s="276"/>
      <c r="AZ121" s="283"/>
      <c r="BA121" s="276"/>
      <c r="BB121" s="283"/>
      <c r="BC121" s="276"/>
      <c r="BD121" s="283"/>
      <c r="BE121" s="276"/>
      <c r="BG121" s="283"/>
      <c r="BH121" s="276"/>
      <c r="BI121" s="283"/>
      <c r="BJ121" s="276"/>
      <c r="BK121" s="283"/>
      <c r="BL121" s="276"/>
      <c r="BM121" s="283"/>
      <c r="BN121" s="276"/>
      <c r="BO121" s="283"/>
      <c r="BP121" s="276"/>
      <c r="BQ121" s="283"/>
      <c r="BR121" s="283"/>
      <c r="BS121" s="276"/>
    </row>
    <row r="122" spans="12:71" ht="12" customHeight="1">
      <c r="L122" s="283"/>
      <c r="M122" s="276"/>
      <c r="N122" s="283"/>
      <c r="O122" s="276"/>
      <c r="P122" s="283"/>
      <c r="Q122" s="276"/>
      <c r="S122" s="283"/>
      <c r="T122" s="276"/>
      <c r="W122" s="283"/>
      <c r="X122" s="276"/>
      <c r="Y122" s="283"/>
      <c r="Z122" s="276"/>
      <c r="AA122" s="283"/>
      <c r="AB122" s="276"/>
      <c r="AC122" s="283"/>
      <c r="AE122" s="283"/>
      <c r="AF122" s="276"/>
      <c r="AI122" s="283"/>
      <c r="AJ122" s="276"/>
      <c r="AK122" s="283"/>
      <c r="AL122" s="276"/>
      <c r="AM122" s="283"/>
      <c r="AN122" s="276"/>
      <c r="AO122" s="283"/>
      <c r="AP122" s="276"/>
      <c r="AQ122" s="283"/>
      <c r="AR122" s="276"/>
      <c r="AT122" s="283"/>
      <c r="AU122" s="276"/>
      <c r="AV122" s="283"/>
      <c r="AW122" s="276"/>
      <c r="AX122" s="283"/>
      <c r="AY122" s="276"/>
      <c r="AZ122" s="283"/>
      <c r="BA122" s="276"/>
      <c r="BB122" s="283"/>
      <c r="BC122" s="276"/>
      <c r="BD122" s="283"/>
      <c r="BE122" s="276"/>
      <c r="BG122" s="283"/>
      <c r="BH122" s="276"/>
      <c r="BI122" s="283"/>
      <c r="BJ122" s="276"/>
      <c r="BK122" s="283"/>
      <c r="BL122" s="276"/>
      <c r="BM122" s="283"/>
      <c r="BN122" s="276"/>
      <c r="BO122" s="283"/>
      <c r="BP122" s="276"/>
      <c r="BQ122" s="283"/>
      <c r="BR122" s="283"/>
      <c r="BS122" s="276"/>
    </row>
    <row r="123" spans="12:71" ht="12" customHeight="1">
      <c r="L123" s="283"/>
      <c r="M123" s="276"/>
      <c r="N123" s="283"/>
      <c r="O123" s="276"/>
      <c r="P123" s="283"/>
      <c r="Q123" s="276"/>
      <c r="S123" s="283"/>
      <c r="T123" s="276"/>
      <c r="W123" s="283"/>
      <c r="X123" s="276"/>
      <c r="Y123" s="283"/>
      <c r="Z123" s="276"/>
      <c r="AA123" s="283"/>
      <c r="AB123" s="276"/>
      <c r="AC123" s="283"/>
      <c r="AE123" s="283"/>
      <c r="AF123" s="276"/>
      <c r="AI123" s="283"/>
      <c r="AJ123" s="276"/>
      <c r="AK123" s="283"/>
      <c r="AL123" s="276"/>
      <c r="AM123" s="283"/>
      <c r="AN123" s="276"/>
      <c r="AO123" s="283"/>
      <c r="AP123" s="276"/>
      <c r="AQ123" s="283"/>
      <c r="AR123" s="276"/>
      <c r="AT123" s="283"/>
      <c r="AU123" s="276"/>
      <c r="AV123" s="283"/>
      <c r="AW123" s="276"/>
      <c r="AX123" s="283"/>
      <c r="AY123" s="276"/>
      <c r="AZ123" s="283"/>
      <c r="BA123" s="276"/>
      <c r="BB123" s="283"/>
      <c r="BC123" s="276"/>
      <c r="BD123" s="283"/>
      <c r="BE123" s="276"/>
      <c r="BG123" s="283"/>
      <c r="BH123" s="276"/>
      <c r="BI123" s="283"/>
      <c r="BJ123" s="276"/>
      <c r="BK123" s="283"/>
      <c r="BL123" s="276"/>
      <c r="BM123" s="283"/>
      <c r="BN123" s="276"/>
      <c r="BO123" s="283"/>
      <c r="BP123" s="276"/>
      <c r="BQ123" s="283"/>
      <c r="BR123" s="283"/>
      <c r="BS123" s="276"/>
    </row>
    <row r="124" spans="12:71" ht="12" customHeight="1">
      <c r="L124" s="283"/>
      <c r="M124" s="276"/>
      <c r="N124" s="283"/>
      <c r="O124" s="276"/>
      <c r="P124" s="283"/>
      <c r="Q124" s="276"/>
      <c r="S124" s="283"/>
      <c r="T124" s="276"/>
      <c r="W124" s="283"/>
      <c r="X124" s="276"/>
      <c r="Y124" s="283"/>
      <c r="Z124" s="276"/>
      <c r="AA124" s="283"/>
      <c r="AB124" s="276"/>
      <c r="AC124" s="283"/>
      <c r="AE124" s="283"/>
      <c r="AF124" s="276"/>
      <c r="AI124" s="283"/>
      <c r="AJ124" s="276"/>
      <c r="AK124" s="283"/>
      <c r="AL124" s="276"/>
      <c r="AM124" s="283"/>
      <c r="AN124" s="276"/>
      <c r="AO124" s="283"/>
      <c r="AP124" s="276"/>
      <c r="AQ124" s="283"/>
      <c r="AR124" s="276"/>
      <c r="AT124" s="283"/>
      <c r="AU124" s="276"/>
      <c r="AV124" s="283"/>
      <c r="AW124" s="276"/>
      <c r="AX124" s="283"/>
      <c r="AY124" s="276"/>
      <c r="AZ124" s="283"/>
      <c r="BA124" s="276"/>
      <c r="BB124" s="283"/>
      <c r="BC124" s="276"/>
      <c r="BD124" s="283"/>
      <c r="BE124" s="276"/>
      <c r="BG124" s="283"/>
      <c r="BH124" s="276"/>
      <c r="BI124" s="283"/>
      <c r="BJ124" s="276"/>
      <c r="BK124" s="283"/>
      <c r="BL124" s="276"/>
      <c r="BM124" s="283"/>
      <c r="BN124" s="276"/>
      <c r="BO124" s="283"/>
      <c r="BP124" s="276"/>
      <c r="BQ124" s="283"/>
      <c r="BR124" s="283"/>
      <c r="BS124" s="276"/>
    </row>
    <row r="125" spans="12:71" ht="12" customHeight="1">
      <c r="L125" s="283"/>
      <c r="M125" s="276"/>
      <c r="N125" s="283"/>
      <c r="O125" s="276"/>
      <c r="P125" s="283"/>
      <c r="Q125" s="276"/>
      <c r="S125" s="283"/>
      <c r="T125" s="276"/>
      <c r="W125" s="283"/>
      <c r="X125" s="276"/>
      <c r="Y125" s="283"/>
      <c r="Z125" s="276"/>
      <c r="AA125" s="283"/>
      <c r="AB125" s="276"/>
      <c r="AC125" s="283"/>
      <c r="AE125" s="283"/>
      <c r="AF125" s="276"/>
      <c r="AI125" s="283"/>
      <c r="AJ125" s="276"/>
      <c r="AK125" s="283"/>
      <c r="AL125" s="276"/>
      <c r="AM125" s="283"/>
      <c r="AN125" s="276"/>
      <c r="AO125" s="283"/>
      <c r="AP125" s="276"/>
      <c r="AQ125" s="283"/>
      <c r="AR125" s="276"/>
      <c r="AT125" s="283"/>
      <c r="AU125" s="276"/>
      <c r="AV125" s="283"/>
      <c r="AW125" s="276"/>
      <c r="AX125" s="283"/>
      <c r="AY125" s="276"/>
      <c r="AZ125" s="283"/>
      <c r="BA125" s="276"/>
      <c r="BB125" s="283"/>
      <c r="BC125" s="276"/>
      <c r="BD125" s="283"/>
      <c r="BE125" s="276"/>
      <c r="BG125" s="283"/>
      <c r="BH125" s="276"/>
      <c r="BI125" s="283"/>
      <c r="BJ125" s="276"/>
      <c r="BK125" s="283"/>
      <c r="BL125" s="276"/>
      <c r="BM125" s="283"/>
      <c r="BN125" s="276"/>
      <c r="BO125" s="283"/>
      <c r="BP125" s="276"/>
      <c r="BQ125" s="283"/>
      <c r="BR125" s="283"/>
      <c r="BS125" s="276"/>
    </row>
    <row r="126" spans="12:71" ht="12" customHeight="1">
      <c r="L126" s="283"/>
      <c r="M126" s="276"/>
      <c r="N126" s="283"/>
      <c r="O126" s="276"/>
      <c r="P126" s="283"/>
      <c r="Q126" s="276"/>
      <c r="S126" s="283"/>
      <c r="T126" s="276"/>
      <c r="W126" s="283"/>
      <c r="X126" s="276"/>
      <c r="Y126" s="283"/>
      <c r="Z126" s="276"/>
      <c r="AA126" s="283"/>
      <c r="AB126" s="276"/>
      <c r="AC126" s="283"/>
      <c r="AE126" s="283"/>
      <c r="AF126" s="276"/>
      <c r="AI126" s="283"/>
      <c r="AJ126" s="276"/>
      <c r="AK126" s="283"/>
      <c r="AL126" s="276"/>
      <c r="AM126" s="283"/>
      <c r="AN126" s="276"/>
      <c r="AO126" s="283"/>
      <c r="AP126" s="276"/>
      <c r="AQ126" s="283"/>
      <c r="AR126" s="276"/>
      <c r="AT126" s="283"/>
      <c r="AU126" s="276"/>
      <c r="AV126" s="283"/>
      <c r="AW126" s="276"/>
      <c r="AX126" s="283"/>
      <c r="AY126" s="276"/>
      <c r="AZ126" s="283"/>
      <c r="BA126" s="276"/>
      <c r="BB126" s="283"/>
      <c r="BC126" s="276"/>
      <c r="BD126" s="283"/>
      <c r="BE126" s="276"/>
      <c r="BG126" s="283"/>
      <c r="BH126" s="276"/>
      <c r="BI126" s="283"/>
      <c r="BJ126" s="276"/>
      <c r="BK126" s="283"/>
      <c r="BL126" s="276"/>
      <c r="BM126" s="283"/>
      <c r="BN126" s="276"/>
      <c r="BO126" s="283"/>
      <c r="BP126" s="276"/>
      <c r="BQ126" s="283"/>
      <c r="BR126" s="283"/>
      <c r="BS126" s="276"/>
    </row>
    <row r="127" spans="12:71" ht="12" customHeight="1">
      <c r="L127" s="283"/>
      <c r="M127" s="276"/>
      <c r="N127" s="283"/>
      <c r="O127" s="276"/>
      <c r="P127" s="283"/>
      <c r="Q127" s="276"/>
      <c r="S127" s="283"/>
      <c r="T127" s="276"/>
      <c r="W127" s="283"/>
      <c r="X127" s="276"/>
      <c r="Y127" s="283"/>
      <c r="Z127" s="276"/>
      <c r="AA127" s="283"/>
      <c r="AB127" s="276"/>
      <c r="AC127" s="283"/>
      <c r="AE127" s="283"/>
      <c r="AF127" s="276"/>
      <c r="AI127" s="283"/>
      <c r="AJ127" s="276"/>
      <c r="AK127" s="283"/>
      <c r="AL127" s="276"/>
      <c r="AM127" s="283"/>
      <c r="AN127" s="276"/>
      <c r="AO127" s="283"/>
      <c r="AP127" s="276"/>
      <c r="AQ127" s="283"/>
      <c r="AR127" s="276"/>
      <c r="AT127" s="283"/>
      <c r="AU127" s="276"/>
      <c r="AV127" s="283"/>
      <c r="AW127" s="276"/>
      <c r="AX127" s="283"/>
      <c r="AY127" s="276"/>
      <c r="AZ127" s="283"/>
      <c r="BA127" s="276"/>
      <c r="BB127" s="283"/>
      <c r="BC127" s="276"/>
      <c r="BD127" s="283"/>
      <c r="BE127" s="276"/>
      <c r="BG127" s="283"/>
      <c r="BH127" s="276"/>
      <c r="BI127" s="283"/>
      <c r="BJ127" s="276"/>
      <c r="BK127" s="283"/>
      <c r="BL127" s="276"/>
      <c r="BM127" s="283"/>
      <c r="BN127" s="276"/>
      <c r="BO127" s="283"/>
      <c r="BP127" s="276"/>
      <c r="BQ127" s="283"/>
      <c r="BR127" s="283"/>
      <c r="BS127" s="276"/>
    </row>
    <row r="128" spans="12:71" ht="12" customHeight="1">
      <c r="L128" s="283"/>
      <c r="M128" s="276"/>
      <c r="N128" s="283"/>
      <c r="O128" s="276"/>
      <c r="P128" s="283"/>
      <c r="Q128" s="276"/>
      <c r="S128" s="283"/>
      <c r="T128" s="276"/>
      <c r="W128" s="283"/>
      <c r="X128" s="276"/>
      <c r="Y128" s="283"/>
      <c r="Z128" s="276"/>
      <c r="AA128" s="283"/>
      <c r="AB128" s="276"/>
      <c r="AC128" s="283"/>
      <c r="AE128" s="283"/>
      <c r="AF128" s="276"/>
      <c r="AI128" s="283"/>
      <c r="AJ128" s="276"/>
      <c r="AK128" s="283"/>
      <c r="AL128" s="276"/>
      <c r="AM128" s="283"/>
      <c r="AN128" s="276"/>
      <c r="AO128" s="283"/>
      <c r="AP128" s="276"/>
      <c r="AQ128" s="283"/>
      <c r="AR128" s="276"/>
      <c r="AT128" s="283"/>
      <c r="AU128" s="276"/>
      <c r="AV128" s="283"/>
      <c r="AW128" s="276"/>
      <c r="AX128" s="283"/>
      <c r="AY128" s="276"/>
      <c r="AZ128" s="283"/>
      <c r="BA128" s="276"/>
      <c r="BB128" s="283"/>
      <c r="BC128" s="276"/>
      <c r="BD128" s="283"/>
      <c r="BE128" s="276"/>
      <c r="BG128" s="283"/>
      <c r="BH128" s="276"/>
      <c r="BI128" s="283"/>
      <c r="BJ128" s="276"/>
      <c r="BK128" s="283"/>
      <c r="BL128" s="276"/>
      <c r="BM128" s="283"/>
      <c r="BN128" s="276"/>
      <c r="BO128" s="283"/>
      <c r="BP128" s="276"/>
      <c r="BQ128" s="283"/>
      <c r="BR128" s="283"/>
      <c r="BS128" s="276"/>
    </row>
    <row r="129" spans="12:71" ht="12" customHeight="1">
      <c r="L129" s="283"/>
      <c r="M129" s="276"/>
      <c r="N129" s="283"/>
      <c r="O129" s="276"/>
      <c r="P129" s="283"/>
      <c r="Q129" s="276"/>
      <c r="S129" s="283"/>
      <c r="T129" s="276"/>
      <c r="W129" s="283"/>
      <c r="X129" s="276"/>
      <c r="Y129" s="283"/>
      <c r="Z129" s="276"/>
      <c r="AA129" s="283"/>
      <c r="AB129" s="276"/>
      <c r="AC129" s="283"/>
      <c r="AE129" s="283"/>
      <c r="AF129" s="276"/>
      <c r="AI129" s="283"/>
      <c r="AJ129" s="276"/>
      <c r="AK129" s="283"/>
      <c r="AL129" s="276"/>
      <c r="AM129" s="283"/>
      <c r="AN129" s="276"/>
      <c r="AO129" s="283"/>
      <c r="AP129" s="276"/>
      <c r="AQ129" s="283"/>
      <c r="AR129" s="276"/>
      <c r="AT129" s="283"/>
      <c r="AU129" s="276"/>
      <c r="AV129" s="283"/>
      <c r="AW129" s="276"/>
      <c r="AX129" s="283"/>
      <c r="AY129" s="276"/>
      <c r="AZ129" s="283"/>
      <c r="BA129" s="276"/>
      <c r="BB129" s="283"/>
      <c r="BC129" s="276"/>
      <c r="BD129" s="283"/>
      <c r="BE129" s="276"/>
      <c r="BG129" s="283"/>
      <c r="BH129" s="276"/>
      <c r="BI129" s="283"/>
      <c r="BJ129" s="276"/>
      <c r="BK129" s="283"/>
      <c r="BL129" s="276"/>
      <c r="BM129" s="283"/>
      <c r="BN129" s="276"/>
      <c r="BO129" s="283"/>
      <c r="BP129" s="276"/>
      <c r="BQ129" s="283"/>
      <c r="BR129" s="283"/>
      <c r="BS129" s="276"/>
    </row>
    <row r="130" spans="12:71" ht="12" customHeight="1">
      <c r="L130" s="283"/>
      <c r="M130" s="276"/>
      <c r="N130" s="283"/>
      <c r="O130" s="276"/>
      <c r="P130" s="283"/>
      <c r="Q130" s="276"/>
      <c r="S130" s="283"/>
      <c r="T130" s="276"/>
      <c r="W130" s="283"/>
      <c r="X130" s="276"/>
      <c r="Y130" s="283"/>
      <c r="Z130" s="276"/>
      <c r="AA130" s="283"/>
      <c r="AB130" s="276"/>
      <c r="AC130" s="283"/>
      <c r="AE130" s="283"/>
      <c r="AF130" s="276"/>
      <c r="AI130" s="283"/>
      <c r="AJ130" s="276"/>
      <c r="AK130" s="283"/>
      <c r="AL130" s="276"/>
      <c r="AM130" s="283"/>
      <c r="AN130" s="276"/>
      <c r="AO130" s="283"/>
      <c r="AP130" s="276"/>
      <c r="AQ130" s="283"/>
      <c r="AR130" s="276"/>
      <c r="AT130" s="283"/>
      <c r="AU130" s="276"/>
      <c r="AV130" s="283"/>
      <c r="AW130" s="276"/>
      <c r="AX130" s="283"/>
      <c r="AY130" s="276"/>
      <c r="AZ130" s="283"/>
      <c r="BA130" s="276"/>
      <c r="BB130" s="283"/>
      <c r="BC130" s="276"/>
      <c r="BD130" s="283"/>
      <c r="BE130" s="276"/>
      <c r="BG130" s="283"/>
      <c r="BH130" s="276"/>
      <c r="BI130" s="283"/>
      <c r="BJ130" s="276"/>
      <c r="BK130" s="283"/>
      <c r="BL130" s="276"/>
      <c r="BM130" s="283"/>
      <c r="BN130" s="276"/>
      <c r="BO130" s="283"/>
      <c r="BP130" s="276"/>
      <c r="BQ130" s="283"/>
      <c r="BR130" s="283"/>
      <c r="BS130" s="276"/>
    </row>
    <row r="131" spans="12:71" ht="12" customHeight="1">
      <c r="L131" s="283"/>
      <c r="M131" s="276"/>
      <c r="N131" s="283"/>
      <c r="O131" s="276"/>
      <c r="P131" s="283"/>
      <c r="Q131" s="276"/>
      <c r="S131" s="283"/>
      <c r="T131" s="276"/>
      <c r="W131" s="283"/>
      <c r="X131" s="276"/>
      <c r="Y131" s="283"/>
      <c r="Z131" s="276"/>
      <c r="AA131" s="283"/>
      <c r="AB131" s="276"/>
      <c r="AC131" s="283"/>
      <c r="AE131" s="283"/>
      <c r="AF131" s="276"/>
      <c r="AI131" s="283"/>
      <c r="AJ131" s="276"/>
      <c r="AK131" s="283"/>
      <c r="AL131" s="276"/>
      <c r="AM131" s="283"/>
      <c r="AN131" s="276"/>
      <c r="AO131" s="283"/>
      <c r="AP131" s="276"/>
      <c r="AQ131" s="283"/>
      <c r="AR131" s="276"/>
      <c r="AT131" s="283"/>
      <c r="AU131" s="276"/>
      <c r="AV131" s="283"/>
      <c r="AW131" s="276"/>
      <c r="AX131" s="283"/>
      <c r="AY131" s="276"/>
      <c r="AZ131" s="283"/>
      <c r="BA131" s="276"/>
      <c r="BB131" s="283"/>
      <c r="BC131" s="276"/>
      <c r="BD131" s="283"/>
      <c r="BE131" s="276"/>
      <c r="BG131" s="283"/>
      <c r="BH131" s="276"/>
      <c r="BI131" s="283"/>
      <c r="BJ131" s="276"/>
      <c r="BK131" s="283"/>
      <c r="BL131" s="276"/>
      <c r="BM131" s="283"/>
      <c r="BN131" s="276"/>
      <c r="BO131" s="283"/>
      <c r="BP131" s="276"/>
      <c r="BQ131" s="283"/>
      <c r="BR131" s="283"/>
      <c r="BS131" s="276"/>
    </row>
    <row r="132" spans="12:71" ht="12" customHeight="1">
      <c r="L132" s="283"/>
      <c r="M132" s="276"/>
      <c r="N132" s="283"/>
      <c r="O132" s="276"/>
      <c r="P132" s="283"/>
      <c r="Q132" s="276"/>
      <c r="S132" s="283"/>
      <c r="T132" s="276"/>
      <c r="W132" s="283"/>
      <c r="X132" s="276"/>
      <c r="Y132" s="283"/>
      <c r="Z132" s="276"/>
      <c r="AA132" s="283"/>
      <c r="AB132" s="276"/>
      <c r="AC132" s="283"/>
      <c r="AE132" s="283"/>
      <c r="AF132" s="276"/>
      <c r="AI132" s="283"/>
      <c r="AJ132" s="276"/>
      <c r="AK132" s="283"/>
      <c r="AL132" s="276"/>
      <c r="AM132" s="283"/>
      <c r="AN132" s="276"/>
      <c r="AO132" s="283"/>
      <c r="AP132" s="276"/>
      <c r="AQ132" s="283"/>
      <c r="AR132" s="276"/>
      <c r="AT132" s="283"/>
      <c r="AU132" s="276"/>
      <c r="AV132" s="283"/>
      <c r="AW132" s="276"/>
      <c r="AX132" s="283"/>
      <c r="AY132" s="276"/>
      <c r="AZ132" s="283"/>
      <c r="BA132" s="276"/>
      <c r="BB132" s="283"/>
      <c r="BC132" s="276"/>
      <c r="BD132" s="283"/>
      <c r="BE132" s="276"/>
      <c r="BG132" s="283"/>
      <c r="BH132" s="276"/>
      <c r="BI132" s="283"/>
      <c r="BJ132" s="276"/>
      <c r="BK132" s="283"/>
      <c r="BL132" s="276"/>
      <c r="BM132" s="283"/>
      <c r="BN132" s="276"/>
      <c r="BO132" s="283"/>
      <c r="BP132" s="276"/>
      <c r="BQ132" s="283"/>
      <c r="BR132" s="283"/>
      <c r="BS132" s="276"/>
    </row>
    <row r="133" spans="12:71" ht="12" customHeight="1">
      <c r="L133" s="283"/>
      <c r="M133" s="276"/>
      <c r="N133" s="283"/>
      <c r="O133" s="276"/>
      <c r="P133" s="283"/>
      <c r="Q133" s="276"/>
      <c r="S133" s="283"/>
      <c r="T133" s="276"/>
      <c r="W133" s="283"/>
      <c r="X133" s="276"/>
      <c r="Y133" s="283"/>
      <c r="Z133" s="276"/>
      <c r="AA133" s="283"/>
      <c r="AB133" s="276"/>
      <c r="AC133" s="283"/>
      <c r="AE133" s="283"/>
      <c r="AF133" s="276"/>
      <c r="AI133" s="283"/>
      <c r="AJ133" s="276"/>
      <c r="AK133" s="283"/>
      <c r="AL133" s="276"/>
      <c r="AM133" s="283"/>
      <c r="AN133" s="276"/>
      <c r="AO133" s="283"/>
      <c r="AP133" s="276"/>
      <c r="AQ133" s="283"/>
      <c r="AR133" s="276"/>
      <c r="AT133" s="283"/>
      <c r="AU133" s="276"/>
      <c r="AV133" s="283"/>
      <c r="AW133" s="276"/>
      <c r="AX133" s="283"/>
      <c r="AY133" s="276"/>
      <c r="AZ133" s="283"/>
      <c r="BA133" s="276"/>
      <c r="BB133" s="283"/>
      <c r="BC133" s="276"/>
      <c r="BD133" s="283"/>
      <c r="BE133" s="276"/>
      <c r="BG133" s="283"/>
      <c r="BH133" s="276"/>
      <c r="BI133" s="283"/>
      <c r="BJ133" s="276"/>
      <c r="BK133" s="283"/>
      <c r="BL133" s="276"/>
      <c r="BM133" s="283"/>
      <c r="BN133" s="276"/>
      <c r="BO133" s="283"/>
      <c r="BP133" s="276"/>
      <c r="BQ133" s="283"/>
      <c r="BR133" s="283"/>
      <c r="BS133" s="276"/>
    </row>
    <row r="134" spans="12:71" ht="12" customHeight="1">
      <c r="L134" s="283"/>
      <c r="M134" s="276"/>
      <c r="N134" s="283"/>
      <c r="O134" s="276"/>
      <c r="P134" s="283"/>
      <c r="Q134" s="276"/>
      <c r="S134" s="283"/>
      <c r="T134" s="276"/>
      <c r="W134" s="283"/>
      <c r="X134" s="276"/>
      <c r="Y134" s="283"/>
      <c r="Z134" s="276"/>
      <c r="AA134" s="283"/>
      <c r="AB134" s="276"/>
      <c r="AC134" s="283"/>
      <c r="AE134" s="283"/>
      <c r="AF134" s="276"/>
      <c r="AI134" s="283"/>
      <c r="AJ134" s="276"/>
      <c r="AK134" s="283"/>
      <c r="AL134" s="276"/>
      <c r="AM134" s="283"/>
      <c r="AN134" s="276"/>
      <c r="AO134" s="283"/>
      <c r="AP134" s="276"/>
      <c r="AQ134" s="283"/>
      <c r="AR134" s="276"/>
      <c r="AT134" s="283"/>
      <c r="AU134" s="276"/>
      <c r="AV134" s="283"/>
      <c r="AW134" s="276"/>
      <c r="AX134" s="283"/>
      <c r="AY134" s="276"/>
      <c r="AZ134" s="283"/>
      <c r="BA134" s="276"/>
      <c r="BB134" s="283"/>
      <c r="BC134" s="276"/>
      <c r="BD134" s="283"/>
      <c r="BE134" s="276"/>
      <c r="BG134" s="283"/>
      <c r="BH134" s="276"/>
      <c r="BI134" s="283"/>
      <c r="BJ134" s="276"/>
      <c r="BK134" s="283"/>
      <c r="BL134" s="276"/>
      <c r="BM134" s="283"/>
      <c r="BN134" s="276"/>
      <c r="BO134" s="283"/>
      <c r="BP134" s="276"/>
      <c r="BQ134" s="283"/>
      <c r="BR134" s="283"/>
      <c r="BS134" s="276"/>
    </row>
    <row r="135" spans="12:71" ht="12" customHeight="1">
      <c r="L135" s="283"/>
      <c r="M135" s="276"/>
      <c r="N135" s="283"/>
      <c r="O135" s="276"/>
      <c r="P135" s="283"/>
      <c r="Q135" s="276"/>
      <c r="S135" s="283"/>
      <c r="T135" s="276"/>
      <c r="W135" s="283"/>
      <c r="X135" s="276"/>
      <c r="Y135" s="283"/>
      <c r="Z135" s="276"/>
      <c r="AA135" s="283"/>
      <c r="AB135" s="276"/>
      <c r="AC135" s="283"/>
      <c r="AE135" s="283"/>
      <c r="AF135" s="276"/>
      <c r="AI135" s="283"/>
      <c r="AJ135" s="276"/>
      <c r="AK135" s="283"/>
      <c r="AL135" s="276"/>
      <c r="AM135" s="283"/>
      <c r="AN135" s="276"/>
      <c r="AO135" s="283"/>
      <c r="AP135" s="276"/>
      <c r="AQ135" s="283"/>
      <c r="AR135" s="276"/>
      <c r="AT135" s="283"/>
      <c r="AU135" s="276"/>
      <c r="AV135" s="283"/>
      <c r="AW135" s="276"/>
      <c r="AX135" s="283"/>
      <c r="AY135" s="276"/>
      <c r="AZ135" s="283"/>
      <c r="BA135" s="276"/>
      <c r="BB135" s="283"/>
      <c r="BC135" s="276"/>
      <c r="BD135" s="283"/>
      <c r="BE135" s="276"/>
      <c r="BG135" s="283"/>
      <c r="BH135" s="276"/>
      <c r="BI135" s="283"/>
      <c r="BJ135" s="276"/>
      <c r="BK135" s="283"/>
      <c r="BL135" s="276"/>
      <c r="BM135" s="283"/>
      <c r="BN135" s="276"/>
      <c r="BO135" s="283"/>
      <c r="BP135" s="276"/>
      <c r="BQ135" s="283"/>
      <c r="BR135" s="283"/>
      <c r="BS135" s="276"/>
    </row>
    <row r="136" spans="12:71" ht="12" customHeight="1">
      <c r="L136" s="283"/>
      <c r="M136" s="276"/>
      <c r="N136" s="283"/>
      <c r="O136" s="276"/>
      <c r="P136" s="283"/>
      <c r="Q136" s="276"/>
      <c r="S136" s="283"/>
      <c r="T136" s="276"/>
      <c r="W136" s="283"/>
      <c r="X136" s="276"/>
      <c r="Y136" s="283"/>
      <c r="Z136" s="276"/>
      <c r="AA136" s="283"/>
      <c r="AB136" s="276"/>
      <c r="AC136" s="283"/>
      <c r="AE136" s="283"/>
      <c r="AF136" s="276"/>
      <c r="AI136" s="283"/>
      <c r="AJ136" s="276"/>
      <c r="AK136" s="283"/>
      <c r="AL136" s="276"/>
      <c r="AM136" s="283"/>
      <c r="AN136" s="276"/>
      <c r="AO136" s="283"/>
      <c r="AP136" s="276"/>
      <c r="AQ136" s="283"/>
      <c r="AR136" s="276"/>
      <c r="AT136" s="283"/>
      <c r="AU136" s="276"/>
      <c r="AV136" s="283"/>
      <c r="AW136" s="276"/>
      <c r="AX136" s="283"/>
      <c r="AY136" s="276"/>
      <c r="AZ136" s="283"/>
      <c r="BA136" s="276"/>
      <c r="BB136" s="283"/>
      <c r="BC136" s="276"/>
      <c r="BD136" s="283"/>
      <c r="BE136" s="276"/>
      <c r="BG136" s="283"/>
      <c r="BH136" s="276"/>
      <c r="BI136" s="283"/>
      <c r="BJ136" s="276"/>
      <c r="BK136" s="283"/>
      <c r="BL136" s="276"/>
      <c r="BM136" s="283"/>
      <c r="BN136" s="276"/>
      <c r="BO136" s="283"/>
      <c r="BP136" s="276"/>
      <c r="BQ136" s="283"/>
      <c r="BR136" s="283"/>
      <c r="BS136" s="276"/>
    </row>
    <row r="137" spans="12:71" ht="12" customHeight="1">
      <c r="L137" s="283"/>
      <c r="M137" s="276"/>
      <c r="N137" s="283"/>
      <c r="O137" s="276"/>
      <c r="P137" s="283"/>
      <c r="Q137" s="276"/>
      <c r="S137" s="283"/>
      <c r="T137" s="276"/>
      <c r="W137" s="283"/>
      <c r="X137" s="276"/>
      <c r="Y137" s="283"/>
      <c r="Z137" s="276"/>
      <c r="AA137" s="283"/>
      <c r="AB137" s="276"/>
      <c r="AC137" s="283"/>
      <c r="AE137" s="283"/>
      <c r="AF137" s="276"/>
      <c r="AI137" s="283"/>
      <c r="AJ137" s="276"/>
      <c r="AK137" s="283"/>
      <c r="AL137" s="276"/>
      <c r="AM137" s="283"/>
      <c r="AN137" s="276"/>
      <c r="AO137" s="283"/>
      <c r="AP137" s="276"/>
      <c r="AQ137" s="283"/>
      <c r="AR137" s="276"/>
      <c r="AT137" s="283"/>
      <c r="AU137" s="276"/>
      <c r="AV137" s="283"/>
      <c r="AW137" s="276"/>
      <c r="AX137" s="283"/>
      <c r="AY137" s="276"/>
      <c r="AZ137" s="283"/>
      <c r="BA137" s="276"/>
      <c r="BB137" s="283"/>
      <c r="BC137" s="276"/>
      <c r="BD137" s="283"/>
      <c r="BE137" s="276"/>
      <c r="BG137" s="283"/>
      <c r="BH137" s="276"/>
      <c r="BI137" s="283"/>
      <c r="BJ137" s="276"/>
      <c r="BK137" s="283"/>
      <c r="BL137" s="276"/>
      <c r="BM137" s="283"/>
      <c r="BN137" s="276"/>
      <c r="BO137" s="283"/>
      <c r="BP137" s="276"/>
      <c r="BQ137" s="283"/>
      <c r="BR137" s="283"/>
      <c r="BS137" s="276"/>
    </row>
    <row r="138" spans="12:71" ht="12" customHeight="1">
      <c r="L138" s="283"/>
      <c r="M138" s="276"/>
      <c r="N138" s="283"/>
      <c r="O138" s="276"/>
      <c r="P138" s="283"/>
      <c r="Q138" s="276"/>
      <c r="S138" s="283"/>
      <c r="T138" s="276"/>
      <c r="W138" s="283"/>
      <c r="X138" s="276"/>
      <c r="Y138" s="283"/>
      <c r="Z138" s="276"/>
      <c r="AA138" s="283"/>
      <c r="AB138" s="276"/>
      <c r="AC138" s="283"/>
      <c r="AE138" s="283"/>
      <c r="AF138" s="276"/>
      <c r="AI138" s="283"/>
      <c r="AJ138" s="276"/>
      <c r="AK138" s="283"/>
      <c r="AL138" s="276"/>
      <c r="AM138" s="283"/>
      <c r="AN138" s="276"/>
      <c r="AO138" s="283"/>
      <c r="AP138" s="276"/>
      <c r="AQ138" s="283"/>
      <c r="AR138" s="276"/>
      <c r="AT138" s="283"/>
      <c r="AU138" s="276"/>
      <c r="AV138" s="283"/>
      <c r="AW138" s="276"/>
      <c r="AX138" s="283"/>
      <c r="AY138" s="276"/>
      <c r="AZ138" s="283"/>
      <c r="BA138" s="276"/>
      <c r="BB138" s="283"/>
      <c r="BC138" s="276"/>
      <c r="BD138" s="283"/>
      <c r="BE138" s="276"/>
      <c r="BG138" s="283"/>
      <c r="BH138" s="276"/>
      <c r="BI138" s="283"/>
      <c r="BJ138" s="276"/>
      <c r="BK138" s="283"/>
      <c r="BL138" s="276"/>
      <c r="BM138" s="283"/>
      <c r="BN138" s="276"/>
      <c r="BO138" s="283"/>
      <c r="BP138" s="276"/>
      <c r="BQ138" s="283"/>
      <c r="BR138" s="283"/>
      <c r="BS138" s="276"/>
    </row>
    <row r="139" spans="12:71" ht="12" customHeight="1">
      <c r="L139" s="283"/>
      <c r="M139" s="276"/>
      <c r="N139" s="283"/>
      <c r="O139" s="276"/>
      <c r="P139" s="283"/>
      <c r="Q139" s="276"/>
      <c r="S139" s="283"/>
      <c r="T139" s="276"/>
      <c r="W139" s="283"/>
      <c r="X139" s="276"/>
      <c r="Y139" s="283"/>
      <c r="Z139" s="276"/>
      <c r="AA139" s="283"/>
      <c r="AB139" s="276"/>
      <c r="AC139" s="283"/>
      <c r="AE139" s="283"/>
      <c r="AF139" s="276"/>
      <c r="AI139" s="283"/>
      <c r="AJ139" s="276"/>
      <c r="AK139" s="283"/>
      <c r="AL139" s="276"/>
      <c r="AM139" s="283"/>
      <c r="AN139" s="276"/>
      <c r="AO139" s="283"/>
      <c r="AP139" s="276"/>
      <c r="AQ139" s="283"/>
      <c r="AR139" s="276"/>
      <c r="AT139" s="283"/>
      <c r="AU139" s="276"/>
      <c r="AV139" s="283"/>
      <c r="AW139" s="276"/>
      <c r="AX139" s="283"/>
      <c r="AY139" s="276"/>
      <c r="AZ139" s="283"/>
      <c r="BA139" s="276"/>
      <c r="BB139" s="283"/>
      <c r="BC139" s="276"/>
      <c r="BD139" s="283"/>
      <c r="BE139" s="276"/>
      <c r="BG139" s="283"/>
      <c r="BH139" s="276"/>
      <c r="BI139" s="283"/>
      <c r="BJ139" s="276"/>
      <c r="BK139" s="283"/>
      <c r="BL139" s="276"/>
      <c r="BM139" s="283"/>
      <c r="BN139" s="276"/>
      <c r="BO139" s="283"/>
      <c r="BP139" s="276"/>
      <c r="BQ139" s="283"/>
      <c r="BR139" s="283"/>
      <c r="BS139" s="276"/>
    </row>
    <row r="140" spans="12:71" ht="12" customHeight="1">
      <c r="L140" s="283"/>
      <c r="M140" s="276"/>
      <c r="N140" s="283"/>
      <c r="O140" s="276"/>
      <c r="P140" s="283"/>
      <c r="Q140" s="276"/>
      <c r="S140" s="283"/>
      <c r="T140" s="276"/>
      <c r="W140" s="283"/>
      <c r="X140" s="276"/>
      <c r="Y140" s="283"/>
      <c r="Z140" s="276"/>
      <c r="AA140" s="283"/>
      <c r="AB140" s="276"/>
      <c r="AC140" s="283"/>
      <c r="AE140" s="283"/>
      <c r="AF140" s="276"/>
      <c r="AI140" s="283"/>
      <c r="AJ140" s="276"/>
      <c r="AK140" s="283"/>
      <c r="AL140" s="276"/>
      <c r="AM140" s="283"/>
      <c r="AN140" s="276"/>
      <c r="AO140" s="283"/>
      <c r="AP140" s="276"/>
      <c r="AQ140" s="283"/>
      <c r="AR140" s="276"/>
      <c r="AT140" s="283"/>
      <c r="AU140" s="276"/>
      <c r="AV140" s="283"/>
      <c r="AW140" s="276"/>
      <c r="AX140" s="283"/>
      <c r="AY140" s="276"/>
      <c r="AZ140" s="283"/>
      <c r="BA140" s="276"/>
      <c r="BB140" s="283"/>
      <c r="BC140" s="276"/>
      <c r="BD140" s="283"/>
      <c r="BE140" s="276"/>
      <c r="BG140" s="283"/>
      <c r="BH140" s="276"/>
      <c r="BI140" s="283"/>
      <c r="BJ140" s="276"/>
      <c r="BK140" s="283"/>
      <c r="BL140" s="276"/>
      <c r="BM140" s="283"/>
      <c r="BN140" s="276"/>
      <c r="BO140" s="283"/>
      <c r="BP140" s="276"/>
      <c r="BQ140" s="283"/>
      <c r="BR140" s="283"/>
      <c r="BS140" s="276"/>
    </row>
    <row r="141" spans="12:71" ht="12" customHeight="1">
      <c r="L141" s="283"/>
      <c r="M141" s="276"/>
      <c r="N141" s="283"/>
      <c r="O141" s="276"/>
      <c r="P141" s="283"/>
      <c r="Q141" s="276"/>
      <c r="S141" s="283"/>
      <c r="T141" s="276"/>
      <c r="W141" s="283"/>
      <c r="X141" s="276"/>
      <c r="Y141" s="283"/>
      <c r="Z141" s="276"/>
      <c r="AA141" s="283"/>
      <c r="AB141" s="276"/>
      <c r="AC141" s="283"/>
      <c r="AE141" s="283"/>
      <c r="AF141" s="276"/>
      <c r="AI141" s="283"/>
      <c r="AJ141" s="276"/>
      <c r="AK141" s="283"/>
      <c r="AL141" s="276"/>
      <c r="AM141" s="283"/>
      <c r="AN141" s="276"/>
      <c r="AO141" s="283"/>
      <c r="AP141" s="276"/>
      <c r="AQ141" s="283"/>
      <c r="AR141" s="276"/>
      <c r="AT141" s="283"/>
      <c r="AU141" s="276"/>
      <c r="AV141" s="283"/>
      <c r="AW141" s="276"/>
      <c r="AX141" s="283"/>
      <c r="AY141" s="276"/>
      <c r="AZ141" s="283"/>
      <c r="BA141" s="276"/>
      <c r="BB141" s="283"/>
      <c r="BC141" s="276"/>
      <c r="BD141" s="283"/>
      <c r="BE141" s="276"/>
      <c r="BG141" s="283"/>
      <c r="BH141" s="276"/>
      <c r="BI141" s="283"/>
      <c r="BJ141" s="276"/>
      <c r="BK141" s="283"/>
      <c r="BL141" s="276"/>
      <c r="BM141" s="283"/>
      <c r="BN141" s="276"/>
      <c r="BO141" s="283"/>
      <c r="BP141" s="276"/>
      <c r="BQ141" s="283"/>
      <c r="BR141" s="283"/>
      <c r="BS141" s="276"/>
    </row>
    <row r="142" spans="12:71" ht="12" customHeight="1">
      <c r="L142" s="283"/>
      <c r="M142" s="276"/>
      <c r="N142" s="283"/>
      <c r="O142" s="276"/>
      <c r="P142" s="283"/>
      <c r="Q142" s="276"/>
      <c r="S142" s="283"/>
      <c r="T142" s="276"/>
      <c r="W142" s="283"/>
      <c r="X142" s="276"/>
      <c r="Y142" s="283"/>
      <c r="Z142" s="276"/>
      <c r="AA142" s="283"/>
      <c r="AB142" s="276"/>
      <c r="AC142" s="283"/>
      <c r="AE142" s="283"/>
      <c r="AF142" s="276"/>
      <c r="AI142" s="283"/>
      <c r="AJ142" s="276"/>
      <c r="AK142" s="283"/>
      <c r="AL142" s="276"/>
      <c r="AM142" s="283"/>
      <c r="AN142" s="276"/>
      <c r="AO142" s="283"/>
      <c r="AP142" s="276"/>
      <c r="AQ142" s="283"/>
      <c r="AR142" s="276"/>
      <c r="AT142" s="283"/>
      <c r="AU142" s="276"/>
      <c r="AV142" s="283"/>
      <c r="AW142" s="276"/>
      <c r="AX142" s="283"/>
      <c r="AY142" s="276"/>
      <c r="AZ142" s="283"/>
      <c r="BA142" s="276"/>
      <c r="BB142" s="283"/>
      <c r="BC142" s="276"/>
      <c r="BD142" s="283"/>
      <c r="BE142" s="276"/>
      <c r="BG142" s="283"/>
      <c r="BH142" s="276"/>
      <c r="BI142" s="283"/>
      <c r="BJ142" s="276"/>
      <c r="BK142" s="283"/>
      <c r="BL142" s="276"/>
      <c r="BM142" s="283"/>
      <c r="BN142" s="276"/>
      <c r="BO142" s="283"/>
      <c r="BP142" s="276"/>
      <c r="BQ142" s="283"/>
      <c r="BR142" s="283"/>
      <c r="BS142" s="276"/>
    </row>
    <row r="143" spans="12:71" ht="12" customHeight="1">
      <c r="L143" s="283"/>
      <c r="M143" s="276"/>
      <c r="N143" s="283"/>
      <c r="O143" s="276"/>
      <c r="P143" s="283"/>
      <c r="Q143" s="276"/>
      <c r="S143" s="283"/>
      <c r="T143" s="276"/>
      <c r="W143" s="283"/>
      <c r="X143" s="276"/>
      <c r="Y143" s="283"/>
      <c r="Z143" s="276"/>
      <c r="AA143" s="283"/>
      <c r="AB143" s="276"/>
      <c r="AC143" s="283"/>
      <c r="AE143" s="283"/>
      <c r="AF143" s="276"/>
      <c r="AI143" s="283"/>
      <c r="AJ143" s="276"/>
      <c r="AK143" s="283"/>
      <c r="AL143" s="276"/>
      <c r="AM143" s="283"/>
      <c r="AN143" s="276"/>
      <c r="AO143" s="283"/>
      <c r="AP143" s="276"/>
      <c r="AQ143" s="283"/>
      <c r="AR143" s="276"/>
      <c r="AT143" s="283"/>
      <c r="AU143" s="276"/>
      <c r="AV143" s="283"/>
      <c r="AW143" s="276"/>
      <c r="AX143" s="283"/>
      <c r="AY143" s="276"/>
      <c r="AZ143" s="283"/>
      <c r="BA143" s="276"/>
      <c r="BB143" s="283"/>
      <c r="BC143" s="276"/>
      <c r="BD143" s="283"/>
      <c r="BE143" s="276"/>
      <c r="BG143" s="283"/>
      <c r="BH143" s="276"/>
      <c r="BI143" s="283"/>
      <c r="BJ143" s="276"/>
      <c r="BK143" s="283"/>
      <c r="BL143" s="276"/>
      <c r="BM143" s="283"/>
      <c r="BN143" s="276"/>
      <c r="BO143" s="283"/>
      <c r="BP143" s="276"/>
      <c r="BQ143" s="283"/>
      <c r="BR143" s="283"/>
      <c r="BS143" s="276"/>
    </row>
    <row r="144" spans="12:71" ht="12" customHeight="1">
      <c r="L144" s="283"/>
      <c r="M144" s="276"/>
      <c r="N144" s="283"/>
      <c r="O144" s="276"/>
      <c r="P144" s="283"/>
      <c r="Q144" s="276"/>
      <c r="S144" s="283"/>
      <c r="T144" s="276"/>
      <c r="W144" s="283"/>
      <c r="X144" s="276"/>
      <c r="Y144" s="283"/>
      <c r="Z144" s="276"/>
      <c r="AA144" s="283"/>
      <c r="AB144" s="276"/>
      <c r="AC144" s="283"/>
      <c r="AE144" s="283"/>
      <c r="AF144" s="276"/>
      <c r="AI144" s="283"/>
      <c r="AJ144" s="276"/>
      <c r="AK144" s="283"/>
      <c r="AL144" s="276"/>
      <c r="AM144" s="283"/>
      <c r="AN144" s="276"/>
      <c r="AO144" s="283"/>
      <c r="AP144" s="276"/>
      <c r="AQ144" s="283"/>
      <c r="AR144" s="276"/>
      <c r="AT144" s="283"/>
      <c r="AU144" s="276"/>
      <c r="AV144" s="283"/>
      <c r="AW144" s="276"/>
      <c r="AX144" s="283"/>
      <c r="AY144" s="276"/>
      <c r="AZ144" s="283"/>
      <c r="BA144" s="276"/>
      <c r="BB144" s="283"/>
      <c r="BC144" s="276"/>
      <c r="BD144" s="283"/>
      <c r="BE144" s="276"/>
      <c r="BG144" s="283"/>
      <c r="BH144" s="276"/>
      <c r="BI144" s="283"/>
      <c r="BJ144" s="276"/>
      <c r="BK144" s="283"/>
      <c r="BL144" s="276"/>
      <c r="BM144" s="283"/>
      <c r="BN144" s="276"/>
      <c r="BO144" s="283"/>
      <c r="BP144" s="276"/>
      <c r="BQ144" s="283"/>
      <c r="BR144" s="283"/>
      <c r="BS144" s="276"/>
    </row>
    <row r="145" spans="12:71" ht="12" customHeight="1">
      <c r="L145" s="283"/>
      <c r="M145" s="276"/>
      <c r="N145" s="283"/>
      <c r="O145" s="276"/>
      <c r="P145" s="283"/>
      <c r="Q145" s="276"/>
      <c r="S145" s="283"/>
      <c r="T145" s="276"/>
      <c r="W145" s="283"/>
      <c r="X145" s="276"/>
      <c r="Y145" s="283"/>
      <c r="Z145" s="276"/>
      <c r="AA145" s="283"/>
      <c r="AB145" s="276"/>
      <c r="AC145" s="283"/>
      <c r="AE145" s="283"/>
      <c r="AF145" s="276"/>
      <c r="AI145" s="283"/>
      <c r="AJ145" s="276"/>
      <c r="AK145" s="283"/>
      <c r="AL145" s="276"/>
      <c r="AM145" s="283"/>
      <c r="AN145" s="276"/>
      <c r="AO145" s="283"/>
      <c r="AP145" s="276"/>
      <c r="AQ145" s="283"/>
      <c r="AR145" s="276"/>
      <c r="AT145" s="283"/>
      <c r="AU145" s="276"/>
      <c r="AV145" s="283"/>
      <c r="AW145" s="276"/>
      <c r="AX145" s="283"/>
      <c r="AY145" s="276"/>
      <c r="AZ145" s="283"/>
      <c r="BA145" s="276"/>
      <c r="BB145" s="283"/>
      <c r="BC145" s="276"/>
      <c r="BD145" s="283"/>
      <c r="BE145" s="276"/>
      <c r="BG145" s="283"/>
      <c r="BH145" s="276"/>
      <c r="BI145" s="283"/>
      <c r="BJ145" s="276"/>
      <c r="BK145" s="283"/>
      <c r="BL145" s="276"/>
      <c r="BM145" s="283"/>
      <c r="BN145" s="276"/>
      <c r="BO145" s="283"/>
      <c r="BP145" s="276"/>
      <c r="BQ145" s="283"/>
      <c r="BR145" s="283"/>
      <c r="BS145" s="276"/>
    </row>
    <row r="146" spans="12:71" ht="12" customHeight="1">
      <c r="L146" s="283"/>
      <c r="M146" s="276"/>
      <c r="N146" s="283"/>
      <c r="O146" s="276"/>
      <c r="P146" s="283"/>
      <c r="Q146" s="276"/>
      <c r="S146" s="283"/>
      <c r="T146" s="276"/>
      <c r="W146" s="283"/>
      <c r="X146" s="276"/>
      <c r="Y146" s="283"/>
      <c r="Z146" s="276"/>
      <c r="AA146" s="283"/>
      <c r="AB146" s="276"/>
      <c r="AC146" s="283"/>
      <c r="AE146" s="283"/>
      <c r="AF146" s="276"/>
      <c r="AI146" s="283"/>
      <c r="AJ146" s="276"/>
      <c r="AK146" s="283"/>
      <c r="AL146" s="276"/>
      <c r="AM146" s="283"/>
      <c r="AN146" s="276"/>
      <c r="AO146" s="283"/>
      <c r="AP146" s="276"/>
      <c r="AQ146" s="283"/>
      <c r="AR146" s="276"/>
      <c r="AT146" s="283"/>
      <c r="AU146" s="276"/>
      <c r="AV146" s="283"/>
      <c r="AW146" s="276"/>
      <c r="AX146" s="283"/>
      <c r="AY146" s="276"/>
      <c r="AZ146" s="283"/>
      <c r="BA146" s="276"/>
      <c r="BB146" s="283"/>
      <c r="BC146" s="276"/>
      <c r="BD146" s="283"/>
      <c r="BE146" s="276"/>
      <c r="BG146" s="283"/>
      <c r="BH146" s="276"/>
      <c r="BI146" s="283"/>
      <c r="BJ146" s="276"/>
      <c r="BK146" s="283"/>
      <c r="BL146" s="276"/>
      <c r="BM146" s="283"/>
      <c r="BN146" s="276"/>
      <c r="BO146" s="283"/>
      <c r="BP146" s="276"/>
      <c r="BQ146" s="283"/>
      <c r="BR146" s="283"/>
      <c r="BS146" s="276"/>
    </row>
    <row r="147" spans="12:71" ht="12" customHeight="1">
      <c r="L147" s="283"/>
      <c r="M147" s="276"/>
      <c r="N147" s="283"/>
      <c r="O147" s="276"/>
      <c r="P147" s="283"/>
      <c r="Q147" s="276"/>
      <c r="S147" s="283"/>
      <c r="T147" s="276"/>
      <c r="W147" s="283"/>
      <c r="X147" s="276"/>
      <c r="Y147" s="283"/>
      <c r="Z147" s="276"/>
      <c r="AA147" s="283"/>
      <c r="AB147" s="276"/>
      <c r="AC147" s="283"/>
      <c r="AE147" s="283"/>
      <c r="AF147" s="276"/>
      <c r="AI147" s="283"/>
      <c r="AJ147" s="276"/>
      <c r="AK147" s="283"/>
      <c r="AL147" s="276"/>
      <c r="AM147" s="283"/>
      <c r="AN147" s="276"/>
      <c r="AO147" s="283"/>
      <c r="AP147" s="276"/>
      <c r="AQ147" s="283"/>
      <c r="AR147" s="276"/>
      <c r="AT147" s="283"/>
      <c r="AU147" s="276"/>
      <c r="AV147" s="283"/>
      <c r="AW147" s="276"/>
      <c r="AX147" s="283"/>
      <c r="AY147" s="276"/>
      <c r="AZ147" s="283"/>
      <c r="BA147" s="276"/>
      <c r="BB147" s="283"/>
      <c r="BC147" s="276"/>
      <c r="BD147" s="283"/>
      <c r="BE147" s="276"/>
      <c r="BG147" s="283"/>
      <c r="BH147" s="276"/>
      <c r="BI147" s="283"/>
      <c r="BJ147" s="276"/>
      <c r="BK147" s="283"/>
      <c r="BL147" s="276"/>
      <c r="BM147" s="283"/>
      <c r="BN147" s="276"/>
      <c r="BO147" s="283"/>
      <c r="BP147" s="276"/>
      <c r="BQ147" s="283"/>
      <c r="BR147" s="283"/>
      <c r="BS147" s="276"/>
    </row>
    <row r="148" spans="12:71" ht="12" customHeight="1">
      <c r="L148" s="283"/>
      <c r="M148" s="276"/>
      <c r="N148" s="283"/>
      <c r="O148" s="276"/>
      <c r="P148" s="283"/>
      <c r="Q148" s="276"/>
      <c r="S148" s="283"/>
      <c r="T148" s="276"/>
      <c r="W148" s="283"/>
      <c r="X148" s="276"/>
      <c r="Y148" s="283"/>
      <c r="Z148" s="276"/>
      <c r="AA148" s="283"/>
      <c r="AB148" s="276"/>
      <c r="AC148" s="283"/>
      <c r="AE148" s="283"/>
      <c r="AF148" s="276"/>
      <c r="AI148" s="283"/>
      <c r="AJ148" s="276"/>
      <c r="AK148" s="283"/>
      <c r="AL148" s="276"/>
      <c r="AM148" s="283"/>
      <c r="AN148" s="276"/>
      <c r="AO148" s="283"/>
      <c r="AP148" s="276"/>
      <c r="AQ148" s="283"/>
      <c r="AR148" s="276"/>
      <c r="AT148" s="283"/>
      <c r="AU148" s="276"/>
      <c r="AV148" s="283"/>
      <c r="AW148" s="276"/>
      <c r="AX148" s="283"/>
      <c r="AY148" s="276"/>
      <c r="AZ148" s="283"/>
      <c r="BA148" s="276"/>
      <c r="BB148" s="283"/>
      <c r="BC148" s="276"/>
      <c r="BD148" s="283"/>
      <c r="BE148" s="276"/>
      <c r="BG148" s="283"/>
      <c r="BH148" s="276"/>
      <c r="BI148" s="283"/>
      <c r="BJ148" s="276"/>
      <c r="BK148" s="283"/>
      <c r="BL148" s="276"/>
      <c r="BM148" s="283"/>
      <c r="BN148" s="276"/>
      <c r="BO148" s="283"/>
      <c r="BP148" s="276"/>
      <c r="BQ148" s="283"/>
      <c r="BR148" s="283"/>
      <c r="BS148" s="276"/>
    </row>
    <row r="149" spans="12:71" ht="12" customHeight="1">
      <c r="L149" s="283"/>
      <c r="M149" s="276"/>
      <c r="N149" s="283"/>
      <c r="O149" s="276"/>
      <c r="P149" s="283"/>
      <c r="Q149" s="276"/>
      <c r="S149" s="283"/>
      <c r="T149" s="276"/>
      <c r="W149" s="283"/>
      <c r="X149" s="276"/>
      <c r="Y149" s="283"/>
      <c r="Z149" s="276"/>
      <c r="AA149" s="283"/>
      <c r="AB149" s="276"/>
      <c r="AC149" s="283"/>
      <c r="AE149" s="283"/>
      <c r="AF149" s="276"/>
      <c r="AI149" s="283"/>
      <c r="AJ149" s="276"/>
      <c r="AK149" s="283"/>
      <c r="AL149" s="276"/>
      <c r="AM149" s="283"/>
      <c r="AN149" s="276"/>
      <c r="AO149" s="283"/>
      <c r="AP149" s="276"/>
      <c r="AQ149" s="283"/>
      <c r="AR149" s="276"/>
      <c r="AT149" s="283"/>
      <c r="AU149" s="276"/>
      <c r="AV149" s="283"/>
      <c r="AW149" s="276"/>
      <c r="AX149" s="283"/>
      <c r="AY149" s="276"/>
      <c r="AZ149" s="283"/>
      <c r="BA149" s="276"/>
      <c r="BB149" s="283"/>
      <c r="BC149" s="276"/>
      <c r="BD149" s="283"/>
      <c r="BE149" s="276"/>
      <c r="BG149" s="283"/>
      <c r="BH149" s="276"/>
      <c r="BI149" s="283"/>
      <c r="BJ149" s="276"/>
      <c r="BK149" s="283"/>
      <c r="BL149" s="276"/>
      <c r="BM149" s="283"/>
      <c r="BN149" s="276"/>
      <c r="BO149" s="283"/>
      <c r="BP149" s="276"/>
      <c r="BQ149" s="283"/>
      <c r="BR149" s="283"/>
      <c r="BS149" s="276"/>
    </row>
    <row r="150" spans="12:71" ht="12" customHeight="1">
      <c r="L150" s="283"/>
      <c r="M150" s="276"/>
      <c r="N150" s="283"/>
      <c r="O150" s="276"/>
      <c r="P150" s="283"/>
      <c r="Q150" s="276"/>
      <c r="S150" s="283"/>
      <c r="T150" s="276"/>
      <c r="W150" s="283"/>
      <c r="X150" s="276"/>
      <c r="Y150" s="283"/>
      <c r="Z150" s="276"/>
      <c r="AA150" s="283"/>
      <c r="AB150" s="276"/>
      <c r="AC150" s="283"/>
      <c r="AE150" s="283"/>
      <c r="AF150" s="276"/>
      <c r="AI150" s="283"/>
      <c r="AJ150" s="276"/>
      <c r="AK150" s="283"/>
      <c r="AL150" s="276"/>
      <c r="AM150" s="283"/>
      <c r="AN150" s="276"/>
      <c r="AO150" s="283"/>
      <c r="AP150" s="276"/>
      <c r="AQ150" s="283"/>
      <c r="AR150" s="276"/>
      <c r="AT150" s="283"/>
      <c r="AU150" s="276"/>
      <c r="AV150" s="283"/>
      <c r="AW150" s="276"/>
      <c r="AX150" s="283"/>
      <c r="AY150" s="276"/>
      <c r="AZ150" s="283"/>
      <c r="BA150" s="276"/>
      <c r="BB150" s="283"/>
      <c r="BC150" s="276"/>
      <c r="BD150" s="283"/>
      <c r="BE150" s="276"/>
      <c r="BG150" s="283"/>
      <c r="BH150" s="276"/>
      <c r="BI150" s="283"/>
      <c r="BJ150" s="276"/>
      <c r="BK150" s="283"/>
      <c r="BL150" s="276"/>
      <c r="BM150" s="283"/>
      <c r="BN150" s="276"/>
      <c r="BO150" s="283"/>
      <c r="BP150" s="276"/>
      <c r="BQ150" s="283"/>
      <c r="BR150" s="283"/>
      <c r="BS150" s="276"/>
    </row>
    <row r="151" spans="12:71" ht="12" customHeight="1">
      <c r="L151" s="283"/>
      <c r="M151" s="276"/>
      <c r="N151" s="283"/>
      <c r="O151" s="276"/>
      <c r="P151" s="283"/>
      <c r="Q151" s="276"/>
      <c r="S151" s="283"/>
      <c r="T151" s="276"/>
      <c r="W151" s="283"/>
      <c r="X151" s="276"/>
      <c r="Y151" s="283"/>
      <c r="Z151" s="276"/>
      <c r="AA151" s="283"/>
      <c r="AB151" s="276"/>
      <c r="AC151" s="283"/>
      <c r="AE151" s="283"/>
      <c r="AF151" s="276"/>
      <c r="AI151" s="283"/>
      <c r="AJ151" s="276"/>
      <c r="AK151" s="283"/>
      <c r="AL151" s="276"/>
      <c r="AM151" s="283"/>
      <c r="AN151" s="276"/>
      <c r="AO151" s="283"/>
      <c r="AP151" s="276"/>
      <c r="AQ151" s="283"/>
      <c r="AR151" s="276"/>
      <c r="AT151" s="283"/>
      <c r="AU151" s="276"/>
      <c r="AV151" s="283"/>
      <c r="AW151" s="276"/>
      <c r="AX151" s="283"/>
      <c r="AY151" s="276"/>
      <c r="AZ151" s="283"/>
      <c r="BA151" s="276"/>
      <c r="BB151" s="283"/>
      <c r="BC151" s="276"/>
      <c r="BD151" s="283"/>
      <c r="BE151" s="276"/>
      <c r="BG151" s="283"/>
      <c r="BH151" s="276"/>
      <c r="BI151" s="283"/>
      <c r="BJ151" s="276"/>
      <c r="BK151" s="283"/>
      <c r="BL151" s="276"/>
      <c r="BM151" s="283"/>
      <c r="BN151" s="276"/>
      <c r="BO151" s="283"/>
      <c r="BP151" s="276"/>
      <c r="BQ151" s="283"/>
      <c r="BR151" s="283"/>
      <c r="BS151" s="276"/>
    </row>
    <row r="152" spans="12:71" ht="12" customHeight="1">
      <c r="L152" s="283"/>
      <c r="M152" s="276"/>
      <c r="N152" s="283"/>
      <c r="O152" s="276"/>
      <c r="P152" s="283"/>
      <c r="Q152" s="276"/>
      <c r="S152" s="283"/>
      <c r="T152" s="276"/>
      <c r="W152" s="283"/>
      <c r="X152" s="276"/>
      <c r="Y152" s="283"/>
      <c r="Z152" s="276"/>
      <c r="AA152" s="283"/>
      <c r="AB152" s="276"/>
      <c r="AC152" s="283"/>
      <c r="AE152" s="283"/>
      <c r="AF152" s="276"/>
      <c r="AI152" s="283"/>
      <c r="AJ152" s="276"/>
      <c r="AK152" s="283"/>
      <c r="AL152" s="276"/>
      <c r="AM152" s="283"/>
      <c r="AN152" s="276"/>
      <c r="AO152" s="283"/>
      <c r="AP152" s="276"/>
      <c r="AQ152" s="283"/>
      <c r="AR152" s="276"/>
      <c r="AT152" s="283"/>
      <c r="AU152" s="276"/>
      <c r="AV152" s="283"/>
      <c r="AW152" s="276"/>
      <c r="AX152" s="283"/>
      <c r="AY152" s="276"/>
      <c r="AZ152" s="283"/>
      <c r="BA152" s="276"/>
      <c r="BB152" s="283"/>
      <c r="BC152" s="276"/>
      <c r="BD152" s="283"/>
      <c r="BE152" s="276"/>
      <c r="BG152" s="283"/>
      <c r="BH152" s="276"/>
      <c r="BI152" s="283"/>
      <c r="BJ152" s="276"/>
      <c r="BK152" s="283"/>
      <c r="BL152" s="276"/>
      <c r="BM152" s="283"/>
      <c r="BN152" s="276"/>
      <c r="BO152" s="283"/>
      <c r="BP152" s="276"/>
      <c r="BQ152" s="283"/>
      <c r="BR152" s="283"/>
      <c r="BS152" s="276"/>
    </row>
    <row r="153" spans="12:71" ht="12" customHeight="1">
      <c r="L153" s="283"/>
      <c r="M153" s="276"/>
      <c r="N153" s="283"/>
      <c r="O153" s="276"/>
      <c r="P153" s="283"/>
      <c r="Q153" s="276"/>
      <c r="S153" s="283"/>
      <c r="T153" s="276"/>
      <c r="W153" s="283"/>
      <c r="X153" s="276"/>
      <c r="Y153" s="283"/>
      <c r="Z153" s="276"/>
      <c r="AA153" s="283"/>
      <c r="AB153" s="276"/>
      <c r="AC153" s="283"/>
      <c r="AE153" s="283"/>
      <c r="AF153" s="276"/>
      <c r="AI153" s="283"/>
      <c r="AJ153" s="276"/>
      <c r="AK153" s="283"/>
      <c r="AL153" s="276"/>
      <c r="AM153" s="283"/>
      <c r="AN153" s="276"/>
      <c r="AO153" s="283"/>
      <c r="AP153" s="276"/>
      <c r="AQ153" s="283"/>
      <c r="AR153" s="276"/>
      <c r="AT153" s="283"/>
      <c r="AU153" s="276"/>
      <c r="AV153" s="283"/>
      <c r="AW153" s="276"/>
      <c r="AX153" s="283"/>
      <c r="AY153" s="276"/>
      <c r="AZ153" s="283"/>
      <c r="BA153" s="276"/>
      <c r="BB153" s="283"/>
      <c r="BC153" s="276"/>
      <c r="BD153" s="283"/>
      <c r="BE153" s="276"/>
      <c r="BG153" s="283"/>
      <c r="BH153" s="276"/>
      <c r="BI153" s="283"/>
      <c r="BJ153" s="276"/>
      <c r="BK153" s="283"/>
      <c r="BL153" s="276"/>
      <c r="BM153" s="283"/>
      <c r="BN153" s="276"/>
      <c r="BO153" s="283"/>
      <c r="BP153" s="276"/>
      <c r="BQ153" s="283"/>
      <c r="BR153" s="283"/>
      <c r="BS153" s="276"/>
    </row>
    <row r="154" spans="12:71" ht="12" customHeight="1">
      <c r="L154" s="283"/>
      <c r="M154" s="276"/>
      <c r="N154" s="283"/>
      <c r="O154" s="276"/>
      <c r="P154" s="283"/>
      <c r="Q154" s="276"/>
      <c r="S154" s="283"/>
      <c r="T154" s="276"/>
      <c r="W154" s="283"/>
      <c r="X154" s="276"/>
      <c r="Y154" s="283"/>
      <c r="Z154" s="276"/>
      <c r="AA154" s="283"/>
      <c r="AB154" s="276"/>
      <c r="AC154" s="283"/>
      <c r="AE154" s="283"/>
      <c r="AF154" s="276"/>
      <c r="AI154" s="283"/>
      <c r="AJ154" s="276"/>
      <c r="AK154" s="283"/>
      <c r="AL154" s="276"/>
      <c r="AM154" s="283"/>
      <c r="AN154" s="276"/>
      <c r="AO154" s="283"/>
      <c r="AP154" s="276"/>
      <c r="AQ154" s="283"/>
      <c r="AR154" s="276"/>
      <c r="AT154" s="283"/>
      <c r="AU154" s="276"/>
      <c r="AV154" s="283"/>
      <c r="AW154" s="276"/>
      <c r="AX154" s="283"/>
      <c r="AY154" s="276"/>
      <c r="AZ154" s="283"/>
      <c r="BA154" s="276"/>
      <c r="BB154" s="283"/>
      <c r="BC154" s="276"/>
      <c r="BD154" s="283"/>
      <c r="BE154" s="276"/>
      <c r="BG154" s="283"/>
      <c r="BH154" s="276"/>
      <c r="BI154" s="283"/>
      <c r="BJ154" s="276"/>
      <c r="BK154" s="283"/>
      <c r="BL154" s="276"/>
      <c r="BM154" s="283"/>
      <c r="BN154" s="276"/>
      <c r="BO154" s="283"/>
      <c r="BP154" s="276"/>
      <c r="BQ154" s="283"/>
      <c r="BR154" s="283"/>
      <c r="BS154" s="276"/>
    </row>
    <row r="155" spans="12:71" ht="12" customHeight="1">
      <c r="L155" s="283"/>
      <c r="M155" s="276"/>
      <c r="N155" s="283"/>
      <c r="O155" s="276"/>
      <c r="P155" s="283"/>
      <c r="Q155" s="276"/>
      <c r="S155" s="283"/>
      <c r="T155" s="276"/>
      <c r="W155" s="283"/>
      <c r="X155" s="276"/>
      <c r="Y155" s="283"/>
      <c r="Z155" s="276"/>
      <c r="AA155" s="283"/>
      <c r="AB155" s="276"/>
      <c r="AC155" s="283"/>
      <c r="AE155" s="283"/>
      <c r="AF155" s="276"/>
      <c r="AI155" s="283"/>
      <c r="AJ155" s="276"/>
      <c r="AK155" s="283"/>
      <c r="AL155" s="276"/>
      <c r="AM155" s="283"/>
      <c r="AN155" s="276"/>
      <c r="AO155" s="283"/>
      <c r="AP155" s="276"/>
      <c r="AQ155" s="283"/>
      <c r="AR155" s="276"/>
      <c r="AT155" s="283"/>
      <c r="AU155" s="276"/>
      <c r="AV155" s="283"/>
      <c r="AW155" s="276"/>
      <c r="AX155" s="283"/>
      <c r="AY155" s="276"/>
      <c r="AZ155" s="283"/>
      <c r="BA155" s="276"/>
      <c r="BB155" s="283"/>
      <c r="BC155" s="276"/>
      <c r="BD155" s="283"/>
      <c r="BE155" s="276"/>
      <c r="BG155" s="283"/>
      <c r="BH155" s="276"/>
      <c r="BI155" s="283"/>
      <c r="BJ155" s="276"/>
      <c r="BK155" s="283"/>
      <c r="BL155" s="276"/>
      <c r="BM155" s="283"/>
      <c r="BN155" s="276"/>
      <c r="BO155" s="283"/>
      <c r="BP155" s="276"/>
      <c r="BQ155" s="283"/>
      <c r="BR155" s="283"/>
      <c r="BS155" s="276"/>
    </row>
    <row r="156" spans="12:71" ht="12" customHeight="1">
      <c r="L156" s="283"/>
      <c r="M156" s="276"/>
      <c r="N156" s="283"/>
      <c r="O156" s="276"/>
      <c r="P156" s="283"/>
      <c r="Q156" s="276"/>
      <c r="S156" s="283"/>
      <c r="T156" s="276"/>
      <c r="W156" s="283"/>
      <c r="X156" s="276"/>
      <c r="Y156" s="283"/>
      <c r="Z156" s="276"/>
      <c r="AA156" s="283"/>
      <c r="AB156" s="276"/>
      <c r="AC156" s="283"/>
      <c r="AE156" s="283"/>
      <c r="AF156" s="276"/>
      <c r="AI156" s="283"/>
      <c r="AJ156" s="276"/>
      <c r="AK156" s="283"/>
      <c r="AL156" s="276"/>
      <c r="AM156" s="283"/>
      <c r="AN156" s="276"/>
      <c r="AO156" s="283"/>
      <c r="AP156" s="276"/>
      <c r="AQ156" s="283"/>
      <c r="AR156" s="276"/>
      <c r="AT156" s="283"/>
      <c r="AU156" s="276"/>
      <c r="AV156" s="283"/>
      <c r="AW156" s="276"/>
      <c r="AX156" s="283"/>
      <c r="AY156" s="276"/>
      <c r="AZ156" s="283"/>
      <c r="BA156" s="276"/>
      <c r="BB156" s="283"/>
      <c r="BC156" s="276"/>
      <c r="BD156" s="283"/>
      <c r="BE156" s="276"/>
      <c r="BG156" s="283"/>
      <c r="BH156" s="276"/>
      <c r="BI156" s="283"/>
      <c r="BJ156" s="276"/>
      <c r="BK156" s="283"/>
      <c r="BL156" s="276"/>
      <c r="BM156" s="283"/>
      <c r="BN156" s="276"/>
      <c r="BO156" s="283"/>
      <c r="BP156" s="276"/>
      <c r="BQ156" s="283"/>
      <c r="BR156" s="283"/>
      <c r="BS156" s="276"/>
    </row>
    <row r="157" spans="12:71" ht="12" customHeight="1">
      <c r="L157" s="283"/>
      <c r="M157" s="276"/>
      <c r="N157" s="283"/>
      <c r="O157" s="276"/>
      <c r="P157" s="283"/>
      <c r="Q157" s="276"/>
      <c r="S157" s="283"/>
      <c r="T157" s="276"/>
      <c r="W157" s="283"/>
      <c r="X157" s="276"/>
      <c r="Y157" s="283"/>
      <c r="Z157" s="276"/>
      <c r="AA157" s="283"/>
      <c r="AB157" s="276"/>
      <c r="AC157" s="283"/>
      <c r="AE157" s="283"/>
      <c r="AF157" s="276"/>
      <c r="AI157" s="283"/>
      <c r="AJ157" s="276"/>
      <c r="AK157" s="283"/>
      <c r="AL157" s="276"/>
      <c r="AM157" s="283"/>
      <c r="AN157" s="276"/>
      <c r="AO157" s="283"/>
      <c r="AP157" s="276"/>
      <c r="AQ157" s="283"/>
      <c r="AR157" s="276"/>
      <c r="AT157" s="283"/>
      <c r="AU157" s="276"/>
      <c r="AV157" s="283"/>
      <c r="AW157" s="276"/>
      <c r="AX157" s="283"/>
      <c r="AY157" s="276"/>
      <c r="AZ157" s="283"/>
      <c r="BA157" s="276"/>
      <c r="BB157" s="283"/>
      <c r="BC157" s="276"/>
      <c r="BD157" s="283"/>
      <c r="BE157" s="276"/>
      <c r="BG157" s="283"/>
      <c r="BH157" s="276"/>
      <c r="BI157" s="283"/>
      <c r="BJ157" s="276"/>
      <c r="BK157" s="283"/>
      <c r="BL157" s="276"/>
      <c r="BM157" s="283"/>
      <c r="BN157" s="276"/>
      <c r="BO157" s="283"/>
      <c r="BP157" s="276"/>
      <c r="BQ157" s="283"/>
      <c r="BR157" s="283"/>
      <c r="BS157" s="276"/>
    </row>
    <row r="158" spans="12:71" ht="12" customHeight="1">
      <c r="L158" s="283"/>
      <c r="M158" s="276"/>
      <c r="N158" s="283"/>
      <c r="O158" s="276"/>
      <c r="P158" s="283"/>
      <c r="Q158" s="276"/>
      <c r="S158" s="283"/>
      <c r="T158" s="276"/>
      <c r="W158" s="283"/>
      <c r="X158" s="276"/>
      <c r="Y158" s="283"/>
      <c r="Z158" s="276"/>
      <c r="AA158" s="283"/>
      <c r="AB158" s="276"/>
      <c r="AC158" s="283"/>
      <c r="AE158" s="283"/>
      <c r="AF158" s="276"/>
      <c r="AI158" s="283"/>
      <c r="AJ158" s="276"/>
      <c r="AK158" s="283"/>
      <c r="AL158" s="276"/>
      <c r="AM158" s="283"/>
      <c r="AN158" s="276"/>
      <c r="AO158" s="283"/>
      <c r="AP158" s="276"/>
      <c r="AQ158" s="283"/>
      <c r="AR158" s="276"/>
      <c r="AT158" s="283"/>
      <c r="AU158" s="276"/>
      <c r="AV158" s="283"/>
      <c r="AW158" s="276"/>
      <c r="AX158" s="283"/>
      <c r="AY158" s="276"/>
      <c r="AZ158" s="283"/>
      <c r="BA158" s="276"/>
      <c r="BB158" s="283"/>
      <c r="BC158" s="276"/>
      <c r="BD158" s="283"/>
      <c r="BE158" s="276"/>
      <c r="BG158" s="283"/>
      <c r="BH158" s="276"/>
      <c r="BI158" s="283"/>
      <c r="BJ158" s="276"/>
      <c r="BK158" s="283"/>
      <c r="BL158" s="276"/>
      <c r="BM158" s="283"/>
      <c r="BN158" s="276"/>
      <c r="BO158" s="283"/>
      <c r="BP158" s="276"/>
      <c r="BQ158" s="283"/>
      <c r="BR158" s="283"/>
      <c r="BS158" s="276"/>
    </row>
    <row r="159" spans="12:71" ht="12" customHeight="1">
      <c r="L159" s="283"/>
      <c r="M159" s="276"/>
      <c r="N159" s="283"/>
      <c r="O159" s="276"/>
      <c r="P159" s="283"/>
      <c r="Q159" s="276"/>
      <c r="S159" s="283"/>
      <c r="T159" s="276"/>
      <c r="W159" s="283"/>
      <c r="X159" s="276"/>
      <c r="Y159" s="283"/>
      <c r="Z159" s="276"/>
      <c r="AA159" s="283"/>
      <c r="AB159" s="276"/>
      <c r="AC159" s="283"/>
      <c r="AE159" s="283"/>
      <c r="AF159" s="276"/>
      <c r="AI159" s="283"/>
      <c r="AJ159" s="276"/>
      <c r="AK159" s="283"/>
      <c r="AL159" s="276"/>
      <c r="AM159" s="283"/>
      <c r="AN159" s="276"/>
      <c r="AO159" s="283"/>
      <c r="AP159" s="276"/>
      <c r="AQ159" s="283"/>
      <c r="AR159" s="276"/>
      <c r="AT159" s="283"/>
      <c r="AU159" s="276"/>
      <c r="AV159" s="283"/>
      <c r="AW159" s="276"/>
      <c r="AX159" s="283"/>
      <c r="AY159" s="276"/>
      <c r="AZ159" s="283"/>
      <c r="BA159" s="276"/>
      <c r="BB159" s="283"/>
      <c r="BC159" s="276"/>
      <c r="BD159" s="283"/>
      <c r="BE159" s="276"/>
      <c r="BG159" s="283"/>
      <c r="BH159" s="276"/>
      <c r="BI159" s="283"/>
      <c r="BJ159" s="276"/>
      <c r="BK159" s="283"/>
      <c r="BL159" s="276"/>
      <c r="BM159" s="283"/>
      <c r="BN159" s="276"/>
      <c r="BO159" s="283"/>
      <c r="BP159" s="276"/>
      <c r="BQ159" s="283"/>
      <c r="BR159" s="283"/>
      <c r="BS159" s="276"/>
    </row>
    <row r="160" spans="12:71" ht="12" customHeight="1">
      <c r="L160" s="283"/>
      <c r="M160" s="276"/>
      <c r="N160" s="283"/>
      <c r="O160" s="276"/>
      <c r="P160" s="283"/>
      <c r="Q160" s="276"/>
      <c r="S160" s="283"/>
      <c r="T160" s="276"/>
      <c r="W160" s="283"/>
      <c r="X160" s="276"/>
      <c r="Y160" s="283"/>
      <c r="Z160" s="276"/>
      <c r="AA160" s="283"/>
      <c r="AB160" s="276"/>
      <c r="AC160" s="283"/>
      <c r="AE160" s="283"/>
      <c r="AF160" s="276"/>
      <c r="AI160" s="283"/>
      <c r="AJ160" s="276"/>
      <c r="AK160" s="283"/>
      <c r="AL160" s="276"/>
      <c r="AM160" s="283"/>
      <c r="AN160" s="276"/>
      <c r="AO160" s="283"/>
      <c r="AP160" s="276"/>
      <c r="AQ160" s="283"/>
      <c r="AR160" s="276"/>
      <c r="AT160" s="283"/>
      <c r="AU160" s="276"/>
      <c r="AV160" s="283"/>
      <c r="AW160" s="276"/>
      <c r="AX160" s="283"/>
      <c r="AY160" s="276"/>
      <c r="AZ160" s="283"/>
      <c r="BA160" s="276"/>
      <c r="BB160" s="283"/>
      <c r="BC160" s="276"/>
      <c r="BD160" s="283"/>
      <c r="BE160" s="276"/>
      <c r="BG160" s="283"/>
      <c r="BH160" s="276"/>
      <c r="BI160" s="283"/>
      <c r="BJ160" s="276"/>
      <c r="BK160" s="283"/>
      <c r="BL160" s="276"/>
      <c r="BM160" s="283"/>
      <c r="BN160" s="276"/>
      <c r="BO160" s="283"/>
      <c r="BP160" s="276"/>
      <c r="BQ160" s="283"/>
      <c r="BR160" s="283"/>
      <c r="BS160" s="276"/>
    </row>
    <row r="161" spans="12:71" ht="12" customHeight="1">
      <c r="L161" s="283"/>
      <c r="M161" s="276"/>
      <c r="N161" s="283"/>
      <c r="O161" s="276"/>
      <c r="P161" s="283"/>
      <c r="Q161" s="276"/>
      <c r="S161" s="283"/>
      <c r="T161" s="276"/>
      <c r="W161" s="283"/>
      <c r="X161" s="276"/>
      <c r="Y161" s="283"/>
      <c r="Z161" s="276"/>
      <c r="AA161" s="283"/>
      <c r="AB161" s="276"/>
      <c r="AC161" s="283"/>
      <c r="AE161" s="283"/>
      <c r="AF161" s="276"/>
      <c r="AI161" s="283"/>
      <c r="AJ161" s="276"/>
      <c r="AK161" s="283"/>
      <c r="AL161" s="276"/>
      <c r="AM161" s="283"/>
      <c r="AN161" s="276"/>
      <c r="AO161" s="283"/>
      <c r="AP161" s="276"/>
      <c r="AQ161" s="283"/>
      <c r="AR161" s="276"/>
      <c r="AT161" s="283"/>
      <c r="AU161" s="276"/>
      <c r="AV161" s="283"/>
      <c r="AW161" s="276"/>
      <c r="AX161" s="283"/>
      <c r="AY161" s="276"/>
      <c r="AZ161" s="283"/>
      <c r="BA161" s="276"/>
      <c r="BB161" s="283"/>
      <c r="BC161" s="276"/>
      <c r="BD161" s="283"/>
      <c r="BE161" s="276"/>
      <c r="BG161" s="283"/>
      <c r="BH161" s="276"/>
      <c r="BI161" s="283"/>
      <c r="BJ161" s="276"/>
      <c r="BK161" s="283"/>
      <c r="BL161" s="276"/>
      <c r="BM161" s="283"/>
      <c r="BN161" s="276"/>
      <c r="BO161" s="283"/>
      <c r="BP161" s="276"/>
      <c r="BQ161" s="283"/>
      <c r="BR161" s="283"/>
      <c r="BS161" s="276"/>
    </row>
    <row r="162" spans="12:71" ht="12" customHeight="1">
      <c r="L162" s="283"/>
      <c r="M162" s="276"/>
      <c r="N162" s="283"/>
      <c r="O162" s="276"/>
      <c r="P162" s="283"/>
      <c r="Q162" s="276"/>
      <c r="S162" s="283"/>
      <c r="T162" s="276"/>
      <c r="W162" s="283"/>
      <c r="X162" s="276"/>
      <c r="Y162" s="283"/>
      <c r="Z162" s="276"/>
      <c r="AA162" s="283"/>
      <c r="AB162" s="276"/>
      <c r="AC162" s="283"/>
      <c r="AE162" s="283"/>
      <c r="AF162" s="276"/>
      <c r="AI162" s="283"/>
      <c r="AJ162" s="276"/>
      <c r="AK162" s="283"/>
      <c r="AL162" s="276"/>
      <c r="AM162" s="283"/>
      <c r="AN162" s="276"/>
      <c r="AO162" s="283"/>
      <c r="AP162" s="276"/>
      <c r="AQ162" s="283"/>
      <c r="AR162" s="276"/>
      <c r="AT162" s="283"/>
      <c r="AU162" s="276"/>
      <c r="AV162" s="283"/>
      <c r="AW162" s="276"/>
      <c r="AX162" s="283"/>
      <c r="AY162" s="276"/>
      <c r="AZ162" s="283"/>
      <c r="BA162" s="276"/>
      <c r="BB162" s="283"/>
      <c r="BC162" s="276"/>
      <c r="BD162" s="283"/>
      <c r="BE162" s="276"/>
      <c r="BG162" s="283"/>
      <c r="BH162" s="276"/>
      <c r="BI162" s="283"/>
      <c r="BJ162" s="276"/>
      <c r="BK162" s="283"/>
      <c r="BL162" s="276"/>
      <c r="BM162" s="283"/>
      <c r="BN162" s="276"/>
      <c r="BO162" s="283"/>
      <c r="BP162" s="276"/>
      <c r="BQ162" s="283"/>
      <c r="BR162" s="283"/>
      <c r="BS162" s="276"/>
    </row>
    <row r="163" spans="12:71" ht="12" customHeight="1">
      <c r="L163" s="283"/>
      <c r="M163" s="276"/>
      <c r="N163" s="283"/>
      <c r="O163" s="276"/>
      <c r="P163" s="283"/>
      <c r="Q163" s="276"/>
      <c r="S163" s="283"/>
      <c r="T163" s="276"/>
      <c r="W163" s="283"/>
      <c r="X163" s="276"/>
      <c r="Y163" s="283"/>
      <c r="Z163" s="276"/>
      <c r="AA163" s="283"/>
      <c r="AB163" s="276"/>
      <c r="AC163" s="283"/>
      <c r="AE163" s="283"/>
      <c r="AF163" s="276"/>
      <c r="AI163" s="283"/>
      <c r="AJ163" s="276"/>
      <c r="AK163" s="283"/>
      <c r="AL163" s="276"/>
      <c r="AM163" s="283"/>
      <c r="AN163" s="276"/>
      <c r="AO163" s="283"/>
      <c r="AP163" s="276"/>
      <c r="AQ163" s="283"/>
      <c r="AR163" s="276"/>
      <c r="AT163" s="283"/>
      <c r="AU163" s="276"/>
      <c r="AV163" s="283"/>
      <c r="AW163" s="276"/>
      <c r="AX163" s="283"/>
      <c r="AY163" s="276"/>
      <c r="AZ163" s="283"/>
      <c r="BA163" s="276"/>
      <c r="BB163" s="283"/>
      <c r="BC163" s="276"/>
      <c r="BD163" s="283"/>
      <c r="BE163" s="276"/>
      <c r="BG163" s="283"/>
      <c r="BH163" s="276"/>
      <c r="BI163" s="283"/>
      <c r="BJ163" s="276"/>
      <c r="BK163" s="283"/>
      <c r="BL163" s="276"/>
      <c r="BM163" s="283"/>
      <c r="BN163" s="276"/>
      <c r="BO163" s="283"/>
      <c r="BP163" s="276"/>
      <c r="BQ163" s="283"/>
      <c r="BR163" s="283"/>
      <c r="BS163" s="276"/>
    </row>
    <row r="164" spans="12:71" ht="12" customHeight="1">
      <c r="L164" s="283"/>
      <c r="M164" s="276"/>
      <c r="N164" s="283"/>
      <c r="O164" s="276"/>
      <c r="P164" s="283"/>
      <c r="Q164" s="276"/>
      <c r="S164" s="283"/>
      <c r="T164" s="276"/>
      <c r="W164" s="283"/>
      <c r="X164" s="276"/>
      <c r="Y164" s="283"/>
      <c r="Z164" s="276"/>
      <c r="AA164" s="283"/>
      <c r="AB164" s="276"/>
      <c r="AC164" s="283"/>
      <c r="AE164" s="283"/>
      <c r="AF164" s="276"/>
      <c r="AI164" s="283"/>
      <c r="AJ164" s="276"/>
      <c r="AK164" s="283"/>
      <c r="AL164" s="276"/>
      <c r="AM164" s="283"/>
      <c r="AN164" s="276"/>
      <c r="AO164" s="283"/>
      <c r="AP164" s="276"/>
      <c r="AQ164" s="283"/>
      <c r="AR164" s="276"/>
      <c r="AT164" s="283"/>
      <c r="AU164" s="276"/>
      <c r="AV164" s="283"/>
      <c r="AW164" s="276"/>
      <c r="AX164" s="283"/>
      <c r="AY164" s="276"/>
      <c r="AZ164" s="283"/>
      <c r="BA164" s="276"/>
      <c r="BB164" s="283"/>
      <c r="BC164" s="276"/>
      <c r="BD164" s="283"/>
      <c r="BE164" s="276"/>
      <c r="BG164" s="283"/>
      <c r="BH164" s="276"/>
      <c r="BI164" s="283"/>
      <c r="BJ164" s="276"/>
      <c r="BK164" s="283"/>
      <c r="BL164" s="276"/>
      <c r="BM164" s="283"/>
      <c r="BN164" s="276"/>
      <c r="BO164" s="283"/>
      <c r="BP164" s="276"/>
      <c r="BQ164" s="283"/>
      <c r="BR164" s="283"/>
      <c r="BS164" s="276"/>
    </row>
    <row r="165" spans="12:71" ht="12" customHeight="1">
      <c r="L165" s="283"/>
      <c r="M165" s="276"/>
      <c r="N165" s="283"/>
      <c r="O165" s="276"/>
      <c r="P165" s="283"/>
      <c r="Q165" s="276"/>
      <c r="S165" s="283"/>
      <c r="T165" s="276"/>
      <c r="W165" s="283"/>
      <c r="X165" s="276"/>
      <c r="Y165" s="283"/>
      <c r="Z165" s="276"/>
      <c r="AA165" s="283"/>
      <c r="AB165" s="276"/>
      <c r="AC165" s="283"/>
      <c r="AE165" s="283"/>
      <c r="AF165" s="276"/>
      <c r="AI165" s="283"/>
      <c r="AJ165" s="276"/>
      <c r="AK165" s="283"/>
      <c r="AL165" s="276"/>
      <c r="AM165" s="283"/>
      <c r="AN165" s="276"/>
      <c r="AO165" s="283"/>
      <c r="AP165" s="276"/>
      <c r="AQ165" s="283"/>
      <c r="AR165" s="276"/>
      <c r="AT165" s="283"/>
      <c r="AU165" s="276"/>
      <c r="AV165" s="283"/>
      <c r="AW165" s="276"/>
      <c r="AX165" s="283"/>
      <c r="AY165" s="276"/>
      <c r="AZ165" s="283"/>
      <c r="BA165" s="276"/>
      <c r="BB165" s="283"/>
      <c r="BC165" s="276"/>
      <c r="BD165" s="283"/>
      <c r="BE165" s="276"/>
      <c r="BG165" s="283"/>
      <c r="BH165" s="276"/>
      <c r="BI165" s="283"/>
      <c r="BJ165" s="276"/>
      <c r="BK165" s="283"/>
      <c r="BL165" s="276"/>
      <c r="BM165" s="283"/>
      <c r="BN165" s="276"/>
      <c r="BO165" s="283"/>
      <c r="BP165" s="276"/>
      <c r="BQ165" s="283"/>
      <c r="BR165" s="283"/>
      <c r="BS165" s="276"/>
    </row>
    <row r="166" spans="12:71" ht="12" customHeight="1">
      <c r="L166" s="283"/>
      <c r="M166" s="276"/>
      <c r="N166" s="283"/>
      <c r="O166" s="276"/>
      <c r="P166" s="283"/>
      <c r="Q166" s="276"/>
      <c r="S166" s="283"/>
      <c r="T166" s="276"/>
      <c r="W166" s="283"/>
      <c r="X166" s="276"/>
      <c r="Y166" s="283"/>
      <c r="Z166" s="276"/>
      <c r="AA166" s="283"/>
      <c r="AB166" s="276"/>
      <c r="AC166" s="283"/>
      <c r="AE166" s="283"/>
      <c r="AF166" s="276"/>
      <c r="AI166" s="283"/>
      <c r="AJ166" s="276"/>
      <c r="AK166" s="283"/>
      <c r="AL166" s="276"/>
      <c r="AM166" s="283"/>
      <c r="AN166" s="276"/>
      <c r="AO166" s="283"/>
      <c r="AP166" s="276"/>
      <c r="AQ166" s="283"/>
      <c r="AR166" s="276"/>
      <c r="AT166" s="283"/>
      <c r="AU166" s="276"/>
      <c r="AV166" s="283"/>
      <c r="AW166" s="276"/>
      <c r="AX166" s="283"/>
      <c r="AY166" s="276"/>
      <c r="AZ166" s="283"/>
      <c r="BA166" s="276"/>
      <c r="BB166" s="283"/>
      <c r="BC166" s="276"/>
      <c r="BD166" s="283"/>
      <c r="BE166" s="276"/>
      <c r="BG166" s="283"/>
      <c r="BH166" s="276"/>
      <c r="BI166" s="283"/>
      <c r="BJ166" s="276"/>
      <c r="BK166" s="283"/>
      <c r="BL166" s="276"/>
      <c r="BM166" s="283"/>
      <c r="BN166" s="276"/>
      <c r="BO166" s="283"/>
      <c r="BP166" s="276"/>
      <c r="BQ166" s="283"/>
      <c r="BR166" s="283"/>
      <c r="BS166" s="276"/>
    </row>
    <row r="167" spans="12:71" ht="12" customHeight="1">
      <c r="L167" s="283"/>
      <c r="M167" s="276"/>
      <c r="N167" s="283"/>
      <c r="O167" s="276"/>
      <c r="P167" s="283"/>
      <c r="Q167" s="276"/>
      <c r="S167" s="283"/>
      <c r="T167" s="276"/>
      <c r="W167" s="283"/>
      <c r="X167" s="276"/>
      <c r="Y167" s="283"/>
      <c r="Z167" s="276"/>
      <c r="AA167" s="283"/>
      <c r="AB167" s="276"/>
      <c r="AC167" s="283"/>
      <c r="AE167" s="283"/>
      <c r="AF167" s="276"/>
      <c r="AI167" s="283"/>
      <c r="AJ167" s="276"/>
      <c r="AK167" s="283"/>
      <c r="AL167" s="276"/>
      <c r="AM167" s="283"/>
      <c r="AN167" s="276"/>
      <c r="AO167" s="283"/>
      <c r="AP167" s="276"/>
      <c r="AQ167" s="283"/>
      <c r="AR167" s="276"/>
      <c r="AT167" s="283"/>
      <c r="AU167" s="276"/>
      <c r="AV167" s="283"/>
      <c r="AW167" s="276"/>
      <c r="AX167" s="283"/>
      <c r="AY167" s="276"/>
      <c r="AZ167" s="283"/>
      <c r="BA167" s="276"/>
      <c r="BB167" s="283"/>
      <c r="BC167" s="276"/>
      <c r="BD167" s="283"/>
      <c r="BE167" s="276"/>
      <c r="BG167" s="283"/>
      <c r="BH167" s="276"/>
      <c r="BI167" s="283"/>
      <c r="BJ167" s="276"/>
      <c r="BK167" s="283"/>
      <c r="BL167" s="276"/>
      <c r="BM167" s="283"/>
      <c r="BN167" s="276"/>
      <c r="BO167" s="283"/>
      <c r="BP167" s="276"/>
      <c r="BQ167" s="283"/>
      <c r="BR167" s="283"/>
      <c r="BS167" s="276"/>
    </row>
    <row r="168" spans="12:71" ht="12" customHeight="1">
      <c r="L168" s="283"/>
      <c r="M168" s="276"/>
      <c r="N168" s="283"/>
      <c r="O168" s="276"/>
      <c r="P168" s="283"/>
      <c r="Q168" s="276"/>
      <c r="S168" s="283"/>
      <c r="T168" s="276"/>
      <c r="W168" s="283"/>
      <c r="X168" s="276"/>
      <c r="Y168" s="283"/>
      <c r="Z168" s="276"/>
      <c r="AA168" s="283"/>
      <c r="AB168" s="276"/>
      <c r="AC168" s="283"/>
      <c r="AE168" s="283"/>
      <c r="AF168" s="276"/>
      <c r="AI168" s="283"/>
      <c r="AJ168" s="276"/>
      <c r="AK168" s="283"/>
      <c r="AL168" s="276"/>
      <c r="AM168" s="283"/>
      <c r="AN168" s="276"/>
      <c r="AO168" s="283"/>
      <c r="AP168" s="276"/>
      <c r="AQ168" s="283"/>
      <c r="AR168" s="276"/>
      <c r="AT168" s="283"/>
      <c r="AU168" s="276"/>
      <c r="AV168" s="283"/>
      <c r="AW168" s="276"/>
      <c r="AX168" s="283"/>
      <c r="AY168" s="276"/>
      <c r="AZ168" s="283"/>
      <c r="BA168" s="276"/>
      <c r="BB168" s="283"/>
      <c r="BC168" s="276"/>
      <c r="BD168" s="283"/>
      <c r="BE168" s="276"/>
      <c r="BG168" s="283"/>
      <c r="BH168" s="276"/>
      <c r="BI168" s="283"/>
      <c r="BJ168" s="276"/>
      <c r="BK168" s="283"/>
      <c r="BL168" s="276"/>
      <c r="BM168" s="283"/>
      <c r="BN168" s="276"/>
      <c r="BO168" s="283"/>
      <c r="BP168" s="276"/>
      <c r="BQ168" s="283"/>
      <c r="BR168" s="283"/>
      <c r="BS168" s="276"/>
    </row>
    <row r="169" spans="12:71" ht="12" customHeight="1">
      <c r="L169" s="283"/>
      <c r="M169" s="276"/>
      <c r="N169" s="283"/>
      <c r="O169" s="276"/>
      <c r="P169" s="283"/>
      <c r="Q169" s="276"/>
      <c r="S169" s="283"/>
      <c r="T169" s="276"/>
      <c r="W169" s="283"/>
      <c r="X169" s="276"/>
      <c r="Y169" s="283"/>
      <c r="Z169" s="276"/>
      <c r="AA169" s="283"/>
      <c r="AB169" s="276"/>
      <c r="AC169" s="283"/>
      <c r="AE169" s="283"/>
      <c r="AF169" s="276"/>
      <c r="AI169" s="283"/>
      <c r="AJ169" s="276"/>
      <c r="AK169" s="283"/>
      <c r="AL169" s="276"/>
      <c r="AM169" s="283"/>
      <c r="AN169" s="276"/>
      <c r="AO169" s="283"/>
      <c r="AP169" s="276"/>
      <c r="AQ169" s="283"/>
      <c r="AR169" s="276"/>
      <c r="AT169" s="283"/>
      <c r="AU169" s="276"/>
      <c r="AV169" s="283"/>
      <c r="AW169" s="276"/>
      <c r="AX169" s="283"/>
      <c r="AY169" s="276"/>
      <c r="AZ169" s="283"/>
      <c r="BA169" s="276"/>
      <c r="BB169" s="283"/>
      <c r="BC169" s="276"/>
      <c r="BD169" s="283"/>
      <c r="BE169" s="276"/>
      <c r="BG169" s="283"/>
      <c r="BH169" s="276"/>
      <c r="BI169" s="283"/>
      <c r="BJ169" s="276"/>
      <c r="BK169" s="283"/>
      <c r="BL169" s="276"/>
      <c r="BM169" s="283"/>
      <c r="BN169" s="276"/>
      <c r="BO169" s="283"/>
      <c r="BP169" s="276"/>
      <c r="BQ169" s="283"/>
      <c r="BR169" s="283"/>
      <c r="BS169" s="276"/>
    </row>
    <row r="170" spans="12:71" ht="12" customHeight="1">
      <c r="L170" s="283"/>
      <c r="M170" s="276"/>
      <c r="N170" s="283"/>
      <c r="O170" s="276"/>
      <c r="P170" s="283"/>
      <c r="Q170" s="276"/>
      <c r="S170" s="283"/>
      <c r="T170" s="276"/>
      <c r="W170" s="283"/>
      <c r="X170" s="276"/>
      <c r="Y170" s="283"/>
      <c r="Z170" s="276"/>
      <c r="AA170" s="283"/>
      <c r="AB170" s="276"/>
      <c r="AC170" s="283"/>
      <c r="AE170" s="283"/>
      <c r="AF170" s="276"/>
      <c r="AI170" s="283"/>
      <c r="AJ170" s="276"/>
      <c r="AK170" s="283"/>
      <c r="AL170" s="276"/>
      <c r="AM170" s="283"/>
      <c r="AN170" s="276"/>
      <c r="AO170" s="283"/>
      <c r="AP170" s="276"/>
      <c r="AQ170" s="283"/>
      <c r="AR170" s="276"/>
      <c r="AT170" s="283"/>
      <c r="AU170" s="276"/>
      <c r="AV170" s="283"/>
      <c r="AW170" s="276"/>
      <c r="AX170" s="283"/>
      <c r="AY170" s="276"/>
      <c r="AZ170" s="283"/>
      <c r="BA170" s="276"/>
      <c r="BB170" s="283"/>
      <c r="BC170" s="276"/>
      <c r="BD170" s="283"/>
      <c r="BE170" s="276"/>
      <c r="BG170" s="283"/>
      <c r="BH170" s="276"/>
      <c r="BI170" s="283"/>
      <c r="BJ170" s="276"/>
      <c r="BK170" s="283"/>
      <c r="BL170" s="276"/>
      <c r="BM170" s="283"/>
      <c r="BN170" s="276"/>
      <c r="BO170" s="283"/>
      <c r="BP170" s="276"/>
      <c r="BQ170" s="283"/>
      <c r="BR170" s="283"/>
      <c r="BS170" s="276"/>
    </row>
    <row r="171" spans="12:71" ht="12" customHeight="1">
      <c r="L171" s="283"/>
      <c r="M171" s="276"/>
      <c r="N171" s="283"/>
      <c r="O171" s="276"/>
      <c r="P171" s="283"/>
      <c r="Q171" s="276"/>
      <c r="S171" s="283"/>
      <c r="T171" s="276"/>
      <c r="W171" s="283"/>
      <c r="X171" s="276"/>
      <c r="Y171" s="283"/>
      <c r="Z171" s="276"/>
      <c r="AA171" s="283"/>
      <c r="AB171" s="276"/>
      <c r="AC171" s="283"/>
      <c r="AE171" s="283"/>
      <c r="AF171" s="276"/>
      <c r="AI171" s="283"/>
      <c r="AJ171" s="276"/>
      <c r="AK171" s="283"/>
      <c r="AL171" s="276"/>
      <c r="AM171" s="283"/>
      <c r="AN171" s="276"/>
      <c r="AO171" s="283"/>
      <c r="AP171" s="276"/>
      <c r="AQ171" s="283"/>
      <c r="AR171" s="276"/>
      <c r="AT171" s="283"/>
      <c r="AU171" s="276"/>
      <c r="AV171" s="283"/>
      <c r="AW171" s="276"/>
      <c r="AX171" s="283"/>
      <c r="AY171" s="276"/>
      <c r="AZ171" s="283"/>
      <c r="BA171" s="276"/>
      <c r="BB171" s="283"/>
      <c r="BC171" s="276"/>
      <c r="BD171" s="283"/>
      <c r="BE171" s="276"/>
      <c r="BG171" s="283"/>
      <c r="BH171" s="276"/>
      <c r="BI171" s="283"/>
      <c r="BJ171" s="276"/>
      <c r="BK171" s="283"/>
      <c r="BL171" s="276"/>
      <c r="BM171" s="283"/>
      <c r="BN171" s="276"/>
      <c r="BO171" s="283"/>
      <c r="BP171" s="276"/>
      <c r="BQ171" s="283"/>
      <c r="BR171" s="283"/>
      <c r="BS171" s="276"/>
    </row>
    <row r="172" spans="12:71" ht="12" customHeight="1">
      <c r="L172" s="283"/>
      <c r="M172" s="276"/>
      <c r="N172" s="283"/>
      <c r="O172" s="276"/>
      <c r="P172" s="283"/>
      <c r="Q172" s="276"/>
      <c r="S172" s="283"/>
      <c r="T172" s="276"/>
      <c r="W172" s="283"/>
      <c r="X172" s="276"/>
      <c r="Y172" s="283"/>
      <c r="Z172" s="276"/>
      <c r="AA172" s="283"/>
      <c r="AB172" s="276"/>
      <c r="AC172" s="283"/>
      <c r="AE172" s="283"/>
      <c r="AF172" s="276"/>
      <c r="AI172" s="283"/>
      <c r="AJ172" s="276"/>
      <c r="AK172" s="283"/>
      <c r="AL172" s="276"/>
      <c r="AM172" s="283"/>
      <c r="AN172" s="276"/>
      <c r="AO172" s="283"/>
      <c r="AP172" s="276"/>
      <c r="AQ172" s="283"/>
      <c r="AR172" s="276"/>
      <c r="AT172" s="283"/>
      <c r="AU172" s="276"/>
      <c r="AV172" s="283"/>
      <c r="AW172" s="276"/>
      <c r="AX172" s="283"/>
      <c r="AY172" s="276"/>
      <c r="AZ172" s="283"/>
      <c r="BA172" s="276"/>
      <c r="BB172" s="283"/>
      <c r="BC172" s="276"/>
      <c r="BD172" s="283"/>
      <c r="BE172" s="276"/>
      <c r="BG172" s="283"/>
      <c r="BH172" s="276"/>
      <c r="BI172" s="283"/>
      <c r="BJ172" s="276"/>
      <c r="BK172" s="283"/>
      <c r="BL172" s="276"/>
      <c r="BM172" s="283"/>
      <c r="BN172" s="276"/>
      <c r="BO172" s="283"/>
      <c r="BP172" s="276"/>
      <c r="BQ172" s="283"/>
      <c r="BR172" s="283"/>
      <c r="BS172" s="276"/>
    </row>
    <row r="173" spans="12:71" ht="12" customHeight="1">
      <c r="L173" s="283"/>
      <c r="M173" s="276"/>
      <c r="N173" s="283"/>
      <c r="O173" s="276"/>
      <c r="P173" s="283"/>
      <c r="Q173" s="276"/>
      <c r="S173" s="283"/>
      <c r="T173" s="276"/>
      <c r="W173" s="283"/>
      <c r="X173" s="276"/>
      <c r="Y173" s="283"/>
      <c r="Z173" s="276"/>
      <c r="AA173" s="283"/>
      <c r="AB173" s="276"/>
      <c r="AC173" s="283"/>
      <c r="AE173" s="283"/>
      <c r="AF173" s="276"/>
      <c r="AI173" s="283"/>
      <c r="AJ173" s="276"/>
      <c r="AK173" s="283"/>
      <c r="AL173" s="276"/>
      <c r="AM173" s="283"/>
      <c r="AN173" s="276"/>
      <c r="AO173" s="283"/>
      <c r="AP173" s="276"/>
      <c r="AQ173" s="283"/>
      <c r="AR173" s="276"/>
      <c r="AT173" s="283"/>
      <c r="AU173" s="276"/>
      <c r="AV173" s="283"/>
      <c r="AW173" s="276"/>
      <c r="AX173" s="283"/>
      <c r="AY173" s="276"/>
      <c r="AZ173" s="283"/>
      <c r="BA173" s="276"/>
      <c r="BB173" s="283"/>
      <c r="BC173" s="276"/>
      <c r="BD173" s="283"/>
      <c r="BE173" s="276"/>
      <c r="BG173" s="283"/>
      <c r="BH173" s="276"/>
      <c r="BI173" s="283"/>
      <c r="BJ173" s="276"/>
      <c r="BK173" s="283"/>
      <c r="BL173" s="276"/>
      <c r="BM173" s="283"/>
      <c r="BN173" s="276"/>
      <c r="BO173" s="283"/>
      <c r="BP173" s="276"/>
      <c r="BQ173" s="283"/>
      <c r="BR173" s="283"/>
      <c r="BS173" s="276"/>
    </row>
    <row r="174" spans="12:71" ht="12" customHeight="1">
      <c r="L174" s="283"/>
      <c r="M174" s="276"/>
      <c r="N174" s="283"/>
      <c r="O174" s="276"/>
      <c r="P174" s="283"/>
      <c r="Q174" s="276"/>
      <c r="S174" s="283"/>
      <c r="T174" s="276"/>
      <c r="W174" s="283"/>
      <c r="X174" s="276"/>
      <c r="Y174" s="283"/>
      <c r="Z174" s="276"/>
      <c r="AA174" s="283"/>
      <c r="AB174" s="276"/>
      <c r="AC174" s="283"/>
      <c r="AE174" s="283"/>
      <c r="AF174" s="276"/>
      <c r="AI174" s="283"/>
      <c r="AJ174" s="276"/>
      <c r="AK174" s="283"/>
      <c r="AL174" s="276"/>
      <c r="AM174" s="283"/>
      <c r="AN174" s="276"/>
      <c r="AO174" s="283"/>
      <c r="AP174" s="276"/>
      <c r="AQ174" s="283"/>
      <c r="AR174" s="276"/>
      <c r="AT174" s="283"/>
      <c r="AU174" s="276"/>
      <c r="AV174" s="283"/>
      <c r="AW174" s="276"/>
      <c r="AX174" s="283"/>
      <c r="AY174" s="276"/>
      <c r="AZ174" s="283"/>
      <c r="BA174" s="276"/>
      <c r="BB174" s="283"/>
      <c r="BC174" s="276"/>
      <c r="BD174" s="283"/>
      <c r="BE174" s="276"/>
      <c r="BG174" s="283"/>
      <c r="BH174" s="276"/>
      <c r="BI174" s="283"/>
      <c r="BJ174" s="276"/>
      <c r="BK174" s="283"/>
      <c r="BL174" s="276"/>
      <c r="BM174" s="283"/>
      <c r="BN174" s="276"/>
      <c r="BO174" s="283"/>
      <c r="BP174" s="276"/>
      <c r="BQ174" s="283"/>
      <c r="BR174" s="283"/>
      <c r="BS174" s="276"/>
    </row>
    <row r="175" spans="12:71" ht="12" customHeight="1">
      <c r="L175" s="283"/>
      <c r="M175" s="276"/>
      <c r="N175" s="283"/>
      <c r="O175" s="276"/>
      <c r="P175" s="283"/>
      <c r="Q175" s="276"/>
      <c r="S175" s="283"/>
      <c r="T175" s="276"/>
      <c r="W175" s="283"/>
      <c r="X175" s="276"/>
      <c r="Y175" s="283"/>
      <c r="Z175" s="276"/>
      <c r="AA175" s="283"/>
      <c r="AB175" s="276"/>
      <c r="AC175" s="283"/>
      <c r="AE175" s="283"/>
      <c r="AF175" s="276"/>
      <c r="AI175" s="283"/>
      <c r="AJ175" s="276"/>
      <c r="AK175" s="283"/>
      <c r="AL175" s="276"/>
      <c r="AM175" s="283"/>
      <c r="AN175" s="276"/>
      <c r="AO175" s="283"/>
      <c r="AP175" s="276"/>
      <c r="AQ175" s="283"/>
      <c r="AR175" s="276"/>
      <c r="AT175" s="283"/>
      <c r="AU175" s="276"/>
      <c r="AV175" s="283"/>
      <c r="AW175" s="276"/>
      <c r="AX175" s="283"/>
      <c r="AY175" s="276"/>
      <c r="AZ175" s="283"/>
      <c r="BA175" s="276"/>
      <c r="BB175" s="283"/>
      <c r="BC175" s="276"/>
      <c r="BD175" s="283"/>
      <c r="BE175" s="276"/>
      <c r="BG175" s="283"/>
      <c r="BH175" s="276"/>
      <c r="BI175" s="283"/>
      <c r="BJ175" s="276"/>
      <c r="BK175" s="283"/>
      <c r="BL175" s="276"/>
      <c r="BM175" s="283"/>
      <c r="BN175" s="276"/>
      <c r="BO175" s="283"/>
      <c r="BP175" s="276"/>
      <c r="BQ175" s="283"/>
      <c r="BR175" s="283"/>
      <c r="BS175" s="276"/>
    </row>
    <row r="176" spans="12:71" ht="12" customHeight="1">
      <c r="L176" s="283"/>
      <c r="M176" s="276"/>
      <c r="N176" s="283"/>
      <c r="O176" s="276"/>
      <c r="P176" s="283"/>
      <c r="Q176" s="276"/>
      <c r="S176" s="283"/>
      <c r="T176" s="276"/>
      <c r="W176" s="283"/>
      <c r="X176" s="276"/>
      <c r="Y176" s="283"/>
      <c r="Z176" s="276"/>
      <c r="AA176" s="283"/>
      <c r="AB176" s="276"/>
      <c r="AC176" s="283"/>
      <c r="AE176" s="283"/>
      <c r="AF176" s="276"/>
      <c r="AI176" s="283"/>
      <c r="AJ176" s="276"/>
      <c r="AK176" s="283"/>
      <c r="AL176" s="276"/>
      <c r="AM176" s="283"/>
      <c r="AN176" s="276"/>
      <c r="AO176" s="283"/>
      <c r="AP176" s="276"/>
      <c r="AQ176" s="283"/>
      <c r="AR176" s="276"/>
      <c r="AT176" s="283"/>
      <c r="AU176" s="276"/>
      <c r="AV176" s="283"/>
      <c r="AW176" s="276"/>
      <c r="AX176" s="283"/>
      <c r="AY176" s="276"/>
      <c r="AZ176" s="283"/>
      <c r="BA176" s="276"/>
      <c r="BB176" s="283"/>
      <c r="BC176" s="276"/>
      <c r="BD176" s="283"/>
      <c r="BE176" s="276"/>
      <c r="BG176" s="283"/>
      <c r="BH176" s="276"/>
      <c r="BI176" s="283"/>
      <c r="BJ176" s="276"/>
      <c r="BK176" s="283"/>
      <c r="BL176" s="276"/>
      <c r="BM176" s="283"/>
      <c r="BN176" s="276"/>
      <c r="BO176" s="283"/>
      <c r="BP176" s="276"/>
      <c r="BQ176" s="283"/>
      <c r="BR176" s="283"/>
      <c r="BS176" s="276"/>
    </row>
    <row r="177" spans="12:71" ht="12" customHeight="1">
      <c r="L177" s="283"/>
      <c r="M177" s="276"/>
      <c r="N177" s="283"/>
      <c r="O177" s="276"/>
      <c r="P177" s="283"/>
      <c r="Q177" s="276"/>
      <c r="S177" s="283"/>
      <c r="T177" s="276"/>
      <c r="W177" s="283"/>
      <c r="X177" s="276"/>
      <c r="Y177" s="283"/>
      <c r="Z177" s="276"/>
      <c r="AA177" s="283"/>
      <c r="AB177" s="276"/>
      <c r="AC177" s="283"/>
      <c r="AE177" s="283"/>
      <c r="AF177" s="276"/>
      <c r="AI177" s="283"/>
      <c r="AJ177" s="276"/>
      <c r="AK177" s="283"/>
      <c r="AL177" s="276"/>
      <c r="AM177" s="283"/>
      <c r="AN177" s="276"/>
      <c r="AO177" s="283"/>
      <c r="AP177" s="276"/>
      <c r="AQ177" s="283"/>
      <c r="AR177" s="276"/>
      <c r="AT177" s="283"/>
      <c r="AU177" s="276"/>
      <c r="AV177" s="283"/>
      <c r="AW177" s="276"/>
      <c r="AX177" s="283"/>
      <c r="AY177" s="276"/>
      <c r="AZ177" s="283"/>
      <c r="BA177" s="276"/>
      <c r="BB177" s="283"/>
      <c r="BC177" s="276"/>
      <c r="BD177" s="283"/>
      <c r="BE177" s="276"/>
      <c r="BG177" s="283"/>
      <c r="BH177" s="276"/>
      <c r="BI177" s="283"/>
      <c r="BJ177" s="276"/>
      <c r="BK177" s="283"/>
      <c r="BL177" s="276"/>
      <c r="BM177" s="283"/>
      <c r="BN177" s="276"/>
      <c r="BO177" s="283"/>
      <c r="BP177" s="276"/>
      <c r="BQ177" s="283"/>
      <c r="BR177" s="283"/>
      <c r="BS177" s="276"/>
    </row>
    <row r="178" spans="12:71" ht="12" customHeight="1">
      <c r="L178" s="283"/>
      <c r="M178" s="276"/>
      <c r="N178" s="283"/>
      <c r="O178" s="276"/>
      <c r="P178" s="283"/>
      <c r="Q178" s="276"/>
      <c r="S178" s="283"/>
      <c r="T178" s="276"/>
      <c r="W178" s="283"/>
      <c r="X178" s="276"/>
      <c r="Y178" s="283"/>
      <c r="Z178" s="276"/>
      <c r="AA178" s="283"/>
      <c r="AB178" s="276"/>
      <c r="AC178" s="283"/>
      <c r="AE178" s="283"/>
      <c r="AF178" s="276"/>
      <c r="AI178" s="283"/>
      <c r="AJ178" s="276"/>
      <c r="AK178" s="283"/>
      <c r="AL178" s="276"/>
      <c r="AM178" s="283"/>
      <c r="AN178" s="276"/>
      <c r="AO178" s="283"/>
      <c r="AP178" s="276"/>
      <c r="AQ178" s="283"/>
      <c r="AR178" s="276"/>
      <c r="AT178" s="283"/>
      <c r="AU178" s="276"/>
      <c r="AV178" s="283"/>
      <c r="AW178" s="276"/>
      <c r="AX178" s="283"/>
      <c r="AY178" s="276"/>
      <c r="AZ178" s="283"/>
      <c r="BA178" s="276"/>
      <c r="BB178" s="283"/>
      <c r="BC178" s="276"/>
      <c r="BD178" s="283"/>
      <c r="BE178" s="276"/>
      <c r="BG178" s="283"/>
      <c r="BH178" s="276"/>
      <c r="BI178" s="283"/>
      <c r="BJ178" s="276"/>
      <c r="BK178" s="283"/>
      <c r="BL178" s="276"/>
      <c r="BM178" s="283"/>
      <c r="BN178" s="276"/>
      <c r="BO178" s="283"/>
      <c r="BP178" s="276"/>
      <c r="BQ178" s="283"/>
      <c r="BR178" s="283"/>
      <c r="BS178" s="276"/>
    </row>
    <row r="179" spans="12:71" ht="12" customHeight="1">
      <c r="L179" s="283"/>
      <c r="M179" s="276"/>
      <c r="N179" s="283"/>
      <c r="O179" s="276"/>
      <c r="P179" s="283"/>
      <c r="Q179" s="276"/>
      <c r="S179" s="283"/>
      <c r="T179" s="276"/>
      <c r="W179" s="283"/>
      <c r="X179" s="276"/>
      <c r="Y179" s="283"/>
      <c r="Z179" s="276"/>
      <c r="AA179" s="283"/>
      <c r="AB179" s="276"/>
      <c r="AC179" s="283"/>
      <c r="AE179" s="283"/>
      <c r="AF179" s="276"/>
      <c r="AI179" s="283"/>
      <c r="AJ179" s="276"/>
      <c r="AK179" s="283"/>
      <c r="AL179" s="276"/>
      <c r="AM179" s="283"/>
      <c r="AN179" s="276"/>
      <c r="AO179" s="283"/>
      <c r="AP179" s="276"/>
      <c r="AQ179" s="283"/>
      <c r="AR179" s="276"/>
      <c r="AT179" s="283"/>
      <c r="AU179" s="276"/>
      <c r="AV179" s="283"/>
      <c r="AW179" s="276"/>
      <c r="AX179" s="283"/>
      <c r="AY179" s="276"/>
      <c r="AZ179" s="283"/>
      <c r="BA179" s="276"/>
      <c r="BB179" s="283"/>
      <c r="BC179" s="276"/>
      <c r="BD179" s="283"/>
      <c r="BE179" s="276"/>
      <c r="BG179" s="283"/>
      <c r="BH179" s="276"/>
      <c r="BI179" s="283"/>
      <c r="BJ179" s="276"/>
      <c r="BK179" s="283"/>
      <c r="BL179" s="276"/>
      <c r="BM179" s="283"/>
      <c r="BN179" s="276"/>
      <c r="BO179" s="283"/>
      <c r="BP179" s="276"/>
      <c r="BQ179" s="283"/>
      <c r="BR179" s="283"/>
      <c r="BS179" s="276"/>
    </row>
    <row r="180" spans="12:71" ht="12" customHeight="1">
      <c r="L180" s="283"/>
      <c r="M180" s="276"/>
      <c r="N180" s="283"/>
      <c r="O180" s="276"/>
      <c r="P180" s="283"/>
      <c r="Q180" s="276"/>
      <c r="S180" s="283"/>
      <c r="T180" s="276"/>
      <c r="W180" s="283"/>
      <c r="X180" s="276"/>
      <c r="Y180" s="283"/>
      <c r="Z180" s="276"/>
      <c r="AA180" s="283"/>
      <c r="AB180" s="276"/>
      <c r="AC180" s="283"/>
      <c r="AE180" s="283"/>
      <c r="AF180" s="276"/>
      <c r="AI180" s="283"/>
      <c r="AJ180" s="276"/>
      <c r="AK180" s="283"/>
      <c r="AL180" s="276"/>
      <c r="AM180" s="283"/>
      <c r="AN180" s="276"/>
      <c r="AO180" s="283"/>
      <c r="AP180" s="276"/>
      <c r="AQ180" s="283"/>
      <c r="AR180" s="276"/>
      <c r="AT180" s="283"/>
      <c r="AU180" s="276"/>
      <c r="AV180" s="283"/>
      <c r="AW180" s="276"/>
      <c r="AX180" s="283"/>
      <c r="AY180" s="276"/>
      <c r="AZ180" s="283"/>
      <c r="BA180" s="276"/>
      <c r="BB180" s="283"/>
      <c r="BC180" s="276"/>
      <c r="BD180" s="283"/>
      <c r="BE180" s="276"/>
      <c r="BG180" s="283"/>
      <c r="BH180" s="276"/>
      <c r="BI180" s="283"/>
      <c r="BJ180" s="276"/>
      <c r="BK180" s="283"/>
      <c r="BL180" s="276"/>
      <c r="BM180" s="283"/>
      <c r="BN180" s="276"/>
      <c r="BO180" s="283"/>
      <c r="BP180" s="276"/>
      <c r="BQ180" s="283"/>
      <c r="BR180" s="283"/>
      <c r="BS180" s="276"/>
    </row>
    <row r="181" spans="12:71" ht="12" customHeight="1">
      <c r="L181" s="283"/>
      <c r="M181" s="276"/>
      <c r="N181" s="283"/>
      <c r="O181" s="276"/>
      <c r="P181" s="283"/>
      <c r="Q181" s="276"/>
      <c r="S181" s="283"/>
      <c r="T181" s="276"/>
      <c r="W181" s="283"/>
      <c r="X181" s="276"/>
      <c r="Y181" s="283"/>
      <c r="Z181" s="276"/>
      <c r="AA181" s="283"/>
      <c r="AB181" s="276"/>
      <c r="AC181" s="283"/>
      <c r="AE181" s="283"/>
      <c r="AF181" s="276"/>
      <c r="AI181" s="283"/>
      <c r="AJ181" s="276"/>
      <c r="AK181" s="283"/>
      <c r="AL181" s="276"/>
      <c r="AM181" s="283"/>
      <c r="AN181" s="276"/>
      <c r="AO181" s="283"/>
      <c r="AP181" s="276"/>
      <c r="AQ181" s="283"/>
      <c r="AR181" s="276"/>
      <c r="AT181" s="283"/>
      <c r="AU181" s="276"/>
      <c r="AV181" s="283"/>
      <c r="AW181" s="276"/>
      <c r="AX181" s="283"/>
      <c r="AY181" s="276"/>
      <c r="AZ181" s="283"/>
      <c r="BA181" s="276"/>
      <c r="BB181" s="283"/>
      <c r="BC181" s="276"/>
      <c r="BD181" s="283"/>
      <c r="BE181" s="276"/>
      <c r="BG181" s="283"/>
      <c r="BH181" s="276"/>
      <c r="BI181" s="283"/>
      <c r="BJ181" s="276"/>
      <c r="BK181" s="283"/>
      <c r="BL181" s="276"/>
      <c r="BM181" s="283"/>
      <c r="BN181" s="276"/>
      <c r="BO181" s="283"/>
      <c r="BP181" s="276"/>
      <c r="BQ181" s="283"/>
      <c r="BR181" s="283"/>
      <c r="BS181" s="276"/>
    </row>
    <row r="182" spans="12:71" ht="12" customHeight="1">
      <c r="L182" s="283"/>
      <c r="M182" s="276"/>
      <c r="N182" s="283"/>
      <c r="O182" s="276"/>
      <c r="P182" s="283"/>
      <c r="Q182" s="276"/>
      <c r="S182" s="283"/>
      <c r="T182" s="276"/>
      <c r="W182" s="283"/>
      <c r="X182" s="276"/>
      <c r="Y182" s="283"/>
      <c r="Z182" s="276"/>
      <c r="AA182" s="283"/>
      <c r="AB182" s="276"/>
      <c r="AC182" s="283"/>
      <c r="AE182" s="283"/>
      <c r="AF182" s="276"/>
      <c r="AI182" s="283"/>
      <c r="AJ182" s="276"/>
      <c r="AK182" s="283"/>
      <c r="AL182" s="276"/>
      <c r="AM182" s="283"/>
      <c r="AN182" s="276"/>
      <c r="AO182" s="283"/>
      <c r="AP182" s="276"/>
      <c r="AQ182" s="283"/>
      <c r="AR182" s="276"/>
      <c r="AT182" s="283"/>
      <c r="AU182" s="276"/>
      <c r="AV182" s="283"/>
      <c r="AW182" s="276"/>
      <c r="AX182" s="283"/>
      <c r="AY182" s="276"/>
      <c r="AZ182" s="283"/>
      <c r="BA182" s="276"/>
      <c r="BB182" s="283"/>
      <c r="BC182" s="276"/>
      <c r="BD182" s="283"/>
      <c r="BE182" s="276"/>
      <c r="BG182" s="283"/>
      <c r="BH182" s="276"/>
      <c r="BI182" s="283"/>
      <c r="BJ182" s="276"/>
      <c r="BK182" s="283"/>
      <c r="BL182" s="276"/>
      <c r="BM182" s="283"/>
      <c r="BN182" s="276"/>
      <c r="BO182" s="283"/>
      <c r="BP182" s="276"/>
      <c r="BQ182" s="283"/>
      <c r="BR182" s="283"/>
      <c r="BS182" s="276"/>
    </row>
    <row r="183" spans="12:71" ht="12" customHeight="1">
      <c r="L183" s="283"/>
      <c r="M183" s="276"/>
      <c r="N183" s="283"/>
      <c r="O183" s="276"/>
      <c r="P183" s="283"/>
      <c r="Q183" s="276"/>
      <c r="S183" s="283"/>
      <c r="T183" s="276"/>
      <c r="W183" s="283"/>
      <c r="X183" s="276"/>
      <c r="Y183" s="283"/>
      <c r="Z183" s="276"/>
      <c r="AA183" s="283"/>
      <c r="AB183" s="276"/>
      <c r="AC183" s="283"/>
      <c r="AE183" s="283"/>
      <c r="AF183" s="276"/>
      <c r="AI183" s="283"/>
      <c r="AJ183" s="276"/>
      <c r="AK183" s="283"/>
      <c r="AL183" s="276"/>
      <c r="AM183" s="283"/>
      <c r="AN183" s="276"/>
      <c r="AO183" s="283"/>
      <c r="AP183" s="276"/>
      <c r="AQ183" s="283"/>
      <c r="AR183" s="276"/>
      <c r="AT183" s="283"/>
      <c r="AU183" s="276"/>
      <c r="AV183" s="283"/>
      <c r="AW183" s="276"/>
      <c r="AX183" s="283"/>
      <c r="AY183" s="276"/>
      <c r="AZ183" s="283"/>
      <c r="BA183" s="276"/>
      <c r="BB183" s="283"/>
      <c r="BC183" s="276"/>
      <c r="BD183" s="283"/>
      <c r="BE183" s="276"/>
      <c r="BG183" s="283"/>
      <c r="BH183" s="276"/>
      <c r="BI183" s="283"/>
      <c r="BJ183" s="276"/>
      <c r="BK183" s="283"/>
      <c r="BL183" s="276"/>
      <c r="BM183" s="283"/>
      <c r="BN183" s="276"/>
      <c r="BO183" s="283"/>
      <c r="BP183" s="276"/>
      <c r="BQ183" s="283"/>
      <c r="BR183" s="283"/>
      <c r="BS183" s="276"/>
    </row>
    <row r="184" spans="12:71" ht="12" customHeight="1">
      <c r="L184" s="283"/>
      <c r="M184" s="276"/>
      <c r="N184" s="283"/>
      <c r="O184" s="276"/>
      <c r="P184" s="283"/>
      <c r="Q184" s="276"/>
      <c r="S184" s="283"/>
      <c r="T184" s="276"/>
      <c r="W184" s="283"/>
      <c r="X184" s="276"/>
      <c r="Y184" s="283"/>
      <c r="Z184" s="276"/>
      <c r="AA184" s="283"/>
      <c r="AB184" s="276"/>
      <c r="AC184" s="283"/>
      <c r="AE184" s="283"/>
      <c r="AF184" s="276"/>
      <c r="AI184" s="283"/>
      <c r="AJ184" s="276"/>
      <c r="AK184" s="283"/>
      <c r="AL184" s="276"/>
      <c r="AM184" s="283"/>
      <c r="AN184" s="276"/>
      <c r="AO184" s="283"/>
      <c r="AP184" s="276"/>
      <c r="AQ184" s="283"/>
      <c r="AR184" s="276"/>
      <c r="AT184" s="283"/>
      <c r="AU184" s="276"/>
      <c r="AV184" s="283"/>
      <c r="AW184" s="276"/>
      <c r="AX184" s="283"/>
      <c r="AY184" s="276"/>
      <c r="AZ184" s="283"/>
      <c r="BA184" s="276"/>
      <c r="BB184" s="283"/>
      <c r="BC184" s="276"/>
      <c r="BD184" s="283"/>
      <c r="BE184" s="276"/>
      <c r="BG184" s="283"/>
      <c r="BH184" s="276"/>
      <c r="BI184" s="283"/>
      <c r="BJ184" s="276"/>
      <c r="BK184" s="283"/>
      <c r="BL184" s="276"/>
      <c r="BM184" s="283"/>
      <c r="BN184" s="276"/>
      <c r="BO184" s="283"/>
      <c r="BP184" s="276"/>
      <c r="BQ184" s="283"/>
      <c r="BR184" s="283"/>
      <c r="BS184" s="276"/>
    </row>
    <row r="185" spans="12:71" ht="12" customHeight="1">
      <c r="L185" s="283"/>
      <c r="M185" s="276"/>
      <c r="N185" s="283"/>
      <c r="O185" s="276"/>
      <c r="P185" s="283"/>
      <c r="Q185" s="276"/>
      <c r="S185" s="283"/>
      <c r="T185" s="276"/>
      <c r="W185" s="283"/>
      <c r="X185" s="276"/>
      <c r="Y185" s="283"/>
      <c r="Z185" s="276"/>
      <c r="AA185" s="283"/>
      <c r="AB185" s="276"/>
      <c r="AC185" s="283"/>
      <c r="AE185" s="283"/>
      <c r="AF185" s="276"/>
      <c r="AI185" s="283"/>
      <c r="AJ185" s="276"/>
      <c r="AK185" s="283"/>
      <c r="AL185" s="276"/>
      <c r="AM185" s="283"/>
      <c r="AN185" s="276"/>
      <c r="AO185" s="283"/>
      <c r="AP185" s="276"/>
      <c r="AQ185" s="283"/>
      <c r="AR185" s="276"/>
      <c r="AT185" s="283"/>
      <c r="AU185" s="276"/>
      <c r="AV185" s="283"/>
      <c r="AW185" s="276"/>
      <c r="AX185" s="283"/>
      <c r="AY185" s="276"/>
      <c r="AZ185" s="283"/>
      <c r="BA185" s="276"/>
      <c r="BB185" s="283"/>
      <c r="BC185" s="276"/>
      <c r="BD185" s="283"/>
      <c r="BE185" s="276"/>
      <c r="BG185" s="283"/>
      <c r="BH185" s="276"/>
      <c r="BI185" s="283"/>
      <c r="BJ185" s="276"/>
      <c r="BK185" s="283"/>
      <c r="BL185" s="276"/>
      <c r="BM185" s="283"/>
      <c r="BN185" s="276"/>
      <c r="BO185" s="283"/>
      <c r="BP185" s="276"/>
      <c r="BQ185" s="283"/>
      <c r="BR185" s="283"/>
      <c r="BS185" s="276"/>
    </row>
    <row r="186" spans="12:71" ht="12" customHeight="1">
      <c r="L186" s="283"/>
      <c r="M186" s="276"/>
      <c r="N186" s="283"/>
      <c r="O186" s="276"/>
      <c r="P186" s="283"/>
      <c r="Q186" s="276"/>
      <c r="S186" s="283"/>
      <c r="T186" s="276"/>
      <c r="W186" s="283"/>
      <c r="X186" s="276"/>
      <c r="Y186" s="283"/>
      <c r="Z186" s="276"/>
      <c r="AA186" s="283"/>
      <c r="AB186" s="276"/>
      <c r="AC186" s="283"/>
      <c r="AE186" s="283"/>
      <c r="AF186" s="276"/>
      <c r="AI186" s="283"/>
      <c r="AJ186" s="276"/>
      <c r="AK186" s="283"/>
      <c r="AL186" s="276"/>
      <c r="AM186" s="283"/>
      <c r="AN186" s="276"/>
      <c r="AO186" s="283"/>
      <c r="AP186" s="276"/>
      <c r="AQ186" s="283"/>
      <c r="AR186" s="276"/>
      <c r="AT186" s="283"/>
      <c r="AU186" s="276"/>
      <c r="AV186" s="283"/>
      <c r="AW186" s="276"/>
      <c r="AX186" s="283"/>
      <c r="AY186" s="276"/>
      <c r="AZ186" s="283"/>
      <c r="BA186" s="276"/>
      <c r="BB186" s="283"/>
      <c r="BC186" s="276"/>
      <c r="BD186" s="283"/>
      <c r="BE186" s="276"/>
      <c r="BG186" s="283"/>
      <c r="BH186" s="276"/>
      <c r="BI186" s="283"/>
      <c r="BJ186" s="276"/>
      <c r="BK186" s="283"/>
      <c r="BL186" s="276"/>
      <c r="BM186" s="283"/>
      <c r="BN186" s="276"/>
      <c r="BO186" s="283"/>
      <c r="BP186" s="276"/>
      <c r="BQ186" s="283"/>
      <c r="BR186" s="283"/>
      <c r="BS186" s="276"/>
    </row>
    <row r="187" spans="12:71" ht="12" customHeight="1">
      <c r="L187" s="283"/>
      <c r="M187" s="276"/>
      <c r="N187" s="283"/>
      <c r="O187" s="276"/>
      <c r="P187" s="283"/>
      <c r="Q187" s="276"/>
      <c r="S187" s="283"/>
      <c r="T187" s="276"/>
      <c r="W187" s="283"/>
      <c r="X187" s="276"/>
      <c r="Y187" s="283"/>
      <c r="Z187" s="276"/>
      <c r="AA187" s="283"/>
      <c r="AB187" s="276"/>
      <c r="AC187" s="283"/>
      <c r="AE187" s="283"/>
      <c r="AF187" s="276"/>
      <c r="AI187" s="283"/>
      <c r="AJ187" s="276"/>
      <c r="AK187" s="283"/>
      <c r="AL187" s="276"/>
      <c r="AM187" s="283"/>
      <c r="AN187" s="276"/>
      <c r="AO187" s="283"/>
      <c r="AP187" s="276"/>
      <c r="AQ187" s="283"/>
      <c r="AR187" s="276"/>
      <c r="AT187" s="283"/>
      <c r="AU187" s="276"/>
      <c r="AV187" s="283"/>
      <c r="AW187" s="276"/>
      <c r="AX187" s="283"/>
      <c r="AY187" s="276"/>
      <c r="AZ187" s="283"/>
      <c r="BA187" s="276"/>
      <c r="BB187" s="283"/>
      <c r="BC187" s="276"/>
      <c r="BD187" s="283"/>
      <c r="BE187" s="276"/>
      <c r="BG187" s="283"/>
      <c r="BH187" s="276"/>
      <c r="BI187" s="283"/>
      <c r="BJ187" s="276"/>
      <c r="BK187" s="283"/>
      <c r="BL187" s="276"/>
      <c r="BM187" s="283"/>
      <c r="BN187" s="276"/>
      <c r="BO187" s="283"/>
      <c r="BP187" s="276"/>
      <c r="BQ187" s="283"/>
      <c r="BR187" s="283"/>
      <c r="BS187" s="276"/>
    </row>
    <row r="188" spans="12:71" ht="12" customHeight="1">
      <c r="L188" s="283"/>
      <c r="M188" s="276"/>
      <c r="N188" s="283"/>
      <c r="O188" s="276"/>
      <c r="P188" s="283"/>
      <c r="Q188" s="276"/>
      <c r="S188" s="283"/>
      <c r="T188" s="276"/>
      <c r="W188" s="283"/>
      <c r="X188" s="276"/>
      <c r="Y188" s="283"/>
      <c r="Z188" s="276"/>
      <c r="AA188" s="283"/>
      <c r="AB188" s="276"/>
      <c r="AC188" s="283"/>
      <c r="AE188" s="283"/>
      <c r="AF188" s="276"/>
      <c r="AI188" s="283"/>
      <c r="AJ188" s="276"/>
      <c r="AK188" s="283"/>
      <c r="AL188" s="276"/>
      <c r="AM188" s="283"/>
      <c r="AN188" s="276"/>
      <c r="AO188" s="283"/>
      <c r="AP188" s="276"/>
      <c r="AQ188" s="283"/>
      <c r="AR188" s="276"/>
      <c r="AT188" s="283"/>
      <c r="AU188" s="276"/>
      <c r="AV188" s="283"/>
      <c r="AW188" s="276"/>
      <c r="AX188" s="283"/>
      <c r="AY188" s="276"/>
      <c r="AZ188" s="283"/>
      <c r="BA188" s="276"/>
      <c r="BB188" s="283"/>
      <c r="BC188" s="276"/>
      <c r="BD188" s="283"/>
      <c r="BE188" s="276"/>
      <c r="BG188" s="283"/>
      <c r="BH188" s="276"/>
      <c r="BI188" s="283"/>
      <c r="BJ188" s="276"/>
      <c r="BK188" s="283"/>
      <c r="BL188" s="276"/>
      <c r="BM188" s="283"/>
      <c r="BN188" s="276"/>
      <c r="BO188" s="283"/>
      <c r="BP188" s="276"/>
      <c r="BQ188" s="283"/>
      <c r="BR188" s="283"/>
      <c r="BS188" s="276"/>
    </row>
    <row r="189" spans="12:71" ht="12" customHeight="1">
      <c r="L189" s="283"/>
      <c r="M189" s="276"/>
      <c r="N189" s="283"/>
      <c r="O189" s="276"/>
      <c r="P189" s="283"/>
      <c r="Q189" s="276"/>
      <c r="S189" s="283"/>
      <c r="T189" s="276"/>
      <c r="W189" s="283"/>
      <c r="X189" s="276"/>
      <c r="Y189" s="283"/>
      <c r="Z189" s="276"/>
      <c r="AA189" s="283"/>
      <c r="AB189" s="276"/>
      <c r="AC189" s="283"/>
      <c r="AE189" s="283"/>
      <c r="AF189" s="276"/>
      <c r="AI189" s="283"/>
      <c r="AJ189" s="276"/>
      <c r="AK189" s="283"/>
      <c r="AL189" s="276"/>
      <c r="AM189" s="283"/>
      <c r="AN189" s="276"/>
      <c r="AO189" s="283"/>
      <c r="AP189" s="276"/>
      <c r="AQ189" s="283"/>
      <c r="AR189" s="276"/>
      <c r="AT189" s="283"/>
      <c r="AU189" s="276"/>
      <c r="AV189" s="283"/>
      <c r="AW189" s="276"/>
      <c r="AX189" s="283"/>
      <c r="AY189" s="276"/>
      <c r="AZ189" s="283"/>
      <c r="BA189" s="276"/>
      <c r="BB189" s="283"/>
      <c r="BC189" s="276"/>
      <c r="BD189" s="283"/>
      <c r="BE189" s="276"/>
      <c r="BG189" s="283"/>
      <c r="BH189" s="276"/>
      <c r="BI189" s="283"/>
      <c r="BJ189" s="276"/>
      <c r="BK189" s="283"/>
      <c r="BL189" s="276"/>
      <c r="BM189" s="283"/>
      <c r="BN189" s="276"/>
      <c r="BO189" s="283"/>
      <c r="BP189" s="276"/>
      <c r="BQ189" s="283"/>
      <c r="BR189" s="283"/>
      <c r="BS189" s="276"/>
    </row>
    <row r="190" spans="12:71" ht="12" customHeight="1">
      <c r="L190" s="283"/>
      <c r="M190" s="276"/>
      <c r="N190" s="283"/>
      <c r="O190" s="276"/>
      <c r="P190" s="283"/>
      <c r="Q190" s="276"/>
      <c r="S190" s="283"/>
      <c r="T190" s="276"/>
      <c r="W190" s="283"/>
      <c r="X190" s="276"/>
      <c r="Y190" s="283"/>
      <c r="Z190" s="276"/>
      <c r="AA190" s="283"/>
      <c r="AB190" s="276"/>
      <c r="AC190" s="283"/>
      <c r="AE190" s="283"/>
      <c r="AF190" s="276"/>
      <c r="AI190" s="283"/>
      <c r="AJ190" s="276"/>
      <c r="AK190" s="283"/>
      <c r="AL190" s="276"/>
      <c r="AM190" s="283"/>
      <c r="AN190" s="276"/>
      <c r="AO190" s="283"/>
      <c r="AP190" s="276"/>
      <c r="AQ190" s="283"/>
      <c r="AR190" s="276"/>
      <c r="AT190" s="283"/>
      <c r="AU190" s="276"/>
      <c r="AV190" s="283"/>
      <c r="AW190" s="276"/>
      <c r="AX190" s="283"/>
      <c r="AY190" s="276"/>
      <c r="AZ190" s="283"/>
      <c r="BA190" s="276"/>
      <c r="BB190" s="283"/>
      <c r="BC190" s="276"/>
      <c r="BD190" s="283"/>
      <c r="BE190" s="276"/>
      <c r="BG190" s="283"/>
      <c r="BH190" s="276"/>
      <c r="BI190" s="283"/>
      <c r="BJ190" s="276"/>
      <c r="BK190" s="283"/>
      <c r="BL190" s="276"/>
      <c r="BM190" s="283"/>
      <c r="BN190" s="276"/>
      <c r="BO190" s="283"/>
      <c r="BP190" s="276"/>
      <c r="BQ190" s="283"/>
      <c r="BR190" s="283"/>
      <c r="BS190" s="276"/>
    </row>
    <row r="191" spans="12:71" ht="12" customHeight="1">
      <c r="L191" s="283"/>
      <c r="M191" s="276"/>
      <c r="N191" s="283"/>
      <c r="O191" s="276"/>
      <c r="P191" s="283"/>
      <c r="Q191" s="276"/>
      <c r="S191" s="283"/>
      <c r="T191" s="276"/>
      <c r="W191" s="283"/>
      <c r="X191" s="276"/>
      <c r="Y191" s="283"/>
      <c r="Z191" s="276"/>
      <c r="AA191" s="283"/>
      <c r="AB191" s="276"/>
      <c r="AC191" s="283"/>
      <c r="AE191" s="283"/>
      <c r="AF191" s="276"/>
      <c r="AI191" s="283"/>
      <c r="AJ191" s="276"/>
      <c r="AK191" s="283"/>
      <c r="AL191" s="276"/>
      <c r="AM191" s="283"/>
      <c r="AN191" s="276"/>
      <c r="AO191" s="283"/>
      <c r="AP191" s="276"/>
      <c r="AQ191" s="283"/>
      <c r="AR191" s="276"/>
      <c r="AT191" s="283"/>
      <c r="AU191" s="276"/>
      <c r="AV191" s="283"/>
      <c r="AW191" s="276"/>
      <c r="AX191" s="283"/>
      <c r="AY191" s="276"/>
      <c r="AZ191" s="283"/>
      <c r="BA191" s="276"/>
      <c r="BB191" s="283"/>
      <c r="BC191" s="276"/>
      <c r="BD191" s="283"/>
      <c r="BE191" s="276"/>
      <c r="BG191" s="283"/>
      <c r="BH191" s="276"/>
      <c r="BI191" s="283"/>
      <c r="BJ191" s="276"/>
      <c r="BK191" s="283"/>
      <c r="BL191" s="276"/>
      <c r="BM191" s="283"/>
      <c r="BN191" s="276"/>
      <c r="BO191" s="283"/>
      <c r="BP191" s="276"/>
      <c r="BQ191" s="283"/>
      <c r="BR191" s="283"/>
      <c r="BS191" s="276"/>
    </row>
    <row r="192" spans="12:71" ht="12" customHeight="1">
      <c r="L192" s="283"/>
      <c r="M192" s="276"/>
      <c r="N192" s="283"/>
      <c r="O192" s="276"/>
      <c r="P192" s="283"/>
      <c r="Q192" s="276"/>
      <c r="S192" s="283"/>
      <c r="T192" s="276"/>
      <c r="W192" s="283"/>
      <c r="X192" s="276"/>
      <c r="Y192" s="283"/>
      <c r="Z192" s="276"/>
      <c r="AA192" s="283"/>
      <c r="AB192" s="276"/>
      <c r="AC192" s="283"/>
      <c r="AE192" s="283"/>
      <c r="AF192" s="276"/>
      <c r="AI192" s="283"/>
      <c r="AJ192" s="276"/>
      <c r="AK192" s="283"/>
      <c r="AL192" s="276"/>
      <c r="AM192" s="283"/>
      <c r="AN192" s="276"/>
      <c r="AO192" s="283"/>
      <c r="AP192" s="276"/>
      <c r="AQ192" s="283"/>
      <c r="AR192" s="276"/>
      <c r="AT192" s="283"/>
      <c r="AU192" s="276"/>
      <c r="AV192" s="283"/>
      <c r="AW192" s="276"/>
      <c r="AX192" s="283"/>
      <c r="AY192" s="276"/>
      <c r="AZ192" s="283"/>
      <c r="BA192" s="276"/>
      <c r="BB192" s="283"/>
      <c r="BC192" s="276"/>
      <c r="BD192" s="283"/>
      <c r="BE192" s="276"/>
      <c r="BG192" s="283"/>
      <c r="BH192" s="276"/>
      <c r="BI192" s="283"/>
      <c r="BJ192" s="276"/>
      <c r="BK192" s="283"/>
      <c r="BL192" s="276"/>
      <c r="BM192" s="283"/>
      <c r="BN192" s="276"/>
      <c r="BO192" s="283"/>
      <c r="BP192" s="276"/>
      <c r="BQ192" s="283"/>
      <c r="BR192" s="283"/>
      <c r="BS192" s="276"/>
    </row>
    <row r="193" spans="12:71" ht="12" customHeight="1">
      <c r="L193" s="283"/>
      <c r="M193" s="276"/>
      <c r="N193" s="283"/>
      <c r="O193" s="276"/>
      <c r="P193" s="283"/>
      <c r="Q193" s="276"/>
      <c r="S193" s="283"/>
      <c r="T193" s="276"/>
      <c r="W193" s="283"/>
      <c r="X193" s="276"/>
      <c r="Y193" s="283"/>
      <c r="Z193" s="276"/>
      <c r="AA193" s="283"/>
      <c r="AB193" s="276"/>
      <c r="AC193" s="283"/>
      <c r="AE193" s="283"/>
      <c r="AF193" s="276"/>
      <c r="AI193" s="283"/>
      <c r="AJ193" s="276"/>
      <c r="AK193" s="283"/>
      <c r="AL193" s="276"/>
      <c r="AM193" s="283"/>
      <c r="AN193" s="276"/>
      <c r="AO193" s="283"/>
      <c r="AP193" s="276"/>
      <c r="AQ193" s="283"/>
      <c r="AR193" s="276"/>
      <c r="AT193" s="283"/>
      <c r="AU193" s="276"/>
      <c r="AV193" s="283"/>
      <c r="AW193" s="276"/>
      <c r="AX193" s="283"/>
      <c r="AY193" s="276"/>
      <c r="AZ193" s="283"/>
      <c r="BA193" s="276"/>
      <c r="BB193" s="283"/>
      <c r="BC193" s="276"/>
      <c r="BD193" s="283"/>
      <c r="BE193" s="276"/>
      <c r="BG193" s="283"/>
      <c r="BH193" s="276"/>
      <c r="BI193" s="283"/>
      <c r="BJ193" s="276"/>
      <c r="BK193" s="283"/>
      <c r="BL193" s="276"/>
      <c r="BM193" s="283"/>
      <c r="BN193" s="276"/>
      <c r="BO193" s="283"/>
      <c r="BP193" s="276"/>
      <c r="BQ193" s="283"/>
      <c r="BR193" s="283"/>
      <c r="BS193" s="276"/>
    </row>
    <row r="194" spans="12:71" ht="12" customHeight="1">
      <c r="L194" s="283"/>
      <c r="M194" s="276"/>
      <c r="N194" s="283"/>
      <c r="O194" s="276"/>
      <c r="P194" s="283"/>
      <c r="Q194" s="276"/>
      <c r="S194" s="283"/>
      <c r="T194" s="276"/>
      <c r="W194" s="283"/>
      <c r="X194" s="276"/>
      <c r="Y194" s="283"/>
      <c r="Z194" s="276"/>
      <c r="AA194" s="283"/>
      <c r="AB194" s="276"/>
      <c r="AC194" s="283"/>
      <c r="AE194" s="283"/>
      <c r="AF194" s="276"/>
      <c r="AI194" s="283"/>
      <c r="AJ194" s="276"/>
      <c r="AK194" s="283"/>
      <c r="AL194" s="276"/>
      <c r="AM194" s="283"/>
      <c r="AN194" s="276"/>
      <c r="AO194" s="283"/>
      <c r="AP194" s="276"/>
      <c r="AQ194" s="283"/>
      <c r="AR194" s="276"/>
      <c r="AT194" s="283"/>
      <c r="AU194" s="276"/>
      <c r="AV194" s="283"/>
      <c r="AW194" s="276"/>
      <c r="AX194" s="283"/>
      <c r="AY194" s="276"/>
      <c r="AZ194" s="283"/>
      <c r="BA194" s="276"/>
      <c r="BB194" s="283"/>
      <c r="BC194" s="276"/>
      <c r="BD194" s="283"/>
      <c r="BE194" s="276"/>
      <c r="BG194" s="283"/>
      <c r="BH194" s="276"/>
      <c r="BI194" s="283"/>
      <c r="BJ194" s="276"/>
      <c r="BK194" s="283"/>
      <c r="BL194" s="276"/>
      <c r="BM194" s="283"/>
      <c r="BN194" s="276"/>
      <c r="BO194" s="283"/>
      <c r="BP194" s="276"/>
      <c r="BQ194" s="283"/>
      <c r="BR194" s="283"/>
      <c r="BS194" s="276"/>
    </row>
    <row r="195" spans="12:71" ht="12" customHeight="1">
      <c r="L195" s="283"/>
      <c r="M195" s="276"/>
      <c r="N195" s="283"/>
      <c r="O195" s="276"/>
      <c r="P195" s="283"/>
      <c r="Q195" s="276"/>
      <c r="S195" s="283"/>
      <c r="T195" s="276"/>
      <c r="W195" s="283"/>
      <c r="X195" s="276"/>
      <c r="Y195" s="283"/>
      <c r="Z195" s="276"/>
      <c r="AA195" s="283"/>
      <c r="AB195" s="276"/>
      <c r="AC195" s="283"/>
      <c r="AE195" s="283"/>
      <c r="AF195" s="276"/>
      <c r="AI195" s="283"/>
      <c r="AJ195" s="276"/>
      <c r="AK195" s="283"/>
      <c r="AL195" s="276"/>
      <c r="AM195" s="283"/>
      <c r="AN195" s="276"/>
      <c r="AO195" s="283"/>
      <c r="AP195" s="276"/>
      <c r="AQ195" s="283"/>
      <c r="AR195" s="276"/>
      <c r="AT195" s="283"/>
      <c r="AU195" s="276"/>
      <c r="AV195" s="283"/>
      <c r="AW195" s="276"/>
      <c r="AX195" s="283"/>
      <c r="AY195" s="276"/>
      <c r="AZ195" s="283"/>
      <c r="BA195" s="276"/>
      <c r="BB195" s="283"/>
      <c r="BC195" s="276"/>
      <c r="BD195" s="283"/>
      <c r="BE195" s="276"/>
      <c r="BG195" s="283"/>
      <c r="BH195" s="276"/>
      <c r="BI195" s="283"/>
      <c r="BJ195" s="276"/>
      <c r="BK195" s="283"/>
      <c r="BL195" s="276"/>
      <c r="BM195" s="283"/>
      <c r="BN195" s="276"/>
      <c r="BO195" s="283"/>
      <c r="BP195" s="276"/>
      <c r="BQ195" s="283"/>
      <c r="BR195" s="283"/>
      <c r="BS195" s="276"/>
    </row>
    <row r="196" spans="12:71" ht="12" customHeight="1">
      <c r="L196" s="283"/>
      <c r="M196" s="276"/>
      <c r="N196" s="283"/>
      <c r="O196" s="276"/>
      <c r="P196" s="283"/>
      <c r="Q196" s="276"/>
      <c r="S196" s="283"/>
      <c r="T196" s="276"/>
      <c r="W196" s="283"/>
      <c r="X196" s="276"/>
      <c r="Y196" s="283"/>
      <c r="Z196" s="276"/>
      <c r="AA196" s="283"/>
      <c r="AB196" s="276"/>
      <c r="AC196" s="283"/>
      <c r="AE196" s="283"/>
      <c r="AF196" s="276"/>
      <c r="AI196" s="283"/>
      <c r="AJ196" s="276"/>
      <c r="AK196" s="283"/>
      <c r="AL196" s="276"/>
      <c r="AM196" s="283"/>
      <c r="AN196" s="276"/>
      <c r="AO196" s="283"/>
      <c r="AP196" s="276"/>
      <c r="AQ196" s="283"/>
      <c r="AR196" s="276"/>
      <c r="AT196" s="283"/>
      <c r="AU196" s="276"/>
      <c r="AV196" s="283"/>
      <c r="AW196" s="276"/>
      <c r="AX196" s="283"/>
      <c r="AY196" s="276"/>
      <c r="AZ196" s="283"/>
      <c r="BA196" s="276"/>
      <c r="BB196" s="283"/>
      <c r="BC196" s="276"/>
      <c r="BD196" s="283"/>
      <c r="BE196" s="276"/>
      <c r="BG196" s="283"/>
      <c r="BH196" s="276"/>
      <c r="BI196" s="283"/>
      <c r="BJ196" s="276"/>
      <c r="BK196" s="283"/>
      <c r="BL196" s="276"/>
      <c r="BM196" s="283"/>
      <c r="BN196" s="276"/>
      <c r="BO196" s="283"/>
      <c r="BP196" s="276"/>
      <c r="BQ196" s="283"/>
      <c r="BR196" s="283"/>
      <c r="BS196" s="276"/>
    </row>
    <row r="197" spans="12:71" ht="12" customHeight="1">
      <c r="L197" s="283"/>
      <c r="M197" s="276"/>
      <c r="N197" s="283"/>
      <c r="O197" s="276"/>
      <c r="P197" s="283"/>
      <c r="Q197" s="276"/>
      <c r="S197" s="283"/>
      <c r="T197" s="276"/>
      <c r="W197" s="283"/>
      <c r="X197" s="276"/>
      <c r="Y197" s="283"/>
      <c r="Z197" s="276"/>
      <c r="AA197" s="283"/>
      <c r="AB197" s="276"/>
      <c r="AC197" s="283"/>
      <c r="AE197" s="283"/>
      <c r="AF197" s="276"/>
      <c r="AI197" s="283"/>
      <c r="AJ197" s="276"/>
      <c r="AK197" s="283"/>
      <c r="AL197" s="276"/>
      <c r="AM197" s="283"/>
      <c r="AN197" s="276"/>
      <c r="AO197" s="283"/>
      <c r="AP197" s="276"/>
      <c r="AQ197" s="283"/>
      <c r="AR197" s="276"/>
      <c r="AT197" s="283"/>
      <c r="AU197" s="276"/>
      <c r="AV197" s="283"/>
      <c r="AW197" s="276"/>
      <c r="AX197" s="283"/>
      <c r="AY197" s="276"/>
      <c r="AZ197" s="283"/>
      <c r="BA197" s="276"/>
      <c r="BB197" s="283"/>
      <c r="BC197" s="276"/>
      <c r="BD197" s="283"/>
      <c r="BE197" s="276"/>
      <c r="BG197" s="283"/>
      <c r="BH197" s="276"/>
      <c r="BI197" s="283"/>
      <c r="BJ197" s="276"/>
      <c r="BK197" s="283"/>
      <c r="BL197" s="276"/>
      <c r="BM197" s="283"/>
      <c r="BN197" s="276"/>
      <c r="BO197" s="283"/>
      <c r="BP197" s="276"/>
      <c r="BQ197" s="283"/>
      <c r="BR197" s="283"/>
      <c r="BS197" s="276"/>
    </row>
    <row r="198" spans="12:71" ht="12" customHeight="1">
      <c r="L198" s="283"/>
      <c r="M198" s="276"/>
      <c r="N198" s="283"/>
      <c r="O198" s="276"/>
      <c r="P198" s="283"/>
      <c r="Q198" s="276"/>
      <c r="S198" s="283"/>
      <c r="T198" s="276"/>
      <c r="W198" s="283"/>
      <c r="X198" s="276"/>
      <c r="Y198" s="283"/>
      <c r="Z198" s="276"/>
      <c r="AA198" s="283"/>
      <c r="AB198" s="276"/>
      <c r="AC198" s="283"/>
      <c r="AE198" s="283"/>
      <c r="AF198" s="276"/>
      <c r="AI198" s="283"/>
      <c r="AJ198" s="276"/>
      <c r="AK198" s="283"/>
      <c r="AL198" s="276"/>
      <c r="AM198" s="283"/>
      <c r="AN198" s="276"/>
      <c r="AO198" s="283"/>
      <c r="AP198" s="276"/>
      <c r="AQ198" s="283"/>
      <c r="AR198" s="276"/>
      <c r="AT198" s="283"/>
      <c r="AU198" s="276"/>
      <c r="AV198" s="283"/>
      <c r="AW198" s="276"/>
      <c r="AX198" s="283"/>
      <c r="AY198" s="276"/>
      <c r="AZ198" s="283"/>
      <c r="BA198" s="276"/>
      <c r="BB198" s="283"/>
      <c r="BC198" s="276"/>
      <c r="BD198" s="283"/>
      <c r="BE198" s="276"/>
      <c r="BG198" s="283"/>
      <c r="BH198" s="276"/>
      <c r="BI198" s="283"/>
      <c r="BJ198" s="276"/>
      <c r="BK198" s="283"/>
      <c r="BL198" s="276"/>
      <c r="BM198" s="283"/>
      <c r="BN198" s="276"/>
      <c r="BO198" s="283"/>
      <c r="BP198" s="276"/>
      <c r="BQ198" s="283"/>
      <c r="BR198" s="283"/>
      <c r="BS198" s="276"/>
    </row>
    <row r="199" spans="12:71" ht="12" customHeight="1">
      <c r="L199" s="283"/>
      <c r="M199" s="276"/>
      <c r="N199" s="283"/>
      <c r="O199" s="276"/>
      <c r="P199" s="283"/>
      <c r="Q199" s="276"/>
      <c r="S199" s="283"/>
      <c r="T199" s="276"/>
      <c r="W199" s="283"/>
      <c r="X199" s="276"/>
      <c r="Y199" s="283"/>
      <c r="Z199" s="276"/>
      <c r="AA199" s="283"/>
      <c r="AB199" s="276"/>
      <c r="AC199" s="283"/>
      <c r="AE199" s="283"/>
      <c r="AF199" s="276"/>
      <c r="AI199" s="283"/>
      <c r="AJ199" s="276"/>
      <c r="AK199" s="283"/>
      <c r="AL199" s="276"/>
      <c r="AM199" s="283"/>
      <c r="AN199" s="276"/>
      <c r="AO199" s="283"/>
      <c r="AP199" s="276"/>
      <c r="AQ199" s="283"/>
      <c r="AR199" s="276"/>
      <c r="AT199" s="283"/>
      <c r="AU199" s="276"/>
      <c r="AV199" s="283"/>
      <c r="AW199" s="276"/>
      <c r="AX199" s="283"/>
      <c r="AY199" s="276"/>
      <c r="AZ199" s="283"/>
      <c r="BA199" s="276"/>
      <c r="BB199" s="283"/>
      <c r="BC199" s="276"/>
      <c r="BD199" s="283"/>
      <c r="BE199" s="276"/>
      <c r="BG199" s="283"/>
      <c r="BH199" s="276"/>
      <c r="BI199" s="283"/>
      <c r="BJ199" s="276"/>
      <c r="BK199" s="283"/>
      <c r="BL199" s="276"/>
      <c r="BM199" s="283"/>
      <c r="BN199" s="276"/>
      <c r="BO199" s="283"/>
      <c r="BP199" s="276"/>
      <c r="BQ199" s="283"/>
      <c r="BR199" s="283"/>
      <c r="BS199" s="276"/>
    </row>
    <row r="200" spans="12:71" ht="12" customHeight="1">
      <c r="L200" s="283"/>
      <c r="M200" s="276"/>
      <c r="N200" s="283"/>
      <c r="O200" s="276"/>
      <c r="P200" s="283"/>
      <c r="Q200" s="276"/>
      <c r="S200" s="283"/>
      <c r="T200" s="276"/>
      <c r="W200" s="283"/>
      <c r="X200" s="276"/>
      <c r="Y200" s="283"/>
      <c r="Z200" s="276"/>
      <c r="AA200" s="283"/>
      <c r="AB200" s="276"/>
      <c r="AC200" s="283"/>
      <c r="AE200" s="283"/>
      <c r="AF200" s="276"/>
      <c r="AI200" s="283"/>
      <c r="AJ200" s="276"/>
      <c r="AK200" s="283"/>
      <c r="AL200" s="276"/>
      <c r="AM200" s="283"/>
      <c r="AN200" s="276"/>
      <c r="AO200" s="283"/>
      <c r="AP200" s="276"/>
      <c r="AQ200" s="283"/>
      <c r="AR200" s="276"/>
      <c r="AT200" s="283"/>
      <c r="AU200" s="276"/>
      <c r="AV200" s="283"/>
      <c r="AW200" s="276"/>
      <c r="AX200" s="283"/>
      <c r="AY200" s="276"/>
      <c r="AZ200" s="283"/>
      <c r="BA200" s="276"/>
      <c r="BB200" s="283"/>
      <c r="BC200" s="276"/>
      <c r="BD200" s="283"/>
      <c r="BE200" s="276"/>
      <c r="BG200" s="283"/>
      <c r="BH200" s="276"/>
      <c r="BI200" s="283"/>
      <c r="BJ200" s="276"/>
      <c r="BK200" s="283"/>
      <c r="BL200" s="276"/>
      <c r="BM200" s="283"/>
      <c r="BN200" s="276"/>
      <c r="BO200" s="283"/>
      <c r="BP200" s="276"/>
      <c r="BQ200" s="283"/>
      <c r="BR200" s="283"/>
      <c r="BS200" s="276"/>
    </row>
    <row r="201" spans="12:71" ht="12" customHeight="1">
      <c r="L201" s="283"/>
      <c r="M201" s="276"/>
      <c r="N201" s="283"/>
      <c r="O201" s="276"/>
      <c r="P201" s="283"/>
      <c r="Q201" s="276"/>
      <c r="S201" s="283"/>
      <c r="T201" s="276"/>
      <c r="W201" s="283"/>
      <c r="X201" s="276"/>
      <c r="Y201" s="283"/>
      <c r="Z201" s="276"/>
      <c r="AA201" s="283"/>
      <c r="AB201" s="276"/>
      <c r="AC201" s="283"/>
      <c r="AE201" s="283"/>
      <c r="AF201" s="276"/>
      <c r="AI201" s="283"/>
      <c r="AJ201" s="276"/>
      <c r="AK201" s="283"/>
      <c r="AL201" s="276"/>
      <c r="AM201" s="283"/>
      <c r="AN201" s="276"/>
      <c r="AO201" s="283"/>
      <c r="AP201" s="276"/>
      <c r="AQ201" s="283"/>
      <c r="AR201" s="276"/>
      <c r="AT201" s="283"/>
      <c r="AU201" s="276"/>
      <c r="AV201" s="283"/>
      <c r="AW201" s="276"/>
      <c r="AX201" s="283"/>
      <c r="AY201" s="276"/>
      <c r="AZ201" s="283"/>
      <c r="BA201" s="276"/>
      <c r="BB201" s="283"/>
      <c r="BC201" s="276"/>
      <c r="BD201" s="283"/>
      <c r="BE201" s="276"/>
      <c r="BG201" s="283"/>
      <c r="BH201" s="276"/>
      <c r="BI201" s="283"/>
      <c r="BJ201" s="276"/>
      <c r="BK201" s="283"/>
      <c r="BL201" s="276"/>
      <c r="BM201" s="283"/>
      <c r="BN201" s="276"/>
      <c r="BO201" s="283"/>
      <c r="BP201" s="276"/>
      <c r="BQ201" s="283"/>
      <c r="BR201" s="283"/>
      <c r="BS201" s="276"/>
    </row>
    <row r="202" spans="12:71" ht="12" customHeight="1">
      <c r="L202" s="283"/>
      <c r="M202" s="276"/>
      <c r="N202" s="283"/>
      <c r="O202" s="276"/>
      <c r="P202" s="283"/>
      <c r="Q202" s="276"/>
      <c r="S202" s="283"/>
      <c r="T202" s="276"/>
      <c r="W202" s="283"/>
      <c r="X202" s="276"/>
      <c r="Y202" s="283"/>
      <c r="Z202" s="276"/>
      <c r="AA202" s="283"/>
      <c r="AB202" s="276"/>
      <c r="AC202" s="283"/>
      <c r="AE202" s="283"/>
      <c r="AF202" s="276"/>
      <c r="AI202" s="283"/>
      <c r="AJ202" s="276"/>
      <c r="AK202" s="283"/>
      <c r="AL202" s="276"/>
      <c r="AM202" s="283"/>
      <c r="AN202" s="276"/>
      <c r="AO202" s="283"/>
      <c r="AP202" s="276"/>
      <c r="AQ202" s="283"/>
      <c r="AR202" s="276"/>
      <c r="AT202" s="283"/>
      <c r="AU202" s="276"/>
      <c r="AV202" s="283"/>
      <c r="AW202" s="276"/>
      <c r="AX202" s="283"/>
      <c r="AY202" s="276"/>
      <c r="AZ202" s="283"/>
      <c r="BA202" s="276"/>
      <c r="BB202" s="283"/>
      <c r="BC202" s="276"/>
      <c r="BD202" s="283"/>
      <c r="BE202" s="276"/>
      <c r="BG202" s="283"/>
      <c r="BH202" s="276"/>
      <c r="BI202" s="283"/>
      <c r="BJ202" s="276"/>
      <c r="BK202" s="283"/>
      <c r="BL202" s="276"/>
      <c r="BM202" s="283"/>
      <c r="BN202" s="276"/>
      <c r="BO202" s="283"/>
      <c r="BP202" s="276"/>
      <c r="BQ202" s="283"/>
      <c r="BR202" s="283"/>
      <c r="BS202" s="276"/>
    </row>
    <row r="203" spans="12:71" ht="12" customHeight="1">
      <c r="L203" s="283"/>
      <c r="M203" s="276"/>
      <c r="N203" s="283"/>
      <c r="O203" s="276"/>
      <c r="P203" s="283"/>
      <c r="Q203" s="276"/>
      <c r="S203" s="283"/>
      <c r="T203" s="276"/>
      <c r="W203" s="283"/>
      <c r="X203" s="276"/>
      <c r="Y203" s="283"/>
      <c r="Z203" s="276"/>
      <c r="AA203" s="283"/>
      <c r="AB203" s="276"/>
      <c r="AC203" s="283"/>
      <c r="AE203" s="283"/>
      <c r="AF203" s="276"/>
      <c r="AI203" s="283"/>
      <c r="AJ203" s="276"/>
      <c r="AK203" s="283"/>
      <c r="AL203" s="276"/>
      <c r="AM203" s="283"/>
      <c r="AN203" s="276"/>
      <c r="AO203" s="283"/>
      <c r="AP203" s="276"/>
      <c r="AQ203" s="283"/>
      <c r="AR203" s="276"/>
      <c r="AT203" s="283"/>
      <c r="AU203" s="276"/>
      <c r="AV203" s="283"/>
      <c r="AW203" s="276"/>
      <c r="AX203" s="283"/>
      <c r="AY203" s="276"/>
      <c r="AZ203" s="283"/>
      <c r="BA203" s="276"/>
      <c r="BB203" s="283"/>
      <c r="BC203" s="276"/>
      <c r="BD203" s="283"/>
      <c r="BE203" s="276"/>
      <c r="BG203" s="283"/>
      <c r="BH203" s="276"/>
      <c r="BI203" s="283"/>
      <c r="BJ203" s="276"/>
      <c r="BK203" s="283"/>
      <c r="BL203" s="276"/>
      <c r="BM203" s="283"/>
      <c r="BN203" s="276"/>
      <c r="BO203" s="283"/>
      <c r="BP203" s="276"/>
      <c r="BQ203" s="283"/>
      <c r="BR203" s="283"/>
      <c r="BS203" s="276"/>
    </row>
    <row r="204" spans="12:71" ht="12" customHeight="1">
      <c r="L204" s="283"/>
      <c r="M204" s="276"/>
      <c r="N204" s="283"/>
      <c r="O204" s="276"/>
      <c r="P204" s="283"/>
      <c r="Q204" s="276"/>
      <c r="S204" s="283"/>
      <c r="T204" s="276"/>
      <c r="W204" s="283"/>
      <c r="X204" s="276"/>
      <c r="Y204" s="283"/>
      <c r="Z204" s="276"/>
      <c r="AA204" s="283"/>
      <c r="AB204" s="276"/>
      <c r="AC204" s="283"/>
      <c r="AE204" s="283"/>
      <c r="AF204" s="276"/>
      <c r="AI204" s="283"/>
      <c r="AJ204" s="276"/>
      <c r="AK204" s="283"/>
      <c r="AL204" s="276"/>
      <c r="AM204" s="283"/>
      <c r="AN204" s="276"/>
      <c r="AO204" s="283"/>
      <c r="AP204" s="276"/>
      <c r="AQ204" s="283"/>
      <c r="AR204" s="276"/>
      <c r="AT204" s="283"/>
      <c r="AU204" s="276"/>
      <c r="AV204" s="283"/>
      <c r="AW204" s="276"/>
      <c r="AX204" s="283"/>
      <c r="AY204" s="276"/>
      <c r="AZ204" s="283"/>
      <c r="BA204" s="276"/>
      <c r="BB204" s="283"/>
      <c r="BC204" s="276"/>
      <c r="BD204" s="283"/>
      <c r="BE204" s="276"/>
      <c r="BG204" s="283"/>
      <c r="BH204" s="276"/>
      <c r="BI204" s="283"/>
      <c r="BJ204" s="276"/>
      <c r="BK204" s="283"/>
      <c r="BL204" s="276"/>
      <c r="BM204" s="283"/>
      <c r="BN204" s="276"/>
      <c r="BO204" s="283"/>
      <c r="BP204" s="276"/>
      <c r="BQ204" s="283"/>
      <c r="BR204" s="283"/>
      <c r="BS204" s="276"/>
    </row>
    <row r="205" spans="12:71" ht="12" customHeight="1">
      <c r="L205" s="283"/>
      <c r="M205" s="276"/>
      <c r="N205" s="283"/>
      <c r="O205" s="276"/>
      <c r="P205" s="283"/>
      <c r="Q205" s="276"/>
      <c r="S205" s="283"/>
      <c r="T205" s="276"/>
      <c r="W205" s="283"/>
      <c r="X205" s="276"/>
      <c r="Y205" s="283"/>
      <c r="Z205" s="276"/>
      <c r="AA205" s="283"/>
      <c r="AB205" s="276"/>
      <c r="AC205" s="283"/>
      <c r="AE205" s="283"/>
      <c r="AF205" s="276"/>
      <c r="AI205" s="283"/>
      <c r="AJ205" s="276"/>
      <c r="AK205" s="283"/>
      <c r="AL205" s="276"/>
      <c r="AM205" s="283"/>
      <c r="AN205" s="276"/>
      <c r="AO205" s="283"/>
      <c r="AP205" s="276"/>
      <c r="AQ205" s="283"/>
      <c r="AR205" s="276"/>
      <c r="AT205" s="283"/>
      <c r="AU205" s="276"/>
      <c r="AV205" s="283"/>
      <c r="AW205" s="276"/>
      <c r="AX205" s="283"/>
      <c r="AY205" s="276"/>
      <c r="AZ205" s="283"/>
      <c r="BA205" s="276"/>
      <c r="BB205" s="283"/>
      <c r="BC205" s="276"/>
      <c r="BD205" s="283"/>
      <c r="BE205" s="276"/>
      <c r="BG205" s="283"/>
      <c r="BH205" s="276"/>
      <c r="BI205" s="283"/>
      <c r="BJ205" s="276"/>
      <c r="BK205" s="283"/>
      <c r="BL205" s="276"/>
      <c r="BM205" s="283"/>
      <c r="BN205" s="276"/>
      <c r="BO205" s="283"/>
      <c r="BP205" s="276"/>
      <c r="BQ205" s="283"/>
      <c r="BR205" s="283"/>
      <c r="BS205" s="276"/>
    </row>
    <row r="206" spans="12:71" ht="12" customHeight="1">
      <c r="L206" s="283"/>
      <c r="M206" s="276"/>
      <c r="N206" s="283"/>
      <c r="O206" s="276"/>
      <c r="P206" s="283"/>
      <c r="Q206" s="276"/>
      <c r="S206" s="283"/>
      <c r="T206" s="276"/>
      <c r="W206" s="283"/>
      <c r="X206" s="276"/>
      <c r="Y206" s="283"/>
      <c r="Z206" s="276"/>
      <c r="AA206" s="283"/>
      <c r="AB206" s="276"/>
      <c r="AC206" s="283"/>
      <c r="AE206" s="283"/>
      <c r="AF206" s="276"/>
      <c r="AI206" s="283"/>
      <c r="AJ206" s="276"/>
      <c r="AK206" s="283"/>
      <c r="AL206" s="276"/>
      <c r="AM206" s="283"/>
      <c r="AN206" s="276"/>
      <c r="AO206" s="283"/>
      <c r="AP206" s="276"/>
      <c r="AQ206" s="283"/>
      <c r="AR206" s="276"/>
      <c r="AT206" s="283"/>
      <c r="AU206" s="276"/>
      <c r="AV206" s="283"/>
      <c r="AW206" s="276"/>
      <c r="AX206" s="283"/>
      <c r="AY206" s="276"/>
      <c r="AZ206" s="283"/>
      <c r="BA206" s="276"/>
      <c r="BB206" s="283"/>
      <c r="BC206" s="276"/>
      <c r="BD206" s="283"/>
      <c r="BE206" s="276"/>
      <c r="BG206" s="283"/>
      <c r="BH206" s="276"/>
      <c r="BI206" s="283"/>
      <c r="BJ206" s="276"/>
      <c r="BK206" s="283"/>
      <c r="BL206" s="276"/>
      <c r="BM206" s="283"/>
      <c r="BN206" s="276"/>
      <c r="BO206" s="283"/>
      <c r="BP206" s="276"/>
      <c r="BQ206" s="283"/>
      <c r="BR206" s="283"/>
      <c r="BS206" s="276"/>
    </row>
    <row r="207" spans="12:71" ht="12" customHeight="1">
      <c r="L207" s="283"/>
      <c r="M207" s="276"/>
      <c r="N207" s="283"/>
      <c r="O207" s="276"/>
      <c r="P207" s="283"/>
      <c r="Q207" s="276"/>
      <c r="S207" s="283"/>
      <c r="T207" s="276"/>
      <c r="W207" s="283"/>
      <c r="X207" s="276"/>
      <c r="Y207" s="283"/>
      <c r="Z207" s="276"/>
      <c r="AA207" s="283"/>
      <c r="AB207" s="276"/>
      <c r="AC207" s="283"/>
      <c r="AE207" s="283"/>
      <c r="AF207" s="276"/>
      <c r="AI207" s="283"/>
      <c r="AJ207" s="276"/>
      <c r="AK207" s="283"/>
      <c r="AL207" s="276"/>
      <c r="AM207" s="283"/>
      <c r="AN207" s="276"/>
      <c r="AO207" s="283"/>
      <c r="AP207" s="276"/>
      <c r="AQ207" s="283"/>
      <c r="AR207" s="276"/>
      <c r="AT207" s="283"/>
      <c r="AU207" s="276"/>
      <c r="AV207" s="283"/>
      <c r="AW207" s="276"/>
      <c r="AX207" s="283"/>
      <c r="AY207" s="276"/>
      <c r="AZ207" s="283"/>
      <c r="BA207" s="276"/>
      <c r="BB207" s="283"/>
      <c r="BC207" s="276"/>
      <c r="BD207" s="283"/>
      <c r="BE207" s="276"/>
      <c r="BG207" s="283"/>
      <c r="BH207" s="276"/>
      <c r="BI207" s="283"/>
      <c r="BJ207" s="276"/>
      <c r="BK207" s="283"/>
      <c r="BL207" s="276"/>
      <c r="BM207" s="283"/>
      <c r="BN207" s="276"/>
      <c r="BO207" s="283"/>
      <c r="BP207" s="276"/>
      <c r="BQ207" s="283"/>
      <c r="BR207" s="283"/>
      <c r="BS207" s="276"/>
    </row>
    <row r="208" spans="12:71" ht="12" customHeight="1">
      <c r="L208" s="283"/>
      <c r="M208" s="276"/>
      <c r="N208" s="283"/>
      <c r="O208" s="276"/>
      <c r="P208" s="283"/>
      <c r="Q208" s="276"/>
      <c r="S208" s="283"/>
      <c r="T208" s="276"/>
      <c r="W208" s="283"/>
      <c r="X208" s="276"/>
      <c r="Y208" s="283"/>
      <c r="Z208" s="276"/>
      <c r="AA208" s="283"/>
      <c r="AB208" s="276"/>
      <c r="AC208" s="283"/>
      <c r="AE208" s="283"/>
      <c r="AF208" s="276"/>
      <c r="AI208" s="283"/>
      <c r="AJ208" s="276"/>
      <c r="AK208" s="283"/>
      <c r="AL208" s="276"/>
      <c r="AM208" s="283"/>
      <c r="AN208" s="276"/>
      <c r="AO208" s="283"/>
      <c r="AP208" s="276"/>
      <c r="AQ208" s="283"/>
      <c r="AR208" s="276"/>
      <c r="AT208" s="283"/>
      <c r="AU208" s="276"/>
      <c r="AV208" s="283"/>
      <c r="AW208" s="276"/>
      <c r="AX208" s="283"/>
      <c r="AY208" s="276"/>
      <c r="AZ208" s="283"/>
      <c r="BA208" s="276"/>
      <c r="BB208" s="283"/>
      <c r="BC208" s="276"/>
      <c r="BD208" s="283"/>
      <c r="BE208" s="276"/>
      <c r="BG208" s="283"/>
      <c r="BH208" s="276"/>
      <c r="BI208" s="283"/>
      <c r="BJ208" s="276"/>
      <c r="BK208" s="283"/>
      <c r="BL208" s="276"/>
      <c r="BM208" s="283"/>
      <c r="BN208" s="276"/>
      <c r="BO208" s="283"/>
      <c r="BP208" s="276"/>
      <c r="BQ208" s="283"/>
      <c r="BR208" s="283"/>
      <c r="BS208" s="276"/>
    </row>
    <row r="209" spans="12:71" ht="12" customHeight="1">
      <c r="L209" s="283"/>
      <c r="M209" s="276"/>
      <c r="N209" s="283"/>
      <c r="O209" s="276"/>
      <c r="P209" s="283"/>
      <c r="Q209" s="276"/>
      <c r="S209" s="283"/>
      <c r="T209" s="276"/>
      <c r="W209" s="283"/>
      <c r="X209" s="276"/>
      <c r="Y209" s="283"/>
      <c r="Z209" s="276"/>
      <c r="AA209" s="283"/>
      <c r="AB209" s="276"/>
      <c r="AC209" s="283"/>
      <c r="AE209" s="283"/>
      <c r="AF209" s="276"/>
      <c r="AI209" s="283"/>
      <c r="AJ209" s="276"/>
      <c r="AK209" s="283"/>
      <c r="AL209" s="276"/>
      <c r="AM209" s="283"/>
      <c r="AN209" s="276"/>
      <c r="AO209" s="283"/>
      <c r="AP209" s="276"/>
      <c r="AQ209" s="283"/>
      <c r="AR209" s="276"/>
      <c r="AT209" s="283"/>
      <c r="AU209" s="276"/>
      <c r="AV209" s="283"/>
      <c r="AW209" s="276"/>
      <c r="AX209" s="283"/>
      <c r="AY209" s="276"/>
      <c r="AZ209" s="283"/>
      <c r="BA209" s="276"/>
      <c r="BB209" s="283"/>
      <c r="BC209" s="276"/>
      <c r="BD209" s="283"/>
      <c r="BE209" s="276"/>
      <c r="BG209" s="283"/>
      <c r="BH209" s="276"/>
      <c r="BI209" s="283"/>
      <c r="BJ209" s="276"/>
      <c r="BK209" s="283"/>
      <c r="BL209" s="276"/>
      <c r="BM209" s="283"/>
      <c r="BN209" s="276"/>
      <c r="BO209" s="283"/>
      <c r="BP209" s="276"/>
      <c r="BQ209" s="283"/>
      <c r="BR209" s="283"/>
      <c r="BS209" s="276"/>
    </row>
    <row r="210" spans="12:71" ht="12" customHeight="1">
      <c r="L210" s="283"/>
      <c r="M210" s="276"/>
      <c r="N210" s="283"/>
      <c r="O210" s="276"/>
      <c r="P210" s="283"/>
      <c r="Q210" s="276"/>
      <c r="S210" s="283"/>
      <c r="T210" s="276"/>
      <c r="W210" s="283"/>
      <c r="X210" s="276"/>
      <c r="Y210" s="283"/>
      <c r="Z210" s="276"/>
      <c r="AA210" s="283"/>
      <c r="AB210" s="276"/>
      <c r="AC210" s="283"/>
      <c r="AE210" s="283"/>
      <c r="AF210" s="276"/>
      <c r="AI210" s="283"/>
      <c r="AJ210" s="276"/>
      <c r="AK210" s="283"/>
      <c r="AL210" s="276"/>
      <c r="AM210" s="283"/>
      <c r="AN210" s="276"/>
      <c r="AO210" s="283"/>
      <c r="AP210" s="276"/>
      <c r="AQ210" s="283"/>
      <c r="AR210" s="276"/>
      <c r="AT210" s="283"/>
      <c r="AU210" s="276"/>
      <c r="AV210" s="283"/>
      <c r="AW210" s="276"/>
      <c r="AX210" s="283"/>
      <c r="AY210" s="276"/>
      <c r="AZ210" s="283"/>
      <c r="BA210" s="276"/>
      <c r="BB210" s="283"/>
      <c r="BC210" s="276"/>
      <c r="BD210" s="283"/>
      <c r="BE210" s="276"/>
      <c r="BG210" s="283"/>
      <c r="BH210" s="276"/>
      <c r="BI210" s="283"/>
      <c r="BJ210" s="276"/>
      <c r="BK210" s="283"/>
      <c r="BL210" s="276"/>
      <c r="BM210" s="283"/>
      <c r="BN210" s="276"/>
      <c r="BO210" s="283"/>
      <c r="BP210" s="276"/>
      <c r="BQ210" s="283"/>
      <c r="BR210" s="283"/>
      <c r="BS210" s="276"/>
    </row>
    <row r="211" spans="12:71" ht="12" customHeight="1">
      <c r="L211" s="283"/>
      <c r="M211" s="276"/>
      <c r="N211" s="283"/>
      <c r="O211" s="276"/>
      <c r="P211" s="283"/>
      <c r="Q211" s="276"/>
      <c r="S211" s="283"/>
      <c r="T211" s="276"/>
      <c r="W211" s="283"/>
      <c r="X211" s="276"/>
      <c r="Y211" s="283"/>
      <c r="Z211" s="276"/>
      <c r="AA211" s="283"/>
      <c r="AB211" s="276"/>
      <c r="AC211" s="283"/>
      <c r="AE211" s="283"/>
      <c r="AF211" s="276"/>
      <c r="AI211" s="283"/>
      <c r="AJ211" s="276"/>
      <c r="AK211" s="283"/>
      <c r="AL211" s="276"/>
      <c r="AM211" s="283"/>
      <c r="AN211" s="276"/>
      <c r="AO211" s="283"/>
      <c r="AP211" s="276"/>
      <c r="AQ211" s="283"/>
      <c r="AR211" s="276"/>
      <c r="AT211" s="283"/>
      <c r="AU211" s="276"/>
      <c r="AV211" s="283"/>
      <c r="AW211" s="276"/>
      <c r="AX211" s="283"/>
      <c r="AY211" s="276"/>
      <c r="AZ211" s="283"/>
      <c r="BA211" s="276"/>
      <c r="BB211" s="283"/>
      <c r="BC211" s="276"/>
      <c r="BD211" s="283"/>
      <c r="BE211" s="276"/>
      <c r="BG211" s="283"/>
      <c r="BH211" s="276"/>
      <c r="BI211" s="283"/>
      <c r="BJ211" s="276"/>
      <c r="BK211" s="283"/>
      <c r="BL211" s="276"/>
      <c r="BM211" s="283"/>
      <c r="BN211" s="276"/>
      <c r="BO211" s="283"/>
      <c r="BP211" s="276"/>
      <c r="BQ211" s="283"/>
      <c r="BR211" s="283"/>
      <c r="BS211" s="276"/>
    </row>
    <row r="212" spans="12:71" ht="12" customHeight="1">
      <c r="L212" s="283"/>
      <c r="M212" s="276"/>
      <c r="N212" s="283"/>
      <c r="O212" s="276"/>
      <c r="P212" s="283"/>
      <c r="Q212" s="276"/>
      <c r="S212" s="283"/>
      <c r="T212" s="276"/>
      <c r="W212" s="283"/>
      <c r="X212" s="276"/>
      <c r="Y212" s="283"/>
      <c r="Z212" s="276"/>
      <c r="AA212" s="283"/>
      <c r="AB212" s="276"/>
      <c r="AC212" s="283"/>
      <c r="AE212" s="283"/>
      <c r="AF212" s="276"/>
      <c r="AI212" s="283"/>
      <c r="AJ212" s="276"/>
      <c r="AK212" s="283"/>
      <c r="AL212" s="276"/>
      <c r="AM212" s="283"/>
      <c r="AN212" s="276"/>
      <c r="AO212" s="283"/>
      <c r="AP212" s="276"/>
      <c r="AQ212" s="283"/>
      <c r="AR212" s="276"/>
      <c r="AT212" s="283"/>
      <c r="AU212" s="276"/>
      <c r="AV212" s="283"/>
      <c r="AW212" s="276"/>
      <c r="AX212" s="283"/>
      <c r="AY212" s="276"/>
      <c r="AZ212" s="283"/>
      <c r="BA212" s="276"/>
      <c r="BB212" s="283"/>
      <c r="BC212" s="276"/>
      <c r="BD212" s="283"/>
      <c r="BE212" s="276"/>
      <c r="BG212" s="283"/>
      <c r="BH212" s="276"/>
      <c r="BI212" s="283"/>
      <c r="BJ212" s="276"/>
      <c r="BK212" s="283"/>
      <c r="BL212" s="276"/>
      <c r="BM212" s="283"/>
      <c r="BN212" s="276"/>
      <c r="BO212" s="283"/>
      <c r="BP212" s="276"/>
      <c r="BQ212" s="283"/>
      <c r="BR212" s="283"/>
      <c r="BS212" s="276"/>
    </row>
    <row r="213" spans="12:71" ht="12" customHeight="1">
      <c r="L213" s="283"/>
      <c r="M213" s="276"/>
      <c r="N213" s="283"/>
      <c r="O213" s="276"/>
      <c r="P213" s="283"/>
      <c r="Q213" s="276"/>
      <c r="S213" s="283"/>
      <c r="T213" s="276"/>
      <c r="W213" s="283"/>
      <c r="X213" s="276"/>
      <c r="Y213" s="283"/>
      <c r="Z213" s="276"/>
      <c r="AA213" s="283"/>
      <c r="AB213" s="276"/>
      <c r="AC213" s="283"/>
      <c r="AE213" s="283"/>
      <c r="AF213" s="276"/>
      <c r="AI213" s="283"/>
      <c r="AJ213" s="276"/>
      <c r="AK213" s="283"/>
      <c r="AL213" s="276"/>
      <c r="AM213" s="283"/>
      <c r="AN213" s="276"/>
      <c r="AO213" s="283"/>
      <c r="AP213" s="276"/>
      <c r="AQ213" s="283"/>
      <c r="AR213" s="276"/>
      <c r="AT213" s="283"/>
      <c r="AU213" s="276"/>
      <c r="AV213" s="283"/>
      <c r="AW213" s="276"/>
      <c r="AX213" s="283"/>
      <c r="AY213" s="276"/>
      <c r="AZ213" s="283"/>
      <c r="BA213" s="276"/>
      <c r="BB213" s="283"/>
      <c r="BC213" s="276"/>
      <c r="BD213" s="283"/>
      <c r="BE213" s="276"/>
      <c r="BG213" s="283"/>
      <c r="BH213" s="276"/>
      <c r="BI213" s="283"/>
      <c r="BJ213" s="276"/>
      <c r="BK213" s="283"/>
      <c r="BL213" s="276"/>
      <c r="BM213" s="283"/>
      <c r="BN213" s="276"/>
      <c r="BO213" s="283"/>
      <c r="BP213" s="276"/>
      <c r="BQ213" s="283"/>
      <c r="BR213" s="283"/>
      <c r="BS213" s="276"/>
    </row>
    <row r="214" spans="12:71" ht="12" customHeight="1">
      <c r="L214" s="283"/>
      <c r="M214" s="276"/>
      <c r="N214" s="283"/>
      <c r="O214" s="276"/>
      <c r="P214" s="283"/>
      <c r="Q214" s="276"/>
      <c r="S214" s="283"/>
      <c r="T214" s="276"/>
      <c r="W214" s="283"/>
      <c r="X214" s="276"/>
      <c r="Y214" s="283"/>
      <c r="Z214" s="276"/>
      <c r="AA214" s="283"/>
      <c r="AB214" s="276"/>
      <c r="AC214" s="283"/>
      <c r="AE214" s="283"/>
      <c r="AF214" s="276"/>
      <c r="AI214" s="283"/>
      <c r="AJ214" s="276"/>
      <c r="AK214" s="283"/>
      <c r="AL214" s="276"/>
      <c r="AM214" s="283"/>
      <c r="AN214" s="276"/>
      <c r="AO214" s="283"/>
      <c r="AP214" s="276"/>
      <c r="AQ214" s="283"/>
      <c r="AR214" s="276"/>
      <c r="AT214" s="283"/>
      <c r="AU214" s="276"/>
      <c r="AV214" s="283"/>
      <c r="AW214" s="276"/>
      <c r="AX214" s="283"/>
      <c r="AY214" s="276"/>
      <c r="AZ214" s="283"/>
      <c r="BA214" s="276"/>
      <c r="BB214" s="283"/>
      <c r="BC214" s="276"/>
      <c r="BD214" s="283"/>
      <c r="BE214" s="276"/>
      <c r="BG214" s="283"/>
      <c r="BH214" s="276"/>
      <c r="BI214" s="283"/>
      <c r="BJ214" s="276"/>
      <c r="BK214" s="283"/>
      <c r="BL214" s="276"/>
      <c r="BM214" s="283"/>
      <c r="BN214" s="276"/>
      <c r="BO214" s="283"/>
      <c r="BP214" s="276"/>
      <c r="BQ214" s="283"/>
      <c r="BR214" s="283"/>
      <c r="BS214" s="276"/>
    </row>
    <row r="215" spans="12:71" ht="12" customHeight="1">
      <c r="L215" s="283"/>
      <c r="M215" s="276"/>
      <c r="N215" s="283"/>
      <c r="O215" s="276"/>
      <c r="P215" s="283"/>
      <c r="Q215" s="276"/>
      <c r="S215" s="283"/>
      <c r="T215" s="276"/>
      <c r="W215" s="283"/>
      <c r="X215" s="276"/>
      <c r="Y215" s="283"/>
      <c r="Z215" s="276"/>
      <c r="AA215" s="283"/>
      <c r="AB215" s="276"/>
      <c r="AC215" s="283"/>
      <c r="AE215" s="283"/>
      <c r="AF215" s="276"/>
      <c r="AI215" s="283"/>
      <c r="AJ215" s="276"/>
      <c r="AK215" s="283"/>
      <c r="AL215" s="276"/>
      <c r="AM215" s="283"/>
      <c r="AN215" s="276"/>
      <c r="AO215" s="283"/>
      <c r="AP215" s="276"/>
      <c r="AQ215" s="283"/>
      <c r="AR215" s="276"/>
      <c r="AT215" s="283"/>
      <c r="AU215" s="276"/>
      <c r="AV215" s="283"/>
      <c r="AW215" s="276"/>
      <c r="AX215" s="283"/>
      <c r="AY215" s="276"/>
      <c r="AZ215" s="283"/>
      <c r="BA215" s="276"/>
      <c r="BB215" s="283"/>
      <c r="BC215" s="276"/>
      <c r="BD215" s="283"/>
      <c r="BE215" s="276"/>
      <c r="BG215" s="283"/>
      <c r="BH215" s="276"/>
      <c r="BI215" s="283"/>
      <c r="BJ215" s="276"/>
      <c r="BK215" s="283"/>
      <c r="BL215" s="276"/>
      <c r="BM215" s="283"/>
      <c r="BN215" s="276"/>
      <c r="BO215" s="283"/>
      <c r="BP215" s="276"/>
      <c r="BQ215" s="283"/>
      <c r="BR215" s="283"/>
      <c r="BS215" s="276"/>
    </row>
    <row r="216" spans="12:71" ht="12" customHeight="1">
      <c r="L216" s="283"/>
      <c r="M216" s="276"/>
      <c r="N216" s="283"/>
      <c r="O216" s="276"/>
      <c r="P216" s="283"/>
      <c r="Q216" s="276"/>
      <c r="S216" s="283"/>
      <c r="T216" s="276"/>
      <c r="W216" s="283"/>
      <c r="X216" s="276"/>
      <c r="Y216" s="283"/>
      <c r="Z216" s="276"/>
      <c r="AA216" s="283"/>
      <c r="AB216" s="276"/>
      <c r="AC216" s="283"/>
      <c r="AE216" s="283"/>
      <c r="AF216" s="276"/>
      <c r="AI216" s="283"/>
      <c r="AJ216" s="276"/>
      <c r="AK216" s="283"/>
      <c r="AL216" s="276"/>
      <c r="AM216" s="283"/>
      <c r="AN216" s="276"/>
      <c r="AO216" s="283"/>
      <c r="AP216" s="276"/>
      <c r="AQ216" s="283"/>
      <c r="AR216" s="276"/>
      <c r="AT216" s="283"/>
      <c r="AU216" s="276"/>
      <c r="AV216" s="283"/>
      <c r="AW216" s="276"/>
      <c r="AX216" s="283"/>
      <c r="AY216" s="276"/>
      <c r="AZ216" s="283"/>
      <c r="BA216" s="276"/>
      <c r="BB216" s="283"/>
      <c r="BC216" s="276"/>
      <c r="BD216" s="283"/>
      <c r="BE216" s="276"/>
      <c r="BG216" s="283"/>
      <c r="BH216" s="276"/>
      <c r="BI216" s="283"/>
      <c r="BJ216" s="276"/>
      <c r="BK216" s="283"/>
      <c r="BL216" s="276"/>
      <c r="BM216" s="283"/>
      <c r="BN216" s="276"/>
      <c r="BO216" s="283"/>
      <c r="BP216" s="276"/>
      <c r="BQ216" s="283"/>
      <c r="BR216" s="283"/>
      <c r="BS216" s="276"/>
    </row>
    <row r="217" spans="12:71" ht="12" customHeight="1">
      <c r="L217" s="283"/>
      <c r="M217" s="276"/>
      <c r="N217" s="283"/>
      <c r="O217" s="276"/>
      <c r="P217" s="283"/>
      <c r="Q217" s="276"/>
      <c r="S217" s="283"/>
      <c r="T217" s="276"/>
      <c r="W217" s="283"/>
      <c r="X217" s="276"/>
      <c r="Y217" s="283"/>
      <c r="Z217" s="276"/>
      <c r="AA217" s="283"/>
      <c r="AB217" s="276"/>
      <c r="AC217" s="283"/>
      <c r="AE217" s="283"/>
      <c r="AF217" s="276"/>
      <c r="AI217" s="283"/>
      <c r="AJ217" s="276"/>
      <c r="AK217" s="283"/>
      <c r="AL217" s="276"/>
      <c r="AM217" s="283"/>
      <c r="AN217" s="276"/>
      <c r="AO217" s="283"/>
      <c r="AP217" s="276"/>
      <c r="AQ217" s="283"/>
      <c r="AR217" s="276"/>
      <c r="AT217" s="283"/>
      <c r="AU217" s="276"/>
      <c r="AV217" s="283"/>
      <c r="AW217" s="276"/>
      <c r="AX217" s="283"/>
      <c r="AY217" s="276"/>
      <c r="AZ217" s="283"/>
      <c r="BA217" s="276"/>
      <c r="BB217" s="283"/>
      <c r="BC217" s="276"/>
      <c r="BD217" s="283"/>
      <c r="BE217" s="276"/>
      <c r="BG217" s="283"/>
      <c r="BH217" s="276"/>
      <c r="BI217" s="283"/>
      <c r="BJ217" s="276"/>
      <c r="BK217" s="283"/>
      <c r="BL217" s="276"/>
      <c r="BM217" s="283"/>
      <c r="BN217" s="276"/>
      <c r="BO217" s="283"/>
      <c r="BP217" s="276"/>
      <c r="BQ217" s="283"/>
      <c r="BR217" s="283"/>
      <c r="BS217" s="276"/>
    </row>
    <row r="218" spans="12:71" ht="12" customHeight="1">
      <c r="L218" s="283"/>
      <c r="M218" s="276"/>
      <c r="N218" s="283"/>
      <c r="O218" s="276"/>
      <c r="P218" s="283"/>
      <c r="Q218" s="276"/>
      <c r="S218" s="283"/>
      <c r="T218" s="276"/>
      <c r="W218" s="283"/>
      <c r="X218" s="276"/>
      <c r="Y218" s="283"/>
      <c r="Z218" s="276"/>
      <c r="AA218" s="283"/>
      <c r="AB218" s="276"/>
      <c r="AC218" s="283"/>
      <c r="AE218" s="283"/>
      <c r="AF218" s="276"/>
      <c r="AI218" s="283"/>
      <c r="AJ218" s="276"/>
      <c r="AK218" s="283"/>
      <c r="AL218" s="276"/>
      <c r="AM218" s="283"/>
      <c r="AN218" s="276"/>
      <c r="AO218" s="283"/>
      <c r="AP218" s="276"/>
      <c r="AQ218" s="283"/>
      <c r="AR218" s="276"/>
      <c r="AT218" s="283"/>
      <c r="AU218" s="276"/>
      <c r="AV218" s="283"/>
      <c r="AW218" s="276"/>
      <c r="AX218" s="283"/>
      <c r="AY218" s="276"/>
      <c r="AZ218" s="283"/>
      <c r="BA218" s="276"/>
      <c r="BB218" s="283"/>
      <c r="BC218" s="276"/>
      <c r="BD218" s="283"/>
      <c r="BE218" s="276"/>
      <c r="BG218" s="283"/>
      <c r="BH218" s="276"/>
      <c r="BI218" s="283"/>
      <c r="BJ218" s="276"/>
      <c r="BK218" s="283"/>
      <c r="BL218" s="276"/>
      <c r="BM218" s="283"/>
      <c r="BN218" s="276"/>
      <c r="BO218" s="283"/>
      <c r="BP218" s="276"/>
      <c r="BQ218" s="283"/>
      <c r="BR218" s="283"/>
      <c r="BS218" s="276"/>
    </row>
    <row r="219" spans="12:71" ht="12" customHeight="1">
      <c r="L219" s="283"/>
      <c r="M219" s="276"/>
      <c r="N219" s="283"/>
      <c r="O219" s="276"/>
      <c r="P219" s="283"/>
      <c r="Q219" s="276"/>
      <c r="S219" s="283"/>
      <c r="T219" s="276"/>
      <c r="W219" s="283"/>
      <c r="X219" s="276"/>
      <c r="Y219" s="283"/>
      <c r="Z219" s="276"/>
      <c r="AA219" s="283"/>
      <c r="AB219" s="276"/>
      <c r="AC219" s="283"/>
      <c r="AE219" s="283"/>
      <c r="AF219" s="276"/>
      <c r="AI219" s="283"/>
      <c r="AJ219" s="276"/>
      <c r="AK219" s="283"/>
      <c r="AL219" s="276"/>
      <c r="AM219" s="283"/>
      <c r="AN219" s="276"/>
      <c r="AO219" s="283"/>
      <c r="AP219" s="276"/>
      <c r="AQ219" s="283"/>
      <c r="AR219" s="276"/>
      <c r="AT219" s="283"/>
      <c r="AU219" s="276"/>
      <c r="AV219" s="283"/>
      <c r="AW219" s="276"/>
      <c r="AX219" s="283"/>
      <c r="AY219" s="276"/>
      <c r="AZ219" s="283"/>
      <c r="BA219" s="276"/>
      <c r="BB219" s="283"/>
      <c r="BC219" s="276"/>
      <c r="BD219" s="283"/>
      <c r="BE219" s="276"/>
      <c r="BG219" s="283"/>
      <c r="BH219" s="276"/>
      <c r="BI219" s="283"/>
      <c r="BJ219" s="276"/>
      <c r="BK219" s="283"/>
      <c r="BL219" s="276"/>
      <c r="BM219" s="283"/>
      <c r="BN219" s="276"/>
      <c r="BO219" s="283"/>
      <c r="BP219" s="276"/>
      <c r="BQ219" s="283"/>
      <c r="BR219" s="283"/>
      <c r="BS219" s="276"/>
    </row>
    <row r="220" spans="12:71" ht="12" customHeight="1">
      <c r="L220" s="283"/>
      <c r="M220" s="276"/>
      <c r="N220" s="283"/>
      <c r="O220" s="276"/>
      <c r="P220" s="283"/>
      <c r="Q220" s="276"/>
      <c r="S220" s="283"/>
      <c r="T220" s="276"/>
      <c r="W220" s="283"/>
      <c r="X220" s="276"/>
      <c r="Y220" s="283"/>
      <c r="Z220" s="276"/>
      <c r="AA220" s="283"/>
      <c r="AB220" s="276"/>
      <c r="AC220" s="283"/>
      <c r="AE220" s="283"/>
      <c r="AF220" s="276"/>
      <c r="AI220" s="283"/>
      <c r="AJ220" s="276"/>
      <c r="AK220" s="283"/>
      <c r="AL220" s="276"/>
      <c r="AM220" s="283"/>
      <c r="AN220" s="276"/>
      <c r="AO220" s="283"/>
      <c r="AP220" s="276"/>
      <c r="AQ220" s="283"/>
      <c r="AR220" s="276"/>
      <c r="AT220" s="283"/>
      <c r="AU220" s="276"/>
      <c r="AV220" s="283"/>
      <c r="AW220" s="276"/>
      <c r="AX220" s="283"/>
      <c r="AY220" s="276"/>
      <c r="AZ220" s="283"/>
      <c r="BA220" s="276"/>
      <c r="BB220" s="283"/>
      <c r="BC220" s="276"/>
      <c r="BD220" s="283"/>
      <c r="BE220" s="276"/>
      <c r="BG220" s="283"/>
      <c r="BH220" s="276"/>
      <c r="BI220" s="283"/>
      <c r="BJ220" s="276"/>
      <c r="BK220" s="283"/>
      <c r="BL220" s="276"/>
      <c r="BM220" s="283"/>
      <c r="BN220" s="276"/>
      <c r="BO220" s="283"/>
      <c r="BP220" s="276"/>
      <c r="BQ220" s="283"/>
      <c r="BR220" s="283"/>
      <c r="BS220" s="276"/>
    </row>
    <row r="221" spans="12:71" ht="12" customHeight="1">
      <c r="L221" s="283"/>
      <c r="M221" s="276"/>
      <c r="N221" s="283"/>
      <c r="O221" s="276"/>
      <c r="P221" s="283"/>
      <c r="Q221" s="276"/>
      <c r="S221" s="283"/>
      <c r="T221" s="276"/>
      <c r="W221" s="283"/>
      <c r="X221" s="276"/>
      <c r="Y221" s="283"/>
      <c r="Z221" s="276"/>
      <c r="AA221" s="283"/>
      <c r="AB221" s="276"/>
      <c r="AC221" s="283"/>
      <c r="AE221" s="283"/>
      <c r="AF221" s="276"/>
      <c r="AI221" s="283"/>
      <c r="AJ221" s="276"/>
      <c r="AK221" s="283"/>
      <c r="AL221" s="276"/>
      <c r="AM221" s="283"/>
      <c r="AN221" s="276"/>
      <c r="AO221" s="283"/>
      <c r="AP221" s="276"/>
      <c r="AQ221" s="283"/>
      <c r="AR221" s="276"/>
      <c r="AT221" s="283"/>
      <c r="AU221" s="276"/>
      <c r="AV221" s="283"/>
      <c r="AW221" s="276"/>
      <c r="AX221" s="283"/>
      <c r="AY221" s="276"/>
      <c r="AZ221" s="283"/>
      <c r="BA221" s="276"/>
      <c r="BB221" s="283"/>
      <c r="BC221" s="276"/>
      <c r="BD221" s="283"/>
      <c r="BE221" s="276"/>
      <c r="BG221" s="283"/>
      <c r="BH221" s="276"/>
      <c r="BI221" s="283"/>
      <c r="BJ221" s="276"/>
      <c r="BK221" s="283"/>
      <c r="BL221" s="276"/>
      <c r="BM221" s="283"/>
      <c r="BN221" s="276"/>
      <c r="BO221" s="283"/>
      <c r="BP221" s="276"/>
      <c r="BQ221" s="283"/>
      <c r="BR221" s="283"/>
      <c r="BS221" s="276"/>
    </row>
    <row r="222" spans="12:71" ht="12" customHeight="1">
      <c r="L222" s="283"/>
      <c r="M222" s="276"/>
      <c r="N222" s="283"/>
      <c r="O222" s="276"/>
      <c r="P222" s="283"/>
      <c r="Q222" s="276"/>
      <c r="S222" s="283"/>
      <c r="T222" s="276"/>
      <c r="W222" s="283"/>
      <c r="X222" s="276"/>
      <c r="Y222" s="283"/>
      <c r="Z222" s="276"/>
      <c r="AA222" s="283"/>
      <c r="AB222" s="276"/>
      <c r="AC222" s="283"/>
      <c r="AE222" s="283"/>
      <c r="AF222" s="276"/>
      <c r="AI222" s="283"/>
      <c r="AJ222" s="276"/>
      <c r="AK222" s="283"/>
      <c r="AL222" s="276"/>
      <c r="AM222" s="283"/>
      <c r="AN222" s="276"/>
      <c r="AO222" s="283"/>
      <c r="AP222" s="276"/>
      <c r="AQ222" s="283"/>
      <c r="AR222" s="276"/>
      <c r="AT222" s="283"/>
      <c r="AU222" s="276"/>
      <c r="AV222" s="283"/>
      <c r="AW222" s="276"/>
      <c r="AX222" s="283"/>
      <c r="AY222" s="276"/>
      <c r="AZ222" s="283"/>
      <c r="BA222" s="276"/>
      <c r="BB222" s="283"/>
      <c r="BC222" s="276"/>
      <c r="BD222" s="283"/>
      <c r="BE222" s="276"/>
      <c r="BG222" s="283"/>
      <c r="BH222" s="276"/>
      <c r="BI222" s="283"/>
      <c r="BJ222" s="276"/>
      <c r="BK222" s="283"/>
      <c r="BL222" s="276"/>
      <c r="BM222" s="283"/>
      <c r="BN222" s="276"/>
      <c r="BO222" s="283"/>
      <c r="BP222" s="276"/>
      <c r="BQ222" s="283"/>
      <c r="BR222" s="283"/>
      <c r="BS222" s="276"/>
    </row>
    <row r="223" spans="12:71" ht="12" customHeight="1">
      <c r="L223" s="283"/>
      <c r="M223" s="276"/>
      <c r="N223" s="283"/>
      <c r="O223" s="276"/>
      <c r="P223" s="283"/>
      <c r="Q223" s="276"/>
      <c r="S223" s="283"/>
      <c r="T223" s="276"/>
      <c r="W223" s="283"/>
      <c r="X223" s="276"/>
      <c r="Y223" s="283"/>
      <c r="Z223" s="276"/>
      <c r="AA223" s="283"/>
      <c r="AB223" s="276"/>
      <c r="AC223" s="283"/>
      <c r="AE223" s="283"/>
      <c r="AF223" s="276"/>
      <c r="AI223" s="283"/>
      <c r="AJ223" s="276"/>
      <c r="AK223" s="283"/>
      <c r="AL223" s="276"/>
      <c r="AM223" s="283"/>
      <c r="AN223" s="276"/>
      <c r="AO223" s="283"/>
      <c r="AP223" s="276"/>
      <c r="AQ223" s="283"/>
      <c r="AR223" s="276"/>
      <c r="AT223" s="283"/>
      <c r="AU223" s="276"/>
      <c r="AV223" s="283"/>
      <c r="AW223" s="276"/>
      <c r="AX223" s="283"/>
      <c r="AY223" s="276"/>
      <c r="AZ223" s="283"/>
      <c r="BA223" s="276"/>
      <c r="BB223" s="283"/>
      <c r="BC223" s="276"/>
      <c r="BD223" s="283"/>
      <c r="BE223" s="276"/>
      <c r="BG223" s="283"/>
      <c r="BH223" s="276"/>
      <c r="BI223" s="283"/>
      <c r="BJ223" s="276"/>
      <c r="BK223" s="283"/>
      <c r="BL223" s="276"/>
      <c r="BM223" s="283"/>
      <c r="BN223" s="276"/>
      <c r="BO223" s="283"/>
      <c r="BP223" s="276"/>
      <c r="BQ223" s="283"/>
      <c r="BR223" s="283"/>
      <c r="BS223" s="276"/>
    </row>
    <row r="224" spans="12:71" ht="12" customHeight="1">
      <c r="L224" s="283"/>
      <c r="M224" s="276"/>
      <c r="N224" s="283"/>
      <c r="O224" s="276"/>
      <c r="P224" s="283"/>
      <c r="Q224" s="276"/>
      <c r="S224" s="283"/>
      <c r="T224" s="276"/>
      <c r="W224" s="283"/>
      <c r="X224" s="276"/>
      <c r="Y224" s="283"/>
      <c r="Z224" s="276"/>
      <c r="AA224" s="283"/>
      <c r="AB224" s="276"/>
      <c r="AC224" s="283"/>
      <c r="AE224" s="283"/>
      <c r="AF224" s="276"/>
      <c r="AI224" s="283"/>
      <c r="AJ224" s="276"/>
      <c r="AK224" s="283"/>
      <c r="AL224" s="276"/>
      <c r="AM224" s="283"/>
      <c r="AN224" s="276"/>
      <c r="AO224" s="283"/>
      <c r="AP224" s="276"/>
      <c r="AQ224" s="283"/>
      <c r="AR224" s="276"/>
      <c r="AT224" s="283"/>
      <c r="AU224" s="276"/>
      <c r="AV224" s="283"/>
      <c r="AW224" s="276"/>
      <c r="AX224" s="283"/>
      <c r="AY224" s="276"/>
      <c r="AZ224" s="283"/>
      <c r="BA224" s="276"/>
      <c r="BB224" s="283"/>
      <c r="BC224" s="276"/>
      <c r="BD224" s="283"/>
      <c r="BE224" s="276"/>
      <c r="BG224" s="283"/>
      <c r="BH224" s="276"/>
      <c r="BI224" s="283"/>
      <c r="BJ224" s="276"/>
      <c r="BK224" s="283"/>
      <c r="BL224" s="276"/>
      <c r="BM224" s="283"/>
      <c r="BN224" s="276"/>
      <c r="BO224" s="283"/>
      <c r="BP224" s="276"/>
      <c r="BQ224" s="283"/>
      <c r="BR224" s="283"/>
      <c r="BS224" s="276"/>
    </row>
    <row r="225" spans="12:71" ht="12" customHeight="1">
      <c r="L225" s="283"/>
      <c r="M225" s="276"/>
      <c r="N225" s="283"/>
      <c r="O225" s="276"/>
      <c r="P225" s="283"/>
      <c r="Q225" s="276"/>
      <c r="S225" s="283"/>
      <c r="T225" s="276"/>
      <c r="W225" s="283"/>
      <c r="X225" s="276"/>
      <c r="Y225" s="283"/>
      <c r="Z225" s="276"/>
      <c r="AA225" s="283"/>
      <c r="AB225" s="276"/>
      <c r="AC225" s="283"/>
      <c r="AE225" s="283"/>
      <c r="AF225" s="276"/>
      <c r="AI225" s="283"/>
      <c r="AJ225" s="276"/>
      <c r="AK225" s="283"/>
      <c r="AL225" s="276"/>
      <c r="AM225" s="283"/>
      <c r="AN225" s="276"/>
      <c r="AO225" s="283"/>
      <c r="AP225" s="276"/>
      <c r="AQ225" s="283"/>
      <c r="AR225" s="276"/>
      <c r="AT225" s="283"/>
      <c r="AU225" s="276"/>
      <c r="AV225" s="283"/>
      <c r="AW225" s="276"/>
      <c r="AX225" s="283"/>
      <c r="AY225" s="276"/>
      <c r="AZ225" s="283"/>
      <c r="BA225" s="276"/>
      <c r="BB225" s="283"/>
      <c r="BC225" s="276"/>
      <c r="BD225" s="283"/>
      <c r="BE225" s="276"/>
      <c r="BG225" s="283"/>
      <c r="BH225" s="276"/>
      <c r="BI225" s="283"/>
      <c r="BJ225" s="276"/>
      <c r="BK225" s="283"/>
      <c r="BL225" s="276"/>
      <c r="BM225" s="283"/>
      <c r="BN225" s="276"/>
      <c r="BO225" s="283"/>
      <c r="BP225" s="276"/>
      <c r="BQ225" s="283"/>
      <c r="BR225" s="283"/>
      <c r="BS225" s="276"/>
    </row>
    <row r="226" spans="12:71" ht="12" customHeight="1">
      <c r="L226" s="283"/>
      <c r="M226" s="276"/>
      <c r="N226" s="283"/>
      <c r="O226" s="276"/>
      <c r="P226" s="283"/>
      <c r="Q226" s="276"/>
      <c r="S226" s="283"/>
      <c r="T226" s="276"/>
      <c r="W226" s="283"/>
      <c r="X226" s="276"/>
      <c r="Y226" s="283"/>
      <c r="Z226" s="276"/>
      <c r="AA226" s="283"/>
      <c r="AB226" s="276"/>
      <c r="AC226" s="283"/>
      <c r="AE226" s="283"/>
      <c r="AF226" s="276"/>
      <c r="AI226" s="283"/>
      <c r="AJ226" s="276"/>
      <c r="AK226" s="283"/>
      <c r="AL226" s="276"/>
      <c r="AM226" s="283"/>
      <c r="AN226" s="276"/>
      <c r="AO226" s="283"/>
      <c r="AP226" s="276"/>
      <c r="AQ226" s="283"/>
      <c r="AR226" s="276"/>
      <c r="AT226" s="283"/>
      <c r="AU226" s="276"/>
      <c r="AV226" s="283"/>
      <c r="AW226" s="276"/>
      <c r="AX226" s="283"/>
      <c r="AY226" s="276"/>
      <c r="AZ226" s="283"/>
      <c r="BA226" s="276"/>
      <c r="BB226" s="283"/>
      <c r="BC226" s="276"/>
      <c r="BD226" s="283"/>
      <c r="BE226" s="276"/>
      <c r="BG226" s="283"/>
      <c r="BH226" s="276"/>
      <c r="BI226" s="283"/>
      <c r="BJ226" s="276"/>
      <c r="BK226" s="283"/>
      <c r="BL226" s="276"/>
      <c r="BM226" s="283"/>
      <c r="BN226" s="276"/>
      <c r="BO226" s="283"/>
      <c r="BP226" s="276"/>
      <c r="BQ226" s="283"/>
      <c r="BR226" s="283"/>
      <c r="BS226" s="276"/>
    </row>
    <row r="227" spans="12:71" ht="12" customHeight="1">
      <c r="L227" s="283"/>
      <c r="M227" s="276"/>
      <c r="N227" s="283"/>
      <c r="O227" s="276"/>
      <c r="P227" s="283"/>
      <c r="Q227" s="276"/>
      <c r="S227" s="283"/>
      <c r="T227" s="276"/>
      <c r="W227" s="283"/>
      <c r="X227" s="276"/>
      <c r="Y227" s="283"/>
      <c r="Z227" s="276"/>
      <c r="AA227" s="283"/>
      <c r="AB227" s="276"/>
      <c r="AC227" s="283"/>
      <c r="AE227" s="283"/>
      <c r="AF227" s="276"/>
      <c r="AI227" s="283"/>
      <c r="AJ227" s="276"/>
      <c r="AK227" s="283"/>
      <c r="AL227" s="276"/>
      <c r="AM227" s="283"/>
      <c r="AN227" s="276"/>
      <c r="AO227" s="283"/>
      <c r="AP227" s="276"/>
      <c r="AQ227" s="283"/>
      <c r="AR227" s="276"/>
      <c r="AT227" s="283"/>
      <c r="AU227" s="276"/>
      <c r="AV227" s="283"/>
      <c r="AW227" s="276"/>
      <c r="AX227" s="283"/>
      <c r="AY227" s="276"/>
      <c r="AZ227" s="283"/>
      <c r="BA227" s="276"/>
      <c r="BB227" s="283"/>
      <c r="BC227" s="276"/>
      <c r="BD227" s="283"/>
      <c r="BE227" s="276"/>
      <c r="BG227" s="283"/>
      <c r="BH227" s="276"/>
      <c r="BI227" s="283"/>
      <c r="BJ227" s="276"/>
      <c r="BK227" s="283"/>
      <c r="BL227" s="276"/>
      <c r="BM227" s="283"/>
      <c r="BN227" s="276"/>
      <c r="BO227" s="283"/>
      <c r="BP227" s="276"/>
      <c r="BQ227" s="283"/>
      <c r="BR227" s="283"/>
      <c r="BS227" s="276"/>
    </row>
    <row r="228" spans="12:71" ht="12" customHeight="1">
      <c r="L228" s="283"/>
      <c r="M228" s="276"/>
      <c r="N228" s="283"/>
      <c r="O228" s="276"/>
      <c r="P228" s="283"/>
      <c r="Q228" s="276"/>
      <c r="S228" s="283"/>
      <c r="T228" s="276"/>
      <c r="W228" s="283"/>
      <c r="X228" s="276"/>
      <c r="Y228" s="283"/>
      <c r="Z228" s="276"/>
      <c r="AA228" s="283"/>
      <c r="AB228" s="276"/>
      <c r="AC228" s="283"/>
      <c r="AE228" s="283"/>
      <c r="AF228" s="276"/>
      <c r="AI228" s="283"/>
      <c r="AJ228" s="276"/>
      <c r="AK228" s="283"/>
      <c r="AL228" s="276"/>
      <c r="AM228" s="283"/>
      <c r="AN228" s="276"/>
      <c r="AO228" s="283"/>
      <c r="AP228" s="276"/>
      <c r="AQ228" s="283"/>
      <c r="AR228" s="276"/>
      <c r="AT228" s="283"/>
      <c r="AU228" s="276"/>
      <c r="AV228" s="283"/>
      <c r="AW228" s="276"/>
      <c r="AX228" s="283"/>
      <c r="AY228" s="276"/>
      <c r="AZ228" s="283"/>
      <c r="BA228" s="276"/>
      <c r="BB228" s="283"/>
      <c r="BC228" s="276"/>
      <c r="BD228" s="283"/>
      <c r="BE228" s="276"/>
      <c r="BG228" s="283"/>
      <c r="BH228" s="276"/>
      <c r="BI228" s="283"/>
      <c r="BJ228" s="276"/>
      <c r="BK228" s="283"/>
      <c r="BL228" s="276"/>
      <c r="BM228" s="283"/>
      <c r="BN228" s="276"/>
      <c r="BO228" s="283"/>
      <c r="BP228" s="276"/>
      <c r="BQ228" s="283"/>
      <c r="BR228" s="283"/>
      <c r="BS228" s="276"/>
    </row>
    <row r="229" spans="12:71" ht="12" customHeight="1">
      <c r="L229" s="283"/>
      <c r="M229" s="276"/>
      <c r="N229" s="283"/>
      <c r="O229" s="276"/>
      <c r="P229" s="283"/>
      <c r="Q229" s="276"/>
      <c r="S229" s="283"/>
      <c r="T229" s="276"/>
      <c r="W229" s="283"/>
      <c r="X229" s="276"/>
      <c r="Y229" s="283"/>
      <c r="Z229" s="276"/>
      <c r="AA229" s="283"/>
      <c r="AB229" s="276"/>
      <c r="AC229" s="283"/>
      <c r="AE229" s="283"/>
      <c r="AF229" s="276"/>
      <c r="AI229" s="283"/>
      <c r="AJ229" s="276"/>
      <c r="AK229" s="283"/>
      <c r="AL229" s="276"/>
      <c r="AM229" s="283"/>
      <c r="AN229" s="276"/>
      <c r="AO229" s="283"/>
      <c r="AP229" s="276"/>
      <c r="AQ229" s="283"/>
      <c r="AR229" s="276"/>
      <c r="AT229" s="283"/>
      <c r="AU229" s="276"/>
      <c r="AV229" s="283"/>
      <c r="AW229" s="276"/>
      <c r="AX229" s="283"/>
      <c r="AY229" s="276"/>
      <c r="AZ229" s="283"/>
      <c r="BA229" s="276"/>
      <c r="BB229" s="283"/>
      <c r="BC229" s="276"/>
      <c r="BD229" s="283"/>
      <c r="BE229" s="276"/>
      <c r="BG229" s="283"/>
      <c r="BH229" s="276"/>
      <c r="BI229" s="283"/>
      <c r="BJ229" s="276"/>
      <c r="BK229" s="283"/>
      <c r="BL229" s="276"/>
      <c r="BM229" s="283"/>
      <c r="BN229" s="276"/>
      <c r="BO229" s="283"/>
      <c r="BP229" s="276"/>
      <c r="BQ229" s="283"/>
      <c r="BR229" s="283"/>
      <c r="BS229" s="276"/>
    </row>
    <row r="230" spans="12:71" ht="12" customHeight="1">
      <c r="L230" s="283"/>
      <c r="M230" s="276"/>
      <c r="N230" s="283"/>
      <c r="O230" s="276"/>
      <c r="P230" s="283"/>
      <c r="Q230" s="276"/>
      <c r="S230" s="283"/>
      <c r="T230" s="276"/>
      <c r="W230" s="283"/>
      <c r="X230" s="276"/>
      <c r="Y230" s="283"/>
      <c r="Z230" s="276"/>
      <c r="AA230" s="283"/>
      <c r="AB230" s="276"/>
      <c r="AC230" s="283"/>
      <c r="AE230" s="283"/>
      <c r="AF230" s="276"/>
      <c r="AI230" s="283"/>
      <c r="AJ230" s="276"/>
      <c r="AK230" s="283"/>
      <c r="AL230" s="276"/>
      <c r="AM230" s="283"/>
      <c r="AN230" s="276"/>
      <c r="AO230" s="283"/>
      <c r="AP230" s="276"/>
      <c r="AQ230" s="283"/>
      <c r="AR230" s="276"/>
      <c r="AT230" s="283"/>
      <c r="AU230" s="276"/>
      <c r="AV230" s="283"/>
      <c r="AW230" s="276"/>
      <c r="AX230" s="283"/>
      <c r="AY230" s="276"/>
      <c r="AZ230" s="283"/>
      <c r="BA230" s="276"/>
      <c r="BB230" s="283"/>
      <c r="BC230" s="276"/>
      <c r="BD230" s="283"/>
      <c r="BE230" s="276"/>
      <c r="BG230" s="283"/>
      <c r="BH230" s="276"/>
      <c r="BI230" s="283"/>
      <c r="BJ230" s="276"/>
      <c r="BK230" s="283"/>
      <c r="BL230" s="276"/>
      <c r="BM230" s="283"/>
      <c r="BN230" s="276"/>
      <c r="BO230" s="283"/>
      <c r="BP230" s="276"/>
      <c r="BQ230" s="283"/>
      <c r="BR230" s="283"/>
      <c r="BS230" s="276"/>
    </row>
    <row r="231" spans="12:71" ht="12" customHeight="1">
      <c r="L231" s="283"/>
      <c r="M231" s="276"/>
      <c r="N231" s="283"/>
      <c r="O231" s="276"/>
      <c r="P231" s="283"/>
      <c r="Q231" s="276"/>
      <c r="S231" s="283"/>
      <c r="T231" s="276"/>
      <c r="W231" s="283"/>
      <c r="X231" s="276"/>
      <c r="Y231" s="283"/>
      <c r="Z231" s="276"/>
      <c r="AA231" s="283"/>
      <c r="AB231" s="276"/>
      <c r="AC231" s="283"/>
      <c r="AE231" s="283"/>
      <c r="AF231" s="276"/>
      <c r="AI231" s="283"/>
      <c r="AJ231" s="276"/>
      <c r="AK231" s="283"/>
      <c r="AL231" s="276"/>
      <c r="AM231" s="283"/>
      <c r="AN231" s="276"/>
      <c r="AO231" s="283"/>
      <c r="AP231" s="276"/>
      <c r="AQ231" s="283"/>
      <c r="AR231" s="276"/>
      <c r="AT231" s="283"/>
      <c r="AU231" s="276"/>
      <c r="AV231" s="283"/>
      <c r="AW231" s="276"/>
      <c r="AX231" s="283"/>
      <c r="AY231" s="276"/>
      <c r="AZ231" s="283"/>
      <c r="BA231" s="276"/>
      <c r="BB231" s="283"/>
      <c r="BC231" s="276"/>
      <c r="BD231" s="283"/>
      <c r="BE231" s="276"/>
      <c r="BG231" s="283"/>
      <c r="BH231" s="276"/>
      <c r="BI231" s="283"/>
      <c r="BJ231" s="276"/>
      <c r="BK231" s="283"/>
      <c r="BL231" s="276"/>
      <c r="BM231" s="283"/>
      <c r="BN231" s="276"/>
      <c r="BO231" s="283"/>
      <c r="BP231" s="276"/>
      <c r="BQ231" s="283"/>
      <c r="BR231" s="283"/>
      <c r="BS231" s="276"/>
    </row>
    <row r="232" spans="12:71" ht="12" customHeight="1">
      <c r="L232" s="283"/>
      <c r="M232" s="276"/>
      <c r="N232" s="283"/>
      <c r="O232" s="276"/>
      <c r="P232" s="283"/>
      <c r="Q232" s="276"/>
      <c r="S232" s="283"/>
      <c r="T232" s="276"/>
      <c r="W232" s="283"/>
      <c r="X232" s="276"/>
      <c r="Y232" s="283"/>
      <c r="Z232" s="276"/>
      <c r="AA232" s="283"/>
      <c r="AB232" s="276"/>
      <c r="AC232" s="283"/>
      <c r="AE232" s="283"/>
      <c r="AF232" s="276"/>
      <c r="AI232" s="283"/>
      <c r="AJ232" s="276"/>
      <c r="AK232" s="283"/>
      <c r="AL232" s="276"/>
      <c r="AM232" s="283"/>
      <c r="AN232" s="276"/>
      <c r="AO232" s="283"/>
      <c r="AP232" s="276"/>
      <c r="AQ232" s="283"/>
      <c r="AR232" s="276"/>
      <c r="AT232" s="283"/>
      <c r="AU232" s="276"/>
      <c r="AV232" s="283"/>
      <c r="AW232" s="276"/>
      <c r="AX232" s="283"/>
      <c r="AY232" s="276"/>
      <c r="AZ232" s="283"/>
      <c r="BA232" s="276"/>
      <c r="BB232" s="283"/>
      <c r="BC232" s="276"/>
      <c r="BD232" s="283"/>
      <c r="BE232" s="276"/>
      <c r="BG232" s="283"/>
      <c r="BH232" s="276"/>
      <c r="BI232" s="283"/>
      <c r="BJ232" s="276"/>
      <c r="BK232" s="283"/>
      <c r="BL232" s="276"/>
      <c r="BM232" s="283"/>
      <c r="BN232" s="276"/>
      <c r="BO232" s="283"/>
      <c r="BP232" s="276"/>
      <c r="BQ232" s="283"/>
      <c r="BR232" s="283"/>
      <c r="BS232" s="276"/>
    </row>
    <row r="233" spans="12:71" ht="12" customHeight="1">
      <c r="L233" s="283"/>
      <c r="M233" s="276"/>
      <c r="N233" s="283"/>
      <c r="O233" s="276"/>
      <c r="P233" s="283"/>
      <c r="Q233" s="276"/>
      <c r="S233" s="283"/>
      <c r="T233" s="276"/>
      <c r="W233" s="283"/>
      <c r="X233" s="276"/>
      <c r="Y233" s="283"/>
      <c r="Z233" s="276"/>
      <c r="AA233" s="283"/>
      <c r="AB233" s="276"/>
      <c r="AC233" s="283"/>
      <c r="AE233" s="283"/>
      <c r="AF233" s="276"/>
      <c r="AI233" s="283"/>
      <c r="AJ233" s="276"/>
      <c r="AK233" s="283"/>
      <c r="AL233" s="276"/>
      <c r="AM233" s="283"/>
      <c r="AN233" s="276"/>
      <c r="AO233" s="283"/>
      <c r="AP233" s="276"/>
      <c r="AQ233" s="283"/>
      <c r="AR233" s="276"/>
      <c r="AT233" s="283"/>
      <c r="AU233" s="276"/>
      <c r="AV233" s="283"/>
      <c r="AW233" s="276"/>
      <c r="AX233" s="283"/>
      <c r="AY233" s="276"/>
      <c r="AZ233" s="283"/>
      <c r="BA233" s="276"/>
      <c r="BB233" s="283"/>
      <c r="BC233" s="276"/>
      <c r="BD233" s="283"/>
      <c r="BE233" s="276"/>
      <c r="BG233" s="283"/>
      <c r="BH233" s="276"/>
      <c r="BI233" s="283"/>
      <c r="BJ233" s="276"/>
      <c r="BK233" s="283"/>
      <c r="BL233" s="276"/>
      <c r="BM233" s="283"/>
      <c r="BN233" s="276"/>
      <c r="BO233" s="283"/>
      <c r="BP233" s="276"/>
      <c r="BQ233" s="283"/>
      <c r="BR233" s="283"/>
      <c r="BS233" s="276"/>
    </row>
    <row r="234" spans="12:71" ht="12" customHeight="1">
      <c r="L234" s="283"/>
      <c r="M234" s="276"/>
      <c r="N234" s="283"/>
      <c r="O234" s="276"/>
      <c r="P234" s="283"/>
      <c r="Q234" s="276"/>
      <c r="S234" s="283"/>
      <c r="T234" s="276"/>
      <c r="W234" s="283"/>
      <c r="X234" s="276"/>
      <c r="Y234" s="283"/>
      <c r="Z234" s="276"/>
      <c r="AA234" s="283"/>
      <c r="AB234" s="276"/>
      <c r="AC234" s="283"/>
      <c r="AE234" s="283"/>
      <c r="AF234" s="276"/>
      <c r="AI234" s="283"/>
      <c r="AJ234" s="276"/>
      <c r="AK234" s="283"/>
      <c r="AL234" s="276"/>
      <c r="AM234" s="283"/>
      <c r="AN234" s="276"/>
      <c r="AO234" s="283"/>
      <c r="AP234" s="276"/>
      <c r="AQ234" s="283"/>
      <c r="AR234" s="276"/>
      <c r="AT234" s="283"/>
      <c r="AU234" s="276"/>
      <c r="AV234" s="283"/>
      <c r="AW234" s="276"/>
      <c r="AX234" s="283"/>
      <c r="AY234" s="276"/>
      <c r="AZ234" s="283"/>
      <c r="BA234" s="276"/>
      <c r="BB234" s="283"/>
      <c r="BC234" s="276"/>
      <c r="BD234" s="283"/>
      <c r="BE234" s="276"/>
      <c r="BG234" s="283"/>
      <c r="BH234" s="276"/>
      <c r="BI234" s="283"/>
      <c r="BJ234" s="276"/>
      <c r="BK234" s="283"/>
      <c r="BL234" s="276"/>
      <c r="BM234" s="283"/>
      <c r="BN234" s="276"/>
      <c r="BO234" s="283"/>
      <c r="BP234" s="276"/>
      <c r="BQ234" s="283"/>
      <c r="BR234" s="283"/>
      <c r="BS234" s="276"/>
    </row>
    <row r="235" spans="12:71" ht="12" customHeight="1">
      <c r="L235" s="283"/>
      <c r="M235" s="276"/>
      <c r="N235" s="283"/>
      <c r="O235" s="276"/>
      <c r="P235" s="283"/>
      <c r="Q235" s="276"/>
      <c r="S235" s="283"/>
      <c r="T235" s="276"/>
      <c r="W235" s="283"/>
      <c r="X235" s="276"/>
      <c r="Y235" s="283"/>
      <c r="Z235" s="276"/>
      <c r="AA235" s="283"/>
      <c r="AB235" s="276"/>
      <c r="AC235" s="283"/>
      <c r="AE235" s="283"/>
      <c r="AF235" s="276"/>
      <c r="AI235" s="283"/>
      <c r="AJ235" s="276"/>
      <c r="AK235" s="283"/>
      <c r="AL235" s="276"/>
      <c r="AM235" s="283"/>
      <c r="AN235" s="276"/>
      <c r="AO235" s="283"/>
      <c r="AP235" s="276"/>
      <c r="AQ235" s="283"/>
      <c r="AR235" s="276"/>
      <c r="AT235" s="283"/>
      <c r="AU235" s="276"/>
      <c r="AV235" s="283"/>
      <c r="AW235" s="276"/>
      <c r="AX235" s="283"/>
      <c r="AY235" s="276"/>
      <c r="AZ235" s="283"/>
      <c r="BA235" s="276"/>
      <c r="BB235" s="283"/>
      <c r="BC235" s="276"/>
      <c r="BD235" s="283"/>
      <c r="BE235" s="276"/>
      <c r="BG235" s="283"/>
      <c r="BH235" s="276"/>
      <c r="BI235" s="283"/>
      <c r="BJ235" s="276"/>
      <c r="BK235" s="283"/>
      <c r="BL235" s="276"/>
      <c r="BM235" s="283"/>
      <c r="BN235" s="276"/>
      <c r="BO235" s="283"/>
      <c r="BP235" s="276"/>
      <c r="BQ235" s="283"/>
      <c r="BR235" s="283"/>
      <c r="BS235" s="276"/>
    </row>
    <row r="236" spans="12:71" ht="12" customHeight="1">
      <c r="L236" s="283"/>
      <c r="M236" s="276"/>
      <c r="N236" s="283"/>
      <c r="O236" s="276"/>
      <c r="P236" s="283"/>
      <c r="Q236" s="276"/>
      <c r="S236" s="283"/>
      <c r="T236" s="276"/>
      <c r="W236" s="283"/>
      <c r="X236" s="276"/>
      <c r="Y236" s="283"/>
      <c r="Z236" s="276"/>
      <c r="AA236" s="283"/>
      <c r="AB236" s="276"/>
      <c r="AC236" s="283"/>
      <c r="AE236" s="283"/>
      <c r="AF236" s="276"/>
      <c r="AI236" s="283"/>
      <c r="AJ236" s="276"/>
      <c r="AK236" s="283"/>
      <c r="AL236" s="276"/>
      <c r="AM236" s="283"/>
      <c r="AN236" s="276"/>
      <c r="AO236" s="283"/>
      <c r="AP236" s="276"/>
      <c r="AQ236" s="283"/>
      <c r="AR236" s="276"/>
      <c r="AT236" s="283"/>
      <c r="AU236" s="276"/>
      <c r="AV236" s="283"/>
      <c r="AW236" s="276"/>
      <c r="AX236" s="283"/>
      <c r="AY236" s="276"/>
      <c r="AZ236" s="283"/>
      <c r="BA236" s="276"/>
      <c r="BB236" s="283"/>
      <c r="BC236" s="276"/>
      <c r="BD236" s="283"/>
      <c r="BE236" s="276"/>
      <c r="BG236" s="283"/>
      <c r="BH236" s="276"/>
      <c r="BI236" s="283"/>
      <c r="BJ236" s="276"/>
      <c r="BK236" s="283"/>
      <c r="BL236" s="276"/>
      <c r="BM236" s="283"/>
      <c r="BN236" s="276"/>
      <c r="BO236" s="283"/>
      <c r="BP236" s="276"/>
      <c r="BQ236" s="283"/>
      <c r="BR236" s="283"/>
      <c r="BS236" s="276"/>
    </row>
    <row r="237" spans="12:71" ht="12" customHeight="1">
      <c r="L237" s="283"/>
      <c r="M237" s="276"/>
      <c r="N237" s="283"/>
      <c r="O237" s="276"/>
      <c r="P237" s="283"/>
      <c r="Q237" s="276"/>
      <c r="S237" s="283"/>
      <c r="T237" s="276"/>
      <c r="W237" s="283"/>
      <c r="X237" s="276"/>
      <c r="Y237" s="283"/>
      <c r="Z237" s="276"/>
      <c r="AA237" s="283"/>
      <c r="AB237" s="276"/>
      <c r="AC237" s="283"/>
      <c r="AE237" s="283"/>
      <c r="AF237" s="276"/>
      <c r="AI237" s="283"/>
      <c r="AJ237" s="276"/>
      <c r="AK237" s="283"/>
      <c r="AL237" s="276"/>
      <c r="AM237" s="283"/>
      <c r="AN237" s="276"/>
      <c r="AO237" s="283"/>
      <c r="AP237" s="276"/>
      <c r="AQ237" s="283"/>
      <c r="AR237" s="276"/>
      <c r="AT237" s="283"/>
      <c r="AU237" s="276"/>
      <c r="AV237" s="283"/>
      <c r="AW237" s="276"/>
      <c r="AX237" s="283"/>
      <c r="AY237" s="276"/>
      <c r="AZ237" s="283"/>
      <c r="BA237" s="276"/>
      <c r="BB237" s="283"/>
      <c r="BC237" s="276"/>
      <c r="BD237" s="283"/>
      <c r="BE237" s="276"/>
      <c r="BG237" s="283"/>
      <c r="BH237" s="276"/>
      <c r="BI237" s="283"/>
      <c r="BJ237" s="276"/>
      <c r="BK237" s="283"/>
      <c r="BL237" s="276"/>
      <c r="BM237" s="283"/>
      <c r="BN237" s="276"/>
      <c r="BO237" s="283"/>
      <c r="BP237" s="276"/>
      <c r="BQ237" s="283"/>
      <c r="BR237" s="283"/>
      <c r="BS237" s="276"/>
    </row>
    <row r="238" spans="12:71" ht="12" customHeight="1">
      <c r="L238" s="283"/>
      <c r="M238" s="276"/>
      <c r="N238" s="283"/>
      <c r="O238" s="276"/>
      <c r="P238" s="283"/>
      <c r="Q238" s="276"/>
      <c r="S238" s="283"/>
      <c r="T238" s="276"/>
      <c r="W238" s="283"/>
      <c r="X238" s="276"/>
      <c r="Y238" s="283"/>
      <c r="Z238" s="276"/>
      <c r="AA238" s="283"/>
      <c r="AB238" s="276"/>
      <c r="AC238" s="283"/>
      <c r="AE238" s="283"/>
      <c r="AF238" s="276"/>
      <c r="AI238" s="283"/>
      <c r="AJ238" s="276"/>
      <c r="AK238" s="283"/>
      <c r="AL238" s="276"/>
      <c r="AM238" s="283"/>
      <c r="AN238" s="276"/>
      <c r="AO238" s="283"/>
      <c r="AP238" s="276"/>
      <c r="AQ238" s="283"/>
      <c r="AR238" s="276"/>
      <c r="AT238" s="283"/>
      <c r="AU238" s="276"/>
      <c r="AV238" s="283"/>
      <c r="AW238" s="276"/>
      <c r="AX238" s="283"/>
      <c r="AY238" s="276"/>
      <c r="AZ238" s="283"/>
      <c r="BA238" s="276"/>
      <c r="BB238" s="283"/>
      <c r="BC238" s="276"/>
      <c r="BD238" s="283"/>
      <c r="BE238" s="276"/>
      <c r="BG238" s="283"/>
      <c r="BH238" s="276"/>
      <c r="BI238" s="283"/>
      <c r="BJ238" s="276"/>
      <c r="BK238" s="283"/>
      <c r="BL238" s="276"/>
      <c r="BM238" s="283"/>
      <c r="BN238" s="276"/>
      <c r="BO238" s="283"/>
      <c r="BP238" s="276"/>
      <c r="BQ238" s="283"/>
      <c r="BR238" s="283"/>
      <c r="BS238" s="276"/>
    </row>
    <row r="239" spans="12:71" ht="12" customHeight="1">
      <c r="L239" s="283"/>
      <c r="M239" s="276"/>
      <c r="N239" s="283"/>
      <c r="O239" s="276"/>
      <c r="P239" s="283"/>
      <c r="Q239" s="276"/>
      <c r="S239" s="283"/>
      <c r="T239" s="276"/>
      <c r="W239" s="283"/>
      <c r="X239" s="276"/>
      <c r="Y239" s="283"/>
      <c r="Z239" s="276"/>
      <c r="AA239" s="283"/>
      <c r="AB239" s="276"/>
      <c r="AC239" s="283"/>
      <c r="AE239" s="283"/>
      <c r="AF239" s="276"/>
      <c r="AI239" s="283"/>
      <c r="AJ239" s="276"/>
      <c r="AK239" s="283"/>
      <c r="AL239" s="276"/>
      <c r="AM239" s="283"/>
      <c r="AN239" s="276"/>
      <c r="AO239" s="283"/>
      <c r="AP239" s="276"/>
      <c r="AQ239" s="283"/>
      <c r="AR239" s="276"/>
      <c r="AT239" s="283"/>
      <c r="AU239" s="276"/>
      <c r="AV239" s="283"/>
      <c r="AW239" s="276"/>
      <c r="AX239" s="283"/>
      <c r="AY239" s="276"/>
      <c r="AZ239" s="283"/>
      <c r="BA239" s="276"/>
      <c r="BB239" s="283"/>
      <c r="BC239" s="276"/>
      <c r="BD239" s="283"/>
      <c r="BE239" s="276"/>
      <c r="BG239" s="283"/>
      <c r="BH239" s="276"/>
      <c r="BI239" s="283"/>
      <c r="BJ239" s="276"/>
      <c r="BK239" s="283"/>
      <c r="BL239" s="276"/>
      <c r="BM239" s="283"/>
      <c r="BN239" s="276"/>
      <c r="BO239" s="283"/>
      <c r="BP239" s="276"/>
      <c r="BQ239" s="283"/>
      <c r="BR239" s="283"/>
      <c r="BS239" s="276"/>
    </row>
    <row r="240" spans="12:71" ht="12" customHeight="1">
      <c r="L240" s="283"/>
      <c r="M240" s="276"/>
      <c r="N240" s="283"/>
      <c r="O240" s="276"/>
      <c r="P240" s="283"/>
      <c r="Q240" s="276"/>
      <c r="S240" s="283"/>
      <c r="T240" s="276"/>
      <c r="W240" s="283"/>
      <c r="X240" s="276"/>
      <c r="Y240" s="283"/>
      <c r="Z240" s="276"/>
      <c r="AA240" s="283"/>
      <c r="AB240" s="276"/>
      <c r="AC240" s="283"/>
      <c r="AE240" s="283"/>
      <c r="AF240" s="276"/>
      <c r="AI240" s="283"/>
      <c r="AJ240" s="276"/>
      <c r="AK240" s="283"/>
      <c r="AL240" s="276"/>
      <c r="AM240" s="283"/>
      <c r="AN240" s="276"/>
      <c r="AO240" s="283"/>
      <c r="AP240" s="276"/>
      <c r="AQ240" s="283"/>
      <c r="AR240" s="276"/>
      <c r="AT240" s="283"/>
      <c r="AU240" s="276"/>
      <c r="AV240" s="283"/>
      <c r="AW240" s="276"/>
      <c r="AX240" s="283"/>
      <c r="AY240" s="276"/>
      <c r="AZ240" s="283"/>
      <c r="BA240" s="276"/>
      <c r="BB240" s="283"/>
      <c r="BC240" s="276"/>
      <c r="BD240" s="283"/>
      <c r="BE240" s="276"/>
      <c r="BG240" s="283"/>
      <c r="BH240" s="276"/>
      <c r="BI240" s="283"/>
      <c r="BJ240" s="276"/>
      <c r="BK240" s="283"/>
      <c r="BL240" s="276"/>
      <c r="BM240" s="283"/>
      <c r="BN240" s="276"/>
      <c r="BO240" s="283"/>
      <c r="BP240" s="276"/>
      <c r="BQ240" s="283"/>
      <c r="BR240" s="283"/>
      <c r="BS240" s="276"/>
    </row>
    <row r="241" spans="12:71" ht="12" customHeight="1">
      <c r="L241" s="283"/>
      <c r="M241" s="276"/>
      <c r="N241" s="283"/>
      <c r="O241" s="276"/>
      <c r="P241" s="283"/>
      <c r="Q241" s="276"/>
      <c r="S241" s="283"/>
      <c r="T241" s="276"/>
      <c r="W241" s="283"/>
      <c r="X241" s="276"/>
      <c r="Y241" s="283"/>
      <c r="Z241" s="276"/>
      <c r="AA241" s="283"/>
      <c r="AB241" s="276"/>
      <c r="AC241" s="283"/>
      <c r="AE241" s="283"/>
      <c r="AF241" s="276"/>
      <c r="AI241" s="283"/>
      <c r="AJ241" s="276"/>
      <c r="AK241" s="283"/>
      <c r="AL241" s="276"/>
      <c r="AM241" s="283"/>
      <c r="AN241" s="276"/>
      <c r="AO241" s="283"/>
      <c r="AP241" s="276"/>
      <c r="AQ241" s="283"/>
      <c r="AR241" s="276"/>
      <c r="AT241" s="283"/>
      <c r="AU241" s="276"/>
      <c r="AV241" s="283"/>
      <c r="AW241" s="276"/>
      <c r="AX241" s="283"/>
      <c r="AY241" s="276"/>
      <c r="AZ241" s="283"/>
      <c r="BA241" s="276"/>
      <c r="BB241" s="283"/>
      <c r="BC241" s="276"/>
      <c r="BD241" s="283"/>
      <c r="BE241" s="276"/>
      <c r="BG241" s="283"/>
      <c r="BH241" s="276"/>
      <c r="BI241" s="283"/>
      <c r="BJ241" s="276"/>
      <c r="BK241" s="283"/>
      <c r="BL241" s="276"/>
      <c r="BM241" s="283"/>
      <c r="BN241" s="276"/>
      <c r="BO241" s="283"/>
      <c r="BP241" s="276"/>
      <c r="BQ241" s="283"/>
      <c r="BR241" s="283"/>
      <c r="BS241" s="276"/>
    </row>
    <row r="242" spans="12:71" ht="12" customHeight="1">
      <c r="L242" s="283"/>
      <c r="M242" s="276"/>
      <c r="N242" s="283"/>
      <c r="O242" s="276"/>
      <c r="P242" s="283"/>
      <c r="Q242" s="276"/>
      <c r="S242" s="283"/>
      <c r="T242" s="276"/>
      <c r="W242" s="283"/>
      <c r="X242" s="276"/>
      <c r="Y242" s="283"/>
      <c r="Z242" s="276"/>
      <c r="AA242" s="283"/>
      <c r="AB242" s="276"/>
      <c r="AC242" s="283"/>
      <c r="AE242" s="283"/>
      <c r="AF242" s="276"/>
      <c r="AI242" s="283"/>
      <c r="AJ242" s="276"/>
      <c r="AK242" s="283"/>
      <c r="AL242" s="276"/>
      <c r="AM242" s="283"/>
      <c r="AN242" s="276"/>
      <c r="AO242" s="283"/>
      <c r="AP242" s="276"/>
      <c r="AQ242" s="283"/>
      <c r="AR242" s="276"/>
      <c r="AT242" s="283"/>
      <c r="AU242" s="276"/>
      <c r="AV242" s="283"/>
      <c r="AW242" s="276"/>
      <c r="AX242" s="283"/>
      <c r="AY242" s="276"/>
      <c r="AZ242" s="283"/>
      <c r="BA242" s="276"/>
      <c r="BB242" s="283"/>
      <c r="BC242" s="276"/>
      <c r="BD242" s="283"/>
      <c r="BE242" s="276"/>
      <c r="BG242" s="283"/>
      <c r="BH242" s="276"/>
      <c r="BI242" s="283"/>
      <c r="BJ242" s="276"/>
      <c r="BK242" s="283"/>
      <c r="BL242" s="276"/>
      <c r="BM242" s="283"/>
      <c r="BN242" s="276"/>
      <c r="BO242" s="283"/>
      <c r="BP242" s="276"/>
      <c r="BQ242" s="283"/>
      <c r="BR242" s="283"/>
      <c r="BS242" s="276"/>
    </row>
    <row r="243" spans="12:71" ht="12" customHeight="1">
      <c r="L243" s="283"/>
      <c r="M243" s="276"/>
      <c r="N243" s="283"/>
      <c r="O243" s="276"/>
      <c r="P243" s="283"/>
      <c r="Q243" s="276"/>
      <c r="S243" s="283"/>
      <c r="T243" s="276"/>
      <c r="W243" s="283"/>
      <c r="X243" s="276"/>
      <c r="Y243" s="283"/>
      <c r="Z243" s="276"/>
      <c r="AA243" s="283"/>
      <c r="AB243" s="276"/>
      <c r="AC243" s="283"/>
      <c r="AE243" s="283"/>
      <c r="AF243" s="276"/>
      <c r="AI243" s="283"/>
      <c r="AJ243" s="276"/>
      <c r="AK243" s="283"/>
      <c r="AL243" s="276"/>
      <c r="AM243" s="283"/>
      <c r="AN243" s="276"/>
      <c r="AO243" s="283"/>
      <c r="AP243" s="276"/>
      <c r="AQ243" s="283"/>
      <c r="AR243" s="276"/>
      <c r="AT243" s="283"/>
      <c r="AU243" s="276"/>
      <c r="AV243" s="283"/>
      <c r="AW243" s="276"/>
      <c r="AX243" s="283"/>
      <c r="AY243" s="276"/>
      <c r="AZ243" s="283"/>
      <c r="BA243" s="276"/>
      <c r="BB243" s="283"/>
      <c r="BC243" s="276"/>
      <c r="BD243" s="283"/>
      <c r="BE243" s="276"/>
      <c r="BG243" s="283"/>
      <c r="BH243" s="276"/>
      <c r="BI243" s="283"/>
      <c r="BJ243" s="276"/>
      <c r="BK243" s="283"/>
      <c r="BL243" s="276"/>
      <c r="BM243" s="283"/>
      <c r="BN243" s="276"/>
      <c r="BO243" s="283"/>
      <c r="BP243" s="276"/>
      <c r="BQ243" s="283"/>
      <c r="BR243" s="283"/>
      <c r="BS243" s="276"/>
    </row>
    <row r="244" spans="12:71" ht="12" customHeight="1">
      <c r="L244" s="283"/>
      <c r="M244" s="276"/>
      <c r="N244" s="283"/>
      <c r="O244" s="276"/>
      <c r="P244" s="283"/>
      <c r="Q244" s="276"/>
      <c r="S244" s="283"/>
      <c r="T244" s="276"/>
      <c r="W244" s="283"/>
      <c r="X244" s="276"/>
      <c r="Y244" s="283"/>
      <c r="Z244" s="276"/>
      <c r="AA244" s="283"/>
      <c r="AB244" s="276"/>
      <c r="AC244" s="283"/>
      <c r="AE244" s="283"/>
      <c r="AF244" s="276"/>
      <c r="AI244" s="283"/>
      <c r="AJ244" s="276"/>
      <c r="AK244" s="283"/>
      <c r="AL244" s="276"/>
      <c r="AM244" s="283"/>
      <c r="AN244" s="276"/>
      <c r="AO244" s="283"/>
      <c r="AP244" s="276"/>
      <c r="AQ244" s="283"/>
      <c r="AR244" s="276"/>
      <c r="AT244" s="283"/>
      <c r="AU244" s="276"/>
      <c r="AV244" s="283"/>
      <c r="AW244" s="276"/>
      <c r="AX244" s="283"/>
      <c r="AY244" s="276"/>
      <c r="AZ244" s="283"/>
      <c r="BA244" s="276"/>
      <c r="BB244" s="283"/>
      <c r="BC244" s="276"/>
      <c r="BD244" s="283"/>
      <c r="BE244" s="276"/>
      <c r="BG244" s="283"/>
      <c r="BH244" s="276"/>
      <c r="BI244" s="283"/>
      <c r="BJ244" s="276"/>
      <c r="BK244" s="283"/>
      <c r="BL244" s="276"/>
      <c r="BM244" s="283"/>
      <c r="BN244" s="276"/>
      <c r="BO244" s="283"/>
      <c r="BP244" s="276"/>
      <c r="BQ244" s="283"/>
      <c r="BR244" s="283"/>
      <c r="BS244" s="276"/>
    </row>
    <row r="245" spans="12:71" ht="12" customHeight="1">
      <c r="L245" s="283"/>
      <c r="M245" s="276"/>
      <c r="N245" s="283"/>
      <c r="O245" s="276"/>
      <c r="P245" s="283"/>
      <c r="Q245" s="276"/>
      <c r="S245" s="283"/>
      <c r="T245" s="276"/>
      <c r="W245" s="283"/>
      <c r="X245" s="276"/>
      <c r="Y245" s="283"/>
      <c r="Z245" s="276"/>
      <c r="AA245" s="283"/>
      <c r="AB245" s="276"/>
      <c r="AC245" s="283"/>
      <c r="AE245" s="283"/>
      <c r="AF245" s="276"/>
      <c r="AI245" s="283"/>
      <c r="AJ245" s="276"/>
      <c r="AK245" s="283"/>
      <c r="AL245" s="276"/>
      <c r="AM245" s="283"/>
      <c r="AN245" s="276"/>
      <c r="AO245" s="283"/>
      <c r="AP245" s="276"/>
      <c r="AQ245" s="283"/>
      <c r="AR245" s="276"/>
      <c r="AT245" s="283"/>
      <c r="AU245" s="276"/>
      <c r="AV245" s="283"/>
      <c r="AW245" s="276"/>
      <c r="AX245" s="283"/>
      <c r="AY245" s="276"/>
      <c r="AZ245" s="283"/>
      <c r="BA245" s="276"/>
      <c r="BB245" s="283"/>
      <c r="BC245" s="276"/>
      <c r="BD245" s="283"/>
      <c r="BE245" s="276"/>
      <c r="BG245" s="283"/>
      <c r="BH245" s="276"/>
      <c r="BI245" s="283"/>
      <c r="BJ245" s="276"/>
      <c r="BK245" s="283"/>
      <c r="BL245" s="276"/>
      <c r="BM245" s="283"/>
      <c r="BN245" s="276"/>
      <c r="BO245" s="283"/>
      <c r="BP245" s="276"/>
      <c r="BQ245" s="283"/>
      <c r="BR245" s="283"/>
      <c r="BS245" s="276"/>
    </row>
    <row r="246" spans="12:71" ht="12" customHeight="1">
      <c r="L246" s="283"/>
      <c r="M246" s="276"/>
      <c r="N246" s="283"/>
      <c r="O246" s="276"/>
      <c r="P246" s="283"/>
      <c r="Q246" s="276"/>
      <c r="S246" s="283"/>
      <c r="T246" s="276"/>
      <c r="W246" s="283"/>
      <c r="X246" s="276"/>
      <c r="Y246" s="283"/>
      <c r="Z246" s="276"/>
      <c r="AA246" s="283"/>
      <c r="AB246" s="276"/>
      <c r="AC246" s="283"/>
      <c r="AE246" s="283"/>
      <c r="AF246" s="276"/>
      <c r="AI246" s="283"/>
      <c r="AJ246" s="276"/>
      <c r="AK246" s="283"/>
      <c r="AL246" s="276"/>
      <c r="AM246" s="283"/>
      <c r="AN246" s="276"/>
      <c r="AO246" s="283"/>
      <c r="AP246" s="276"/>
      <c r="AQ246" s="283"/>
      <c r="AR246" s="276"/>
      <c r="AT246" s="283"/>
      <c r="AU246" s="276"/>
      <c r="AV246" s="283"/>
      <c r="AW246" s="276"/>
      <c r="AX246" s="283"/>
      <c r="AY246" s="276"/>
      <c r="AZ246" s="283"/>
      <c r="BA246" s="276"/>
      <c r="BB246" s="283"/>
      <c r="BC246" s="276"/>
      <c r="BD246" s="283"/>
      <c r="BE246" s="276"/>
      <c r="BG246" s="283"/>
      <c r="BH246" s="276"/>
      <c r="BI246" s="283"/>
      <c r="BJ246" s="276"/>
      <c r="BK246" s="283"/>
      <c r="BL246" s="276"/>
      <c r="BM246" s="283"/>
      <c r="BN246" s="276"/>
      <c r="BO246" s="283"/>
      <c r="BP246" s="276"/>
      <c r="BQ246" s="283"/>
      <c r="BR246" s="283"/>
      <c r="BS246" s="276"/>
    </row>
    <row r="247" spans="12:71" ht="12" customHeight="1">
      <c r="L247" s="283"/>
      <c r="M247" s="276"/>
      <c r="N247" s="283"/>
      <c r="O247" s="276"/>
      <c r="P247" s="283"/>
      <c r="Q247" s="276"/>
      <c r="S247" s="283"/>
      <c r="T247" s="276"/>
      <c r="W247" s="283"/>
      <c r="X247" s="276"/>
      <c r="Y247" s="283"/>
      <c r="Z247" s="276"/>
      <c r="AA247" s="283"/>
      <c r="AB247" s="276"/>
      <c r="AC247" s="283"/>
      <c r="AE247" s="283"/>
      <c r="AF247" s="276"/>
      <c r="AI247" s="283"/>
      <c r="AJ247" s="276"/>
      <c r="AK247" s="283"/>
      <c r="AL247" s="276"/>
      <c r="AM247" s="283"/>
      <c r="AN247" s="276"/>
      <c r="AO247" s="283"/>
      <c r="AP247" s="276"/>
      <c r="AQ247" s="283"/>
      <c r="AR247" s="276"/>
      <c r="AT247" s="283"/>
      <c r="AU247" s="276"/>
      <c r="AV247" s="283"/>
      <c r="AW247" s="276"/>
      <c r="AX247" s="283"/>
      <c r="AY247" s="276"/>
      <c r="AZ247" s="283"/>
      <c r="BA247" s="276"/>
      <c r="BB247" s="283"/>
      <c r="BC247" s="276"/>
      <c r="BD247" s="283"/>
      <c r="BE247" s="276"/>
      <c r="BG247" s="283"/>
      <c r="BH247" s="276"/>
      <c r="BI247" s="283"/>
      <c r="BJ247" s="276"/>
      <c r="BK247" s="283"/>
      <c r="BL247" s="276"/>
      <c r="BM247" s="283"/>
      <c r="BN247" s="276"/>
      <c r="BO247" s="283"/>
      <c r="BP247" s="276"/>
      <c r="BQ247" s="283"/>
      <c r="BR247" s="283"/>
      <c r="BS247" s="276"/>
    </row>
    <row r="248" spans="12:71" ht="12" customHeight="1">
      <c r="L248" s="283"/>
      <c r="M248" s="276"/>
      <c r="N248" s="283"/>
      <c r="O248" s="276"/>
      <c r="P248" s="283"/>
      <c r="Q248" s="276"/>
      <c r="S248" s="283"/>
      <c r="T248" s="276"/>
      <c r="W248" s="283"/>
      <c r="X248" s="276"/>
      <c r="Y248" s="283"/>
      <c r="Z248" s="276"/>
      <c r="AA248" s="283"/>
      <c r="AB248" s="276"/>
      <c r="AC248" s="283"/>
      <c r="AE248" s="283"/>
      <c r="AF248" s="276"/>
      <c r="AI248" s="283"/>
      <c r="AJ248" s="276"/>
      <c r="AK248" s="283"/>
      <c r="AL248" s="276"/>
      <c r="AM248" s="283"/>
      <c r="AN248" s="276"/>
      <c r="AO248" s="283"/>
      <c r="AP248" s="276"/>
      <c r="AQ248" s="283"/>
      <c r="AR248" s="276"/>
      <c r="AT248" s="283"/>
      <c r="AU248" s="276"/>
      <c r="AV248" s="283"/>
      <c r="AW248" s="276"/>
      <c r="AX248" s="283"/>
      <c r="AY248" s="276"/>
      <c r="AZ248" s="283"/>
      <c r="BA248" s="276"/>
      <c r="BB248" s="283"/>
      <c r="BC248" s="276"/>
      <c r="BD248" s="283"/>
      <c r="BE248" s="276"/>
      <c r="BG248" s="283"/>
      <c r="BH248" s="276"/>
      <c r="BI248" s="283"/>
      <c r="BJ248" s="276"/>
      <c r="BK248" s="283"/>
      <c r="BL248" s="276"/>
      <c r="BM248" s="283"/>
      <c r="BN248" s="276"/>
      <c r="BO248" s="283"/>
      <c r="BP248" s="276"/>
      <c r="BQ248" s="283"/>
      <c r="BR248" s="283"/>
      <c r="BS248" s="276"/>
    </row>
    <row r="249" spans="12:71" ht="12" customHeight="1">
      <c r="L249" s="283"/>
      <c r="M249" s="276"/>
      <c r="N249" s="283"/>
      <c r="O249" s="276"/>
      <c r="P249" s="283"/>
      <c r="Q249" s="276"/>
      <c r="S249" s="283"/>
      <c r="T249" s="276"/>
      <c r="W249" s="283"/>
      <c r="X249" s="276"/>
      <c r="Y249" s="283"/>
      <c r="Z249" s="276"/>
      <c r="AA249" s="283"/>
      <c r="AB249" s="276"/>
      <c r="AC249" s="283"/>
      <c r="AE249" s="283"/>
      <c r="AF249" s="276"/>
      <c r="AI249" s="283"/>
      <c r="AJ249" s="276"/>
      <c r="AK249" s="283"/>
      <c r="AL249" s="276"/>
      <c r="AM249" s="283"/>
      <c r="AN249" s="276"/>
      <c r="AO249" s="283"/>
      <c r="AP249" s="276"/>
      <c r="AQ249" s="283"/>
      <c r="AR249" s="276"/>
      <c r="AT249" s="283"/>
      <c r="AU249" s="276"/>
      <c r="AV249" s="283"/>
      <c r="AW249" s="276"/>
      <c r="AX249" s="283"/>
      <c r="AY249" s="276"/>
      <c r="AZ249" s="283"/>
      <c r="BA249" s="276"/>
      <c r="BB249" s="283"/>
      <c r="BC249" s="276"/>
      <c r="BD249" s="283"/>
      <c r="BE249" s="276"/>
      <c r="BG249" s="283"/>
      <c r="BH249" s="276"/>
      <c r="BI249" s="283"/>
      <c r="BJ249" s="276"/>
      <c r="BK249" s="283"/>
      <c r="BL249" s="276"/>
      <c r="BM249" s="283"/>
      <c r="BN249" s="276"/>
      <c r="BO249" s="283"/>
      <c r="BP249" s="276"/>
      <c r="BQ249" s="283"/>
      <c r="BR249" s="283"/>
      <c r="BS249" s="276"/>
    </row>
    <row r="250" spans="12:71" ht="12" customHeight="1">
      <c r="L250" s="283"/>
      <c r="M250" s="276"/>
      <c r="N250" s="283"/>
      <c r="O250" s="276"/>
      <c r="P250" s="283"/>
      <c r="Q250" s="276"/>
      <c r="S250" s="283"/>
      <c r="T250" s="276"/>
      <c r="W250" s="283"/>
      <c r="X250" s="276"/>
      <c r="Y250" s="283"/>
      <c r="Z250" s="276"/>
      <c r="AA250" s="283"/>
      <c r="AB250" s="276"/>
      <c r="AC250" s="283"/>
      <c r="AE250" s="283"/>
      <c r="AF250" s="276"/>
      <c r="AI250" s="283"/>
      <c r="AJ250" s="276"/>
      <c r="AK250" s="283"/>
      <c r="AL250" s="276"/>
      <c r="AM250" s="283"/>
      <c r="AN250" s="276"/>
      <c r="AO250" s="283"/>
      <c r="AP250" s="276"/>
      <c r="AQ250" s="283"/>
      <c r="AR250" s="276"/>
      <c r="AT250" s="283"/>
      <c r="AU250" s="276"/>
      <c r="AV250" s="283"/>
      <c r="AW250" s="276"/>
      <c r="AX250" s="283"/>
      <c r="AY250" s="276"/>
      <c r="AZ250" s="283"/>
      <c r="BA250" s="276"/>
      <c r="BB250" s="283"/>
      <c r="BC250" s="276"/>
      <c r="BD250" s="283"/>
      <c r="BE250" s="276"/>
      <c r="BG250" s="283"/>
      <c r="BH250" s="276"/>
      <c r="BI250" s="283"/>
      <c r="BJ250" s="276"/>
      <c r="BK250" s="283"/>
      <c r="BL250" s="276"/>
      <c r="BM250" s="283"/>
      <c r="BN250" s="276"/>
      <c r="BO250" s="283"/>
      <c r="BP250" s="276"/>
      <c r="BQ250" s="283"/>
      <c r="BR250" s="283"/>
      <c r="BS250" s="276"/>
    </row>
    <row r="251" spans="12:71" ht="12" customHeight="1">
      <c r="L251" s="283"/>
      <c r="M251" s="276"/>
      <c r="N251" s="283"/>
      <c r="O251" s="276"/>
      <c r="P251" s="283"/>
      <c r="Q251" s="276"/>
      <c r="S251" s="283"/>
      <c r="T251" s="276"/>
      <c r="W251" s="283"/>
      <c r="X251" s="276"/>
      <c r="Y251" s="283"/>
      <c r="Z251" s="276"/>
      <c r="AA251" s="283"/>
      <c r="AB251" s="276"/>
      <c r="AC251" s="283"/>
      <c r="AE251" s="283"/>
      <c r="AF251" s="276"/>
      <c r="AI251" s="283"/>
      <c r="AJ251" s="276"/>
      <c r="AK251" s="283"/>
      <c r="AL251" s="276"/>
      <c r="AM251" s="283"/>
      <c r="AN251" s="276"/>
      <c r="AO251" s="283"/>
      <c r="AP251" s="276"/>
      <c r="AQ251" s="283"/>
      <c r="AR251" s="276"/>
      <c r="AT251" s="283"/>
      <c r="AU251" s="276"/>
      <c r="AV251" s="283"/>
      <c r="AW251" s="276"/>
      <c r="AX251" s="283"/>
      <c r="AY251" s="276"/>
      <c r="AZ251" s="283"/>
      <c r="BA251" s="276"/>
      <c r="BB251" s="283"/>
      <c r="BC251" s="276"/>
      <c r="BD251" s="283"/>
      <c r="BE251" s="276"/>
      <c r="BG251" s="283"/>
      <c r="BH251" s="276"/>
      <c r="BI251" s="283"/>
      <c r="BJ251" s="276"/>
      <c r="BK251" s="283"/>
      <c r="BL251" s="276"/>
      <c r="BM251" s="283"/>
      <c r="BN251" s="276"/>
      <c r="BO251" s="283"/>
      <c r="BP251" s="276"/>
      <c r="BQ251" s="283"/>
      <c r="BR251" s="283"/>
      <c r="BS251" s="276"/>
    </row>
    <row r="252" spans="12:71" ht="12" customHeight="1">
      <c r="L252" s="283"/>
      <c r="M252" s="276"/>
      <c r="N252" s="283"/>
      <c r="O252" s="276"/>
      <c r="P252" s="283"/>
      <c r="Q252" s="276"/>
      <c r="S252" s="283"/>
      <c r="T252" s="276"/>
      <c r="W252" s="283"/>
      <c r="X252" s="276"/>
      <c r="Y252" s="283"/>
      <c r="Z252" s="276"/>
      <c r="AA252" s="283"/>
      <c r="AB252" s="276"/>
      <c r="AC252" s="283"/>
      <c r="AE252" s="283"/>
      <c r="AF252" s="276"/>
      <c r="AI252" s="283"/>
      <c r="AJ252" s="276"/>
      <c r="AK252" s="283"/>
      <c r="AL252" s="276"/>
      <c r="AM252" s="283"/>
      <c r="AN252" s="276"/>
      <c r="AO252" s="283"/>
      <c r="AP252" s="276"/>
      <c r="AQ252" s="283"/>
      <c r="AR252" s="276"/>
      <c r="AT252" s="283"/>
      <c r="AU252" s="276"/>
      <c r="AV252" s="283"/>
      <c r="AW252" s="276"/>
      <c r="AX252" s="283"/>
      <c r="AY252" s="276"/>
      <c r="AZ252" s="283"/>
      <c r="BA252" s="276"/>
      <c r="BB252" s="283"/>
      <c r="BC252" s="276"/>
      <c r="BD252" s="283"/>
      <c r="BE252" s="276"/>
      <c r="BG252" s="283"/>
      <c r="BH252" s="276"/>
      <c r="BI252" s="283"/>
      <c r="BJ252" s="276"/>
      <c r="BK252" s="283"/>
      <c r="BL252" s="276"/>
      <c r="BM252" s="283"/>
      <c r="BN252" s="276"/>
      <c r="BO252" s="283"/>
      <c r="BP252" s="276"/>
      <c r="BQ252" s="283"/>
      <c r="BR252" s="283"/>
      <c r="BS252" s="276"/>
    </row>
    <row r="253" spans="12:71" ht="12" customHeight="1">
      <c r="L253" s="283"/>
      <c r="M253" s="276"/>
      <c r="N253" s="283"/>
      <c r="O253" s="276"/>
      <c r="P253" s="283"/>
      <c r="Q253" s="276"/>
      <c r="S253" s="283"/>
      <c r="T253" s="276"/>
      <c r="W253" s="283"/>
      <c r="X253" s="276"/>
      <c r="Y253" s="283"/>
      <c r="Z253" s="276"/>
      <c r="AA253" s="283"/>
      <c r="AB253" s="276"/>
      <c r="AC253" s="283"/>
      <c r="AE253" s="283"/>
      <c r="AF253" s="276"/>
      <c r="AI253" s="283"/>
      <c r="AJ253" s="276"/>
      <c r="AK253" s="283"/>
      <c r="AL253" s="276"/>
      <c r="AM253" s="283"/>
      <c r="AN253" s="276"/>
      <c r="AO253" s="283"/>
      <c r="AP253" s="276"/>
      <c r="AQ253" s="283"/>
      <c r="AR253" s="276"/>
      <c r="AT253" s="283"/>
      <c r="AU253" s="276"/>
      <c r="AV253" s="283"/>
      <c r="AW253" s="276"/>
      <c r="AX253" s="283"/>
      <c r="AY253" s="276"/>
      <c r="AZ253" s="283"/>
      <c r="BA253" s="276"/>
      <c r="BB253" s="283"/>
      <c r="BC253" s="276"/>
      <c r="BD253" s="283"/>
      <c r="BE253" s="276"/>
      <c r="BG253" s="283"/>
      <c r="BH253" s="276"/>
      <c r="BI253" s="283"/>
      <c r="BJ253" s="276"/>
      <c r="BK253" s="283"/>
      <c r="BL253" s="276"/>
      <c r="BM253" s="283"/>
      <c r="BN253" s="276"/>
      <c r="BO253" s="283"/>
      <c r="BP253" s="276"/>
      <c r="BQ253" s="283"/>
      <c r="BR253" s="283"/>
      <c r="BS253" s="276"/>
    </row>
    <row r="254" spans="12:71" ht="12" customHeight="1">
      <c r="L254" s="283"/>
      <c r="M254" s="276"/>
      <c r="N254" s="283"/>
      <c r="O254" s="276"/>
      <c r="P254" s="283"/>
      <c r="Q254" s="276"/>
      <c r="S254" s="283"/>
      <c r="T254" s="276"/>
      <c r="W254" s="283"/>
      <c r="X254" s="276"/>
      <c r="Y254" s="283"/>
      <c r="Z254" s="276"/>
      <c r="AA254" s="283"/>
      <c r="AB254" s="276"/>
      <c r="AC254" s="283"/>
      <c r="AE254" s="283"/>
      <c r="AF254" s="276"/>
      <c r="AI254" s="283"/>
      <c r="AJ254" s="276"/>
      <c r="AK254" s="283"/>
      <c r="AL254" s="276"/>
      <c r="AM254" s="283"/>
      <c r="AN254" s="276"/>
      <c r="AO254" s="283"/>
      <c r="AP254" s="276"/>
      <c r="AQ254" s="283"/>
      <c r="AR254" s="276"/>
      <c r="AT254" s="283"/>
      <c r="AU254" s="276"/>
      <c r="AV254" s="283"/>
      <c r="AW254" s="276"/>
      <c r="AX254" s="283"/>
      <c r="AY254" s="276"/>
      <c r="AZ254" s="283"/>
      <c r="BA254" s="276"/>
      <c r="BB254" s="283"/>
      <c r="BC254" s="276"/>
      <c r="BD254" s="283"/>
      <c r="BE254" s="276"/>
      <c r="BG254" s="283"/>
      <c r="BH254" s="276"/>
      <c r="BI254" s="283"/>
      <c r="BJ254" s="276"/>
      <c r="BK254" s="283"/>
      <c r="BL254" s="276"/>
      <c r="BM254" s="283"/>
      <c r="BN254" s="276"/>
      <c r="BO254" s="283"/>
      <c r="BP254" s="276"/>
      <c r="BQ254" s="283"/>
      <c r="BR254" s="283"/>
      <c r="BS254" s="276"/>
    </row>
    <row r="255" spans="12:71" ht="12" customHeight="1">
      <c r="L255" s="283"/>
      <c r="M255" s="276"/>
      <c r="N255" s="283"/>
      <c r="O255" s="276"/>
      <c r="P255" s="283"/>
      <c r="Q255" s="276"/>
      <c r="S255" s="283"/>
      <c r="T255" s="276"/>
      <c r="W255" s="283"/>
      <c r="X255" s="276"/>
      <c r="Y255" s="283"/>
      <c r="Z255" s="276"/>
      <c r="AA255" s="283"/>
      <c r="AB255" s="276"/>
      <c r="AC255" s="283"/>
      <c r="AE255" s="283"/>
      <c r="AF255" s="276"/>
      <c r="AI255" s="283"/>
      <c r="AJ255" s="276"/>
      <c r="AK255" s="283"/>
      <c r="AL255" s="276"/>
      <c r="AM255" s="283"/>
      <c r="AN255" s="276"/>
      <c r="AO255" s="283"/>
      <c r="AP255" s="276"/>
      <c r="AQ255" s="283"/>
      <c r="AR255" s="276"/>
      <c r="AT255" s="283"/>
      <c r="AU255" s="276"/>
      <c r="AV255" s="283"/>
      <c r="AW255" s="276"/>
      <c r="AX255" s="283"/>
      <c r="AY255" s="276"/>
      <c r="AZ255" s="283"/>
      <c r="BA255" s="276"/>
      <c r="BB255" s="283"/>
      <c r="BC255" s="276"/>
      <c r="BD255" s="283"/>
      <c r="BE255" s="276"/>
      <c r="BG255" s="283"/>
      <c r="BH255" s="276"/>
      <c r="BI255" s="283"/>
      <c r="BJ255" s="276"/>
      <c r="BK255" s="283"/>
      <c r="BL255" s="276"/>
      <c r="BM255" s="283"/>
      <c r="BN255" s="276"/>
      <c r="BO255" s="283"/>
      <c r="BP255" s="276"/>
      <c r="BQ255" s="283"/>
      <c r="BR255" s="283"/>
      <c r="BS255" s="276"/>
    </row>
    <row r="256" spans="12:71" ht="12" customHeight="1">
      <c r="L256" s="283"/>
      <c r="M256" s="276"/>
      <c r="N256" s="283"/>
      <c r="O256" s="276"/>
      <c r="P256" s="283"/>
      <c r="Q256" s="276"/>
      <c r="S256" s="283"/>
      <c r="T256" s="276"/>
      <c r="W256" s="283"/>
      <c r="X256" s="276"/>
      <c r="Y256" s="283"/>
      <c r="Z256" s="276"/>
      <c r="AA256" s="283"/>
      <c r="AB256" s="276"/>
      <c r="AC256" s="283"/>
      <c r="AE256" s="283"/>
      <c r="AF256" s="276"/>
      <c r="AI256" s="283"/>
      <c r="AJ256" s="276"/>
      <c r="AK256" s="283"/>
      <c r="AL256" s="276"/>
      <c r="AM256" s="283"/>
      <c r="AN256" s="276"/>
      <c r="AO256" s="283"/>
      <c r="AP256" s="276"/>
      <c r="AQ256" s="283"/>
      <c r="AR256" s="276"/>
      <c r="AT256" s="283"/>
      <c r="AU256" s="276"/>
      <c r="AV256" s="283"/>
      <c r="AW256" s="276"/>
      <c r="AX256" s="283"/>
      <c r="AY256" s="276"/>
      <c r="AZ256" s="283"/>
      <c r="BA256" s="276"/>
      <c r="BB256" s="283"/>
      <c r="BC256" s="276"/>
      <c r="BD256" s="283"/>
      <c r="BE256" s="276"/>
      <c r="BG256" s="283"/>
      <c r="BH256" s="276"/>
      <c r="BI256" s="283"/>
      <c r="BJ256" s="276"/>
      <c r="BK256" s="283"/>
      <c r="BL256" s="276"/>
      <c r="BM256" s="283"/>
      <c r="BN256" s="276"/>
      <c r="BO256" s="283"/>
      <c r="BP256" s="276"/>
      <c r="BQ256" s="283"/>
      <c r="BR256" s="283"/>
      <c r="BS256" s="276"/>
    </row>
    <row r="257" spans="12:71" ht="12" customHeight="1">
      <c r="L257" s="283"/>
      <c r="M257" s="276"/>
      <c r="N257" s="283"/>
      <c r="O257" s="276"/>
      <c r="P257" s="283"/>
      <c r="Q257" s="276"/>
      <c r="S257" s="283"/>
      <c r="T257" s="276"/>
      <c r="W257" s="283"/>
      <c r="X257" s="276"/>
      <c r="Y257" s="283"/>
      <c r="Z257" s="276"/>
      <c r="AA257" s="283"/>
      <c r="AB257" s="276"/>
      <c r="AC257" s="283"/>
      <c r="AE257" s="283"/>
      <c r="AF257" s="276"/>
      <c r="AI257" s="283"/>
      <c r="AJ257" s="276"/>
      <c r="AK257" s="283"/>
      <c r="AL257" s="276"/>
      <c r="AM257" s="283"/>
      <c r="AN257" s="276"/>
      <c r="AO257" s="283"/>
      <c r="AP257" s="276"/>
      <c r="AQ257" s="283"/>
      <c r="AR257" s="276"/>
      <c r="AT257" s="283"/>
      <c r="AU257" s="276"/>
      <c r="AV257" s="283"/>
      <c r="AW257" s="276"/>
      <c r="AX257" s="283"/>
      <c r="AY257" s="276"/>
      <c r="AZ257" s="283"/>
      <c r="BA257" s="276"/>
      <c r="BB257" s="283"/>
      <c r="BC257" s="276"/>
      <c r="BD257" s="283"/>
      <c r="BE257" s="276"/>
      <c r="BG257" s="283"/>
      <c r="BH257" s="276"/>
      <c r="BI257" s="283"/>
      <c r="BJ257" s="276"/>
      <c r="BK257" s="283"/>
      <c r="BL257" s="276"/>
      <c r="BM257" s="283"/>
      <c r="BN257" s="276"/>
      <c r="BO257" s="283"/>
      <c r="BP257" s="276"/>
      <c r="BQ257" s="283"/>
      <c r="BR257" s="283"/>
      <c r="BS257" s="276"/>
    </row>
    <row r="258" spans="12:71" ht="12" customHeight="1">
      <c r="L258" s="283"/>
      <c r="M258" s="276"/>
      <c r="N258" s="283"/>
      <c r="O258" s="276"/>
      <c r="P258" s="283"/>
      <c r="Q258" s="276"/>
      <c r="S258" s="283"/>
      <c r="T258" s="276"/>
      <c r="W258" s="283"/>
      <c r="X258" s="276"/>
      <c r="Y258" s="283"/>
      <c r="Z258" s="276"/>
      <c r="AA258" s="283"/>
      <c r="AB258" s="276"/>
      <c r="AC258" s="283"/>
      <c r="AE258" s="283"/>
      <c r="AF258" s="276"/>
      <c r="AI258" s="283"/>
      <c r="AJ258" s="276"/>
      <c r="AK258" s="283"/>
      <c r="AL258" s="276"/>
      <c r="AM258" s="283"/>
      <c r="AN258" s="276"/>
      <c r="AO258" s="283"/>
      <c r="AP258" s="276"/>
      <c r="AQ258" s="283"/>
      <c r="AR258" s="276"/>
      <c r="AT258" s="283"/>
      <c r="AU258" s="276"/>
      <c r="AV258" s="283"/>
      <c r="AW258" s="276"/>
      <c r="AX258" s="283"/>
      <c r="AY258" s="276"/>
      <c r="AZ258" s="283"/>
      <c r="BA258" s="276"/>
      <c r="BB258" s="283"/>
      <c r="BC258" s="276"/>
      <c r="BD258" s="283"/>
      <c r="BE258" s="276"/>
      <c r="BG258" s="283"/>
      <c r="BH258" s="276"/>
      <c r="BI258" s="283"/>
      <c r="BJ258" s="276"/>
      <c r="BK258" s="283"/>
      <c r="BL258" s="276"/>
      <c r="BM258" s="283"/>
      <c r="BN258" s="276"/>
      <c r="BO258" s="283"/>
      <c r="BP258" s="276"/>
      <c r="BQ258" s="283"/>
      <c r="BR258" s="283"/>
      <c r="BS258" s="276"/>
    </row>
    <row r="259" spans="12:71" ht="12" customHeight="1">
      <c r="L259" s="283"/>
      <c r="M259" s="276"/>
      <c r="N259" s="283"/>
      <c r="O259" s="276"/>
      <c r="P259" s="283"/>
      <c r="Q259" s="276"/>
      <c r="S259" s="283"/>
      <c r="T259" s="276"/>
      <c r="W259" s="283"/>
      <c r="X259" s="276"/>
      <c r="Y259" s="283"/>
      <c r="Z259" s="276"/>
      <c r="AA259" s="283"/>
      <c r="AB259" s="276"/>
      <c r="AC259" s="283"/>
      <c r="AE259" s="283"/>
      <c r="AF259" s="276"/>
      <c r="AI259" s="283"/>
      <c r="AJ259" s="276"/>
      <c r="AK259" s="283"/>
      <c r="AL259" s="276"/>
      <c r="AM259" s="283"/>
      <c r="AN259" s="276"/>
      <c r="AO259" s="283"/>
      <c r="AP259" s="276"/>
      <c r="AQ259" s="283"/>
      <c r="AR259" s="276"/>
      <c r="AT259" s="283"/>
      <c r="AU259" s="276"/>
      <c r="AV259" s="283"/>
      <c r="AW259" s="276"/>
      <c r="AX259" s="283"/>
      <c r="AY259" s="276"/>
      <c r="AZ259" s="283"/>
      <c r="BA259" s="276"/>
      <c r="BB259" s="283"/>
      <c r="BC259" s="276"/>
      <c r="BD259" s="283"/>
      <c r="BE259" s="276"/>
      <c r="BG259" s="283"/>
      <c r="BH259" s="276"/>
      <c r="BI259" s="283"/>
      <c r="BJ259" s="276"/>
      <c r="BK259" s="283"/>
      <c r="BL259" s="276"/>
      <c r="BM259" s="283"/>
      <c r="BN259" s="276"/>
      <c r="BO259" s="283"/>
      <c r="BP259" s="276"/>
      <c r="BQ259" s="283"/>
      <c r="BR259" s="283"/>
      <c r="BS259" s="276"/>
    </row>
    <row r="260" spans="12:71" ht="12" customHeight="1">
      <c r="L260" s="283"/>
      <c r="M260" s="276"/>
      <c r="N260" s="283"/>
      <c r="O260" s="276"/>
      <c r="P260" s="283"/>
      <c r="Q260" s="276"/>
      <c r="S260" s="283"/>
      <c r="T260" s="276"/>
      <c r="W260" s="283"/>
      <c r="X260" s="276"/>
      <c r="Y260" s="283"/>
      <c r="Z260" s="276"/>
      <c r="AA260" s="283"/>
      <c r="AB260" s="276"/>
      <c r="AC260" s="283"/>
      <c r="AE260" s="283"/>
      <c r="AF260" s="276"/>
      <c r="AI260" s="283"/>
      <c r="AJ260" s="276"/>
      <c r="AK260" s="283"/>
      <c r="AL260" s="276"/>
      <c r="AM260" s="283"/>
      <c r="AN260" s="276"/>
      <c r="AO260" s="283"/>
      <c r="AP260" s="276"/>
      <c r="AQ260" s="283"/>
      <c r="AR260" s="276"/>
      <c r="AT260" s="283"/>
      <c r="AU260" s="276"/>
      <c r="AV260" s="283"/>
      <c r="AW260" s="276"/>
      <c r="AX260" s="283"/>
      <c r="AY260" s="276"/>
      <c r="AZ260" s="283"/>
      <c r="BA260" s="276"/>
      <c r="BB260" s="283"/>
      <c r="BC260" s="276"/>
      <c r="BD260" s="283"/>
      <c r="BE260" s="276"/>
      <c r="BG260" s="283"/>
      <c r="BH260" s="276"/>
      <c r="BI260" s="283"/>
      <c r="BJ260" s="276"/>
      <c r="BK260" s="283"/>
      <c r="BL260" s="276"/>
      <c r="BM260" s="283"/>
      <c r="BN260" s="276"/>
      <c r="BO260" s="283"/>
      <c r="BP260" s="276"/>
      <c r="BQ260" s="283"/>
      <c r="BR260" s="283"/>
      <c r="BS260" s="276"/>
    </row>
    <row r="261" spans="12:71" ht="12" customHeight="1">
      <c r="L261" s="283"/>
      <c r="M261" s="276"/>
      <c r="N261" s="283"/>
      <c r="O261" s="276"/>
      <c r="P261" s="283"/>
      <c r="Q261" s="276"/>
      <c r="S261" s="283"/>
      <c r="T261" s="276"/>
      <c r="W261" s="283"/>
      <c r="X261" s="276"/>
      <c r="Y261" s="283"/>
      <c r="Z261" s="276"/>
      <c r="AA261" s="283"/>
      <c r="AB261" s="276"/>
      <c r="AC261" s="283"/>
      <c r="AE261" s="283"/>
      <c r="AF261" s="276"/>
      <c r="AI261" s="283"/>
      <c r="AJ261" s="276"/>
      <c r="AK261" s="283"/>
      <c r="AL261" s="276"/>
      <c r="AM261" s="283"/>
      <c r="AN261" s="276"/>
      <c r="AO261" s="283"/>
      <c r="AP261" s="276"/>
      <c r="AQ261" s="283"/>
      <c r="AR261" s="276"/>
      <c r="AT261" s="283"/>
      <c r="AU261" s="276"/>
      <c r="AV261" s="283"/>
      <c r="AW261" s="276"/>
      <c r="AX261" s="283"/>
      <c r="AY261" s="276"/>
      <c r="AZ261" s="283"/>
      <c r="BA261" s="276"/>
      <c r="BB261" s="283"/>
      <c r="BC261" s="276"/>
      <c r="BD261" s="283"/>
      <c r="BE261" s="276"/>
      <c r="BG261" s="283"/>
      <c r="BH261" s="276"/>
      <c r="BI261" s="283"/>
      <c r="BJ261" s="276"/>
      <c r="BK261" s="283"/>
      <c r="BL261" s="276"/>
      <c r="BM261" s="283"/>
      <c r="BN261" s="276"/>
      <c r="BO261" s="283"/>
      <c r="BP261" s="276"/>
      <c r="BQ261" s="283"/>
      <c r="BR261" s="283"/>
      <c r="BS261" s="276"/>
    </row>
    <row r="262" spans="12:71" ht="12" customHeight="1">
      <c r="L262" s="283"/>
      <c r="M262" s="276"/>
      <c r="N262" s="283"/>
      <c r="O262" s="276"/>
      <c r="P262" s="283"/>
      <c r="Q262" s="276"/>
      <c r="S262" s="283"/>
      <c r="T262" s="276"/>
      <c r="W262" s="283"/>
      <c r="X262" s="276"/>
      <c r="Y262" s="283"/>
      <c r="Z262" s="276"/>
      <c r="AA262" s="283"/>
      <c r="AB262" s="276"/>
      <c r="AC262" s="283"/>
      <c r="AE262" s="283"/>
      <c r="AF262" s="276"/>
      <c r="AI262" s="283"/>
      <c r="AJ262" s="276"/>
      <c r="AK262" s="283"/>
      <c r="AL262" s="276"/>
      <c r="AM262" s="283"/>
      <c r="AN262" s="276"/>
      <c r="AO262" s="283"/>
      <c r="AP262" s="276"/>
      <c r="AQ262" s="283"/>
      <c r="AR262" s="276"/>
      <c r="AT262" s="283"/>
      <c r="AU262" s="276"/>
      <c r="AV262" s="283"/>
      <c r="AW262" s="276"/>
      <c r="AX262" s="283"/>
      <c r="AY262" s="276"/>
      <c r="AZ262" s="283"/>
      <c r="BA262" s="276"/>
      <c r="BB262" s="283"/>
      <c r="BC262" s="276"/>
      <c r="BD262" s="283"/>
      <c r="BE262" s="276"/>
      <c r="BG262" s="283"/>
      <c r="BH262" s="276"/>
      <c r="BI262" s="283"/>
      <c r="BJ262" s="276"/>
      <c r="BK262" s="283"/>
      <c r="BL262" s="276"/>
      <c r="BM262" s="283"/>
      <c r="BN262" s="276"/>
      <c r="BO262" s="283"/>
      <c r="BP262" s="276"/>
      <c r="BQ262" s="283"/>
      <c r="BR262" s="283"/>
      <c r="BS262" s="276"/>
    </row>
    <row r="263" spans="12:71" ht="12" customHeight="1">
      <c r="L263" s="283"/>
      <c r="M263" s="276"/>
      <c r="N263" s="283"/>
      <c r="O263" s="276"/>
      <c r="P263" s="283"/>
      <c r="Q263" s="276"/>
      <c r="S263" s="283"/>
      <c r="T263" s="276"/>
      <c r="W263" s="283"/>
      <c r="X263" s="276"/>
      <c r="Y263" s="283"/>
      <c r="Z263" s="276"/>
      <c r="AA263" s="283"/>
      <c r="AB263" s="276"/>
      <c r="AC263" s="283"/>
      <c r="AE263" s="283"/>
      <c r="AF263" s="276"/>
      <c r="AI263" s="283"/>
      <c r="AJ263" s="276"/>
      <c r="AK263" s="283"/>
      <c r="AL263" s="276"/>
      <c r="AM263" s="283"/>
      <c r="AN263" s="276"/>
      <c r="AO263" s="283"/>
      <c r="AP263" s="276"/>
      <c r="AQ263" s="283"/>
      <c r="AR263" s="276"/>
      <c r="AT263" s="283"/>
      <c r="AU263" s="276"/>
      <c r="AV263" s="283"/>
      <c r="AW263" s="276"/>
      <c r="AX263" s="283"/>
      <c r="AY263" s="276"/>
      <c r="AZ263" s="283"/>
      <c r="BA263" s="276"/>
      <c r="BB263" s="283"/>
      <c r="BC263" s="276"/>
      <c r="BD263" s="283"/>
      <c r="BE263" s="276"/>
      <c r="BG263" s="283"/>
      <c r="BH263" s="276"/>
      <c r="BI263" s="283"/>
      <c r="BJ263" s="276"/>
      <c r="BK263" s="283"/>
      <c r="BL263" s="276"/>
      <c r="BM263" s="283"/>
      <c r="BN263" s="276"/>
      <c r="BO263" s="283"/>
      <c r="BP263" s="276"/>
      <c r="BQ263" s="283"/>
      <c r="BR263" s="283"/>
      <c r="BS263" s="276"/>
    </row>
    <row r="264" spans="12:71" ht="12" customHeight="1">
      <c r="L264" s="283"/>
      <c r="M264" s="276"/>
      <c r="N264" s="283"/>
      <c r="O264" s="276"/>
      <c r="P264" s="283"/>
      <c r="Q264" s="276"/>
      <c r="S264" s="283"/>
      <c r="T264" s="276"/>
      <c r="W264" s="283"/>
      <c r="X264" s="276"/>
      <c r="Y264" s="283"/>
      <c r="Z264" s="276"/>
      <c r="AA264" s="283"/>
      <c r="AB264" s="276"/>
      <c r="AC264" s="283"/>
      <c r="AE264" s="283"/>
      <c r="AF264" s="276"/>
      <c r="AI264" s="283"/>
      <c r="AJ264" s="276"/>
      <c r="AK264" s="283"/>
      <c r="AL264" s="276"/>
      <c r="AM264" s="283"/>
      <c r="AN264" s="276"/>
      <c r="AO264" s="283"/>
      <c r="AP264" s="276"/>
      <c r="AQ264" s="283"/>
      <c r="AR264" s="276"/>
      <c r="AT264" s="283"/>
      <c r="AU264" s="276"/>
      <c r="AV264" s="283"/>
      <c r="AW264" s="276"/>
      <c r="AX264" s="283"/>
      <c r="AY264" s="276"/>
      <c r="AZ264" s="283"/>
      <c r="BA264" s="276"/>
      <c r="BB264" s="283"/>
      <c r="BC264" s="276"/>
      <c r="BD264" s="283"/>
      <c r="BE264" s="276"/>
      <c r="BG264" s="283"/>
      <c r="BH264" s="276"/>
      <c r="BI264" s="283"/>
      <c r="BJ264" s="276"/>
      <c r="BK264" s="283"/>
      <c r="BL264" s="276"/>
      <c r="BM264" s="283"/>
      <c r="BN264" s="276"/>
      <c r="BO264" s="283"/>
      <c r="BP264" s="276"/>
      <c r="BQ264" s="283"/>
      <c r="BR264" s="283"/>
      <c r="BS264" s="276"/>
    </row>
    <row r="265" spans="12:71" ht="12" customHeight="1">
      <c r="L265" s="283"/>
      <c r="M265" s="276"/>
      <c r="N265" s="283"/>
      <c r="O265" s="276"/>
      <c r="P265" s="283"/>
      <c r="Q265" s="276"/>
      <c r="S265" s="283"/>
      <c r="T265" s="276"/>
      <c r="W265" s="283"/>
      <c r="X265" s="276"/>
      <c r="Y265" s="283"/>
      <c r="Z265" s="276"/>
      <c r="AA265" s="283"/>
      <c r="AB265" s="276"/>
      <c r="AC265" s="283"/>
      <c r="AE265" s="283"/>
      <c r="AF265" s="276"/>
      <c r="AI265" s="283"/>
      <c r="AJ265" s="276"/>
      <c r="AK265" s="283"/>
      <c r="AL265" s="276"/>
      <c r="AM265" s="283"/>
      <c r="AN265" s="276"/>
      <c r="AO265" s="283"/>
      <c r="AP265" s="276"/>
      <c r="AQ265" s="283"/>
      <c r="AR265" s="276"/>
      <c r="AT265" s="283"/>
      <c r="AU265" s="276"/>
      <c r="AV265" s="283"/>
      <c r="AW265" s="276"/>
      <c r="AX265" s="283"/>
      <c r="AY265" s="276"/>
      <c r="AZ265" s="283"/>
      <c r="BA265" s="276"/>
      <c r="BB265" s="283"/>
      <c r="BC265" s="276"/>
      <c r="BD265" s="283"/>
      <c r="BE265" s="276"/>
      <c r="BG265" s="283"/>
      <c r="BH265" s="276"/>
      <c r="BI265" s="283"/>
      <c r="BJ265" s="276"/>
      <c r="BK265" s="283"/>
      <c r="BL265" s="276"/>
      <c r="BM265" s="283"/>
      <c r="BN265" s="276"/>
      <c r="BO265" s="283"/>
      <c r="BP265" s="276"/>
      <c r="BQ265" s="283"/>
      <c r="BR265" s="283"/>
      <c r="BS265" s="276"/>
    </row>
    <row r="266" spans="12:71" ht="12" customHeight="1">
      <c r="L266" s="283"/>
      <c r="M266" s="276"/>
      <c r="N266" s="283"/>
      <c r="O266" s="276"/>
      <c r="P266" s="283"/>
      <c r="Q266" s="276"/>
      <c r="S266" s="283"/>
      <c r="T266" s="276"/>
      <c r="W266" s="283"/>
      <c r="X266" s="276"/>
      <c r="Y266" s="283"/>
      <c r="Z266" s="276"/>
      <c r="AA266" s="283"/>
      <c r="AB266" s="276"/>
      <c r="AC266" s="283"/>
      <c r="AE266" s="283"/>
      <c r="AF266" s="276"/>
      <c r="AI266" s="283"/>
      <c r="AJ266" s="276"/>
      <c r="AK266" s="283"/>
      <c r="AL266" s="276"/>
      <c r="AM266" s="283"/>
      <c r="AN266" s="276"/>
      <c r="AO266" s="283"/>
      <c r="AP266" s="276"/>
      <c r="AQ266" s="283"/>
      <c r="AR266" s="276"/>
      <c r="AT266" s="283"/>
      <c r="AU266" s="276"/>
      <c r="AV266" s="283"/>
      <c r="AW266" s="276"/>
      <c r="AX266" s="283"/>
      <c r="AY266" s="276"/>
      <c r="AZ266" s="283"/>
      <c r="BA266" s="276"/>
      <c r="BB266" s="283"/>
      <c r="BC266" s="276"/>
      <c r="BD266" s="283"/>
      <c r="BE266" s="276"/>
      <c r="BG266" s="283"/>
      <c r="BH266" s="276"/>
      <c r="BI266" s="283"/>
      <c r="BJ266" s="276"/>
      <c r="BK266" s="283"/>
      <c r="BL266" s="276"/>
      <c r="BM266" s="283"/>
      <c r="BN266" s="276"/>
      <c r="BO266" s="283"/>
      <c r="BP266" s="276"/>
      <c r="BQ266" s="283"/>
      <c r="BR266" s="283"/>
      <c r="BS266" s="276"/>
    </row>
    <row r="267" spans="12:71" ht="12" customHeight="1">
      <c r="L267" s="283"/>
      <c r="M267" s="276"/>
      <c r="N267" s="283"/>
      <c r="O267" s="276"/>
      <c r="P267" s="283"/>
      <c r="Q267" s="276"/>
      <c r="S267" s="283"/>
      <c r="T267" s="276"/>
      <c r="W267" s="283"/>
      <c r="X267" s="276"/>
      <c r="Y267" s="283"/>
      <c r="Z267" s="276"/>
      <c r="AA267" s="283"/>
      <c r="AB267" s="276"/>
      <c r="AC267" s="283"/>
      <c r="AE267" s="283"/>
      <c r="AF267" s="276"/>
      <c r="AI267" s="283"/>
      <c r="AJ267" s="276"/>
      <c r="AK267" s="283"/>
      <c r="AL267" s="276"/>
      <c r="AM267" s="283"/>
      <c r="AN267" s="276"/>
      <c r="AO267" s="283"/>
      <c r="AP267" s="276"/>
      <c r="AQ267" s="283"/>
      <c r="AR267" s="276"/>
      <c r="AT267" s="283"/>
      <c r="AU267" s="276"/>
      <c r="AV267" s="283"/>
      <c r="AW267" s="276"/>
      <c r="AX267" s="283"/>
      <c r="AY267" s="276"/>
      <c r="AZ267" s="283"/>
      <c r="BA267" s="276"/>
      <c r="BB267" s="283"/>
      <c r="BC267" s="276"/>
      <c r="BD267" s="283"/>
      <c r="BE267" s="276"/>
      <c r="BG267" s="283"/>
      <c r="BH267" s="276"/>
      <c r="BI267" s="283"/>
      <c r="BJ267" s="276"/>
      <c r="BK267" s="283"/>
      <c r="BL267" s="276"/>
      <c r="BM267" s="283"/>
      <c r="BN267" s="276"/>
      <c r="BO267" s="283"/>
      <c r="BP267" s="276"/>
      <c r="BQ267" s="283"/>
      <c r="BR267" s="283"/>
      <c r="BS267" s="276"/>
    </row>
    <row r="268" spans="12:71" ht="12" customHeight="1">
      <c r="L268" s="283"/>
      <c r="M268" s="276"/>
      <c r="N268" s="283"/>
      <c r="O268" s="276"/>
      <c r="P268" s="283"/>
      <c r="Q268" s="276"/>
      <c r="S268" s="283"/>
      <c r="T268" s="276"/>
      <c r="W268" s="283"/>
      <c r="X268" s="276"/>
      <c r="Y268" s="283"/>
      <c r="Z268" s="276"/>
      <c r="AA268" s="283"/>
      <c r="AB268" s="276"/>
      <c r="AC268" s="283"/>
      <c r="AE268" s="283"/>
      <c r="AF268" s="276"/>
      <c r="AI268" s="283"/>
      <c r="AJ268" s="276"/>
      <c r="AK268" s="283"/>
      <c r="AL268" s="276"/>
      <c r="AM268" s="283"/>
      <c r="AN268" s="276"/>
      <c r="AO268" s="283"/>
      <c r="AP268" s="276"/>
      <c r="AQ268" s="283"/>
      <c r="AR268" s="276"/>
      <c r="AT268" s="283"/>
      <c r="AU268" s="276"/>
      <c r="AV268" s="283"/>
      <c r="AW268" s="276"/>
      <c r="AX268" s="283"/>
      <c r="AY268" s="276"/>
      <c r="AZ268" s="283"/>
      <c r="BA268" s="276"/>
      <c r="BB268" s="283"/>
      <c r="BC268" s="276"/>
      <c r="BD268" s="283"/>
      <c r="BE268" s="276"/>
      <c r="BG268" s="283"/>
      <c r="BH268" s="276"/>
      <c r="BI268" s="283"/>
      <c r="BJ268" s="276"/>
      <c r="BK268" s="283"/>
      <c r="BL268" s="276"/>
      <c r="BM268" s="283"/>
      <c r="BN268" s="276"/>
      <c r="BO268" s="283"/>
      <c r="BP268" s="276"/>
      <c r="BQ268" s="283"/>
      <c r="BR268" s="283"/>
      <c r="BS268" s="276"/>
    </row>
    <row r="269" spans="12:71" ht="12" customHeight="1">
      <c r="L269" s="283"/>
      <c r="M269" s="276"/>
      <c r="N269" s="283"/>
      <c r="O269" s="276"/>
      <c r="P269" s="283"/>
      <c r="Q269" s="276"/>
      <c r="S269" s="283"/>
      <c r="T269" s="276"/>
      <c r="W269" s="283"/>
      <c r="X269" s="276"/>
      <c r="Y269" s="283"/>
      <c r="Z269" s="276"/>
      <c r="AA269" s="283"/>
      <c r="AB269" s="276"/>
      <c r="AC269" s="283"/>
      <c r="AE269" s="283"/>
      <c r="AF269" s="276"/>
      <c r="AI269" s="283"/>
      <c r="AJ269" s="276"/>
      <c r="AK269" s="283"/>
      <c r="AL269" s="276"/>
      <c r="AM269" s="283"/>
      <c r="AN269" s="276"/>
      <c r="AO269" s="283"/>
      <c r="AP269" s="276"/>
      <c r="AQ269" s="283"/>
      <c r="AR269" s="276"/>
      <c r="AT269" s="283"/>
      <c r="AU269" s="276"/>
      <c r="AV269" s="283"/>
      <c r="AW269" s="276"/>
      <c r="AX269" s="283"/>
      <c r="AY269" s="276"/>
      <c r="AZ269" s="283"/>
      <c r="BA269" s="276"/>
      <c r="BB269" s="283"/>
      <c r="BC269" s="276"/>
      <c r="BD269" s="283"/>
      <c r="BE269" s="276"/>
      <c r="BG269" s="283"/>
      <c r="BH269" s="276"/>
      <c r="BI269" s="283"/>
      <c r="BJ269" s="276"/>
      <c r="BK269" s="283"/>
      <c r="BL269" s="276"/>
      <c r="BM269" s="283"/>
      <c r="BN269" s="276"/>
      <c r="BO269" s="283"/>
      <c r="BP269" s="276"/>
      <c r="BQ269" s="283"/>
      <c r="BR269" s="283"/>
      <c r="BS269" s="276"/>
    </row>
    <row r="270" spans="12:71" ht="12" customHeight="1">
      <c r="L270" s="283"/>
      <c r="M270" s="276"/>
      <c r="N270" s="283"/>
      <c r="O270" s="276"/>
      <c r="P270" s="283"/>
      <c r="Q270" s="276"/>
      <c r="S270" s="283"/>
      <c r="T270" s="276"/>
      <c r="W270" s="283"/>
      <c r="X270" s="276"/>
      <c r="Y270" s="283"/>
      <c r="Z270" s="276"/>
      <c r="AA270" s="283"/>
      <c r="AB270" s="276"/>
      <c r="AC270" s="283"/>
      <c r="AE270" s="283"/>
      <c r="AF270" s="276"/>
      <c r="AI270" s="283"/>
      <c r="AJ270" s="276"/>
      <c r="AK270" s="283"/>
      <c r="AL270" s="276"/>
      <c r="AM270" s="283"/>
      <c r="AN270" s="276"/>
      <c r="AO270" s="283"/>
      <c r="AP270" s="276"/>
      <c r="AQ270" s="283"/>
      <c r="AR270" s="276"/>
      <c r="AT270" s="283"/>
      <c r="AU270" s="276"/>
      <c r="AV270" s="283"/>
      <c r="AW270" s="276"/>
      <c r="AX270" s="283"/>
      <c r="AY270" s="276"/>
      <c r="AZ270" s="283"/>
      <c r="BA270" s="276"/>
      <c r="BB270" s="283"/>
      <c r="BC270" s="276"/>
      <c r="BD270" s="283"/>
      <c r="BE270" s="276"/>
      <c r="BG270" s="283"/>
      <c r="BH270" s="276"/>
      <c r="BI270" s="283"/>
      <c r="BJ270" s="276"/>
      <c r="BK270" s="283"/>
      <c r="BL270" s="276"/>
      <c r="BM270" s="283"/>
      <c r="BN270" s="276"/>
      <c r="BO270" s="283"/>
      <c r="BP270" s="276"/>
      <c r="BQ270" s="283"/>
      <c r="BR270" s="283"/>
      <c r="BS270" s="276"/>
    </row>
    <row r="271" spans="12:71" ht="12" customHeight="1">
      <c r="L271" s="283"/>
      <c r="M271" s="276"/>
      <c r="N271" s="283"/>
      <c r="O271" s="276"/>
      <c r="P271" s="283"/>
      <c r="Q271" s="276"/>
      <c r="S271" s="283"/>
      <c r="T271" s="276"/>
      <c r="W271" s="283"/>
      <c r="X271" s="276"/>
      <c r="Y271" s="283"/>
      <c r="Z271" s="276"/>
      <c r="AA271" s="283"/>
      <c r="AB271" s="276"/>
      <c r="AC271" s="283"/>
      <c r="AE271" s="283"/>
      <c r="AF271" s="276"/>
      <c r="AI271" s="283"/>
      <c r="AJ271" s="276"/>
      <c r="AK271" s="283"/>
      <c r="AL271" s="276"/>
      <c r="AM271" s="283"/>
      <c r="AN271" s="276"/>
      <c r="AO271" s="283"/>
      <c r="AP271" s="276"/>
      <c r="AQ271" s="283"/>
      <c r="AR271" s="276"/>
      <c r="AT271" s="283"/>
      <c r="AU271" s="276"/>
      <c r="AV271" s="283"/>
      <c r="AW271" s="276"/>
      <c r="AX271" s="283"/>
      <c r="AY271" s="276"/>
      <c r="AZ271" s="283"/>
      <c r="BA271" s="276"/>
      <c r="BB271" s="283"/>
      <c r="BC271" s="276"/>
      <c r="BD271" s="283"/>
      <c r="BE271" s="276"/>
      <c r="BG271" s="283"/>
      <c r="BH271" s="276"/>
      <c r="BI271" s="283"/>
      <c r="BJ271" s="276"/>
      <c r="BK271" s="283"/>
      <c r="BL271" s="276"/>
      <c r="BM271" s="283"/>
      <c r="BN271" s="276"/>
      <c r="BO271" s="283"/>
      <c r="BP271" s="276"/>
      <c r="BQ271" s="283"/>
      <c r="BR271" s="283"/>
      <c r="BS271" s="276"/>
    </row>
    <row r="272" spans="12:71" ht="12" customHeight="1">
      <c r="L272" s="283"/>
      <c r="M272" s="276"/>
      <c r="N272" s="283"/>
      <c r="O272" s="276"/>
      <c r="P272" s="283"/>
      <c r="Q272" s="276"/>
      <c r="S272" s="283"/>
      <c r="T272" s="276"/>
      <c r="W272" s="283"/>
      <c r="X272" s="276"/>
      <c r="Y272" s="283"/>
      <c r="Z272" s="276"/>
      <c r="AA272" s="283"/>
      <c r="AB272" s="276"/>
      <c r="AC272" s="283"/>
      <c r="AE272" s="283"/>
      <c r="AF272" s="276"/>
      <c r="AI272" s="283"/>
      <c r="AJ272" s="276"/>
      <c r="AK272" s="283"/>
      <c r="AL272" s="276"/>
      <c r="AM272" s="283"/>
      <c r="AN272" s="276"/>
      <c r="AO272" s="283"/>
      <c r="AP272" s="276"/>
      <c r="AQ272" s="283"/>
      <c r="AR272" s="276"/>
      <c r="AT272" s="283"/>
      <c r="AU272" s="276"/>
      <c r="AV272" s="283"/>
      <c r="AW272" s="276"/>
      <c r="AX272" s="283"/>
      <c r="AY272" s="276"/>
      <c r="AZ272" s="283"/>
      <c r="BA272" s="276"/>
      <c r="BB272" s="283"/>
      <c r="BC272" s="276"/>
      <c r="BD272" s="283"/>
      <c r="BE272" s="276"/>
      <c r="BG272" s="283"/>
      <c r="BH272" s="276"/>
      <c r="BI272" s="283"/>
      <c r="BJ272" s="276"/>
      <c r="BK272" s="283"/>
      <c r="BL272" s="276"/>
      <c r="BM272" s="283"/>
      <c r="BN272" s="276"/>
      <c r="BO272" s="283"/>
      <c r="BP272" s="276"/>
      <c r="BQ272" s="283"/>
      <c r="BR272" s="283"/>
      <c r="BS272" s="276"/>
    </row>
    <row r="273" spans="12:71" ht="12" customHeight="1">
      <c r="L273" s="283"/>
      <c r="M273" s="276"/>
      <c r="N273" s="283"/>
      <c r="O273" s="276"/>
      <c r="P273" s="283"/>
      <c r="Q273" s="276"/>
      <c r="S273" s="283"/>
      <c r="T273" s="276"/>
      <c r="W273" s="283"/>
      <c r="X273" s="276"/>
      <c r="Y273" s="283"/>
      <c r="Z273" s="276"/>
      <c r="AA273" s="283"/>
      <c r="AB273" s="276"/>
      <c r="AC273" s="283"/>
      <c r="AE273" s="283"/>
      <c r="AF273" s="276"/>
      <c r="AI273" s="283"/>
      <c r="AJ273" s="276"/>
      <c r="AK273" s="283"/>
      <c r="AL273" s="276"/>
      <c r="AM273" s="283"/>
      <c r="AN273" s="276"/>
      <c r="AO273" s="283"/>
      <c r="AP273" s="276"/>
      <c r="AQ273" s="283"/>
      <c r="AR273" s="276"/>
      <c r="AT273" s="283"/>
      <c r="AU273" s="276"/>
      <c r="AV273" s="283"/>
      <c r="AW273" s="276"/>
      <c r="AX273" s="283"/>
      <c r="AY273" s="276"/>
      <c r="AZ273" s="283"/>
      <c r="BA273" s="276"/>
      <c r="BB273" s="283"/>
      <c r="BC273" s="276"/>
      <c r="BD273" s="283"/>
      <c r="BE273" s="276"/>
      <c r="BG273" s="283"/>
      <c r="BH273" s="276"/>
      <c r="BI273" s="283"/>
      <c r="BJ273" s="276"/>
      <c r="BK273" s="283"/>
      <c r="BL273" s="276"/>
      <c r="BM273" s="283"/>
      <c r="BN273" s="276"/>
      <c r="BO273" s="283"/>
      <c r="BP273" s="276"/>
      <c r="BQ273" s="283"/>
      <c r="BR273" s="283"/>
      <c r="BS273" s="276"/>
    </row>
    <row r="274" spans="12:71" ht="12" customHeight="1">
      <c r="L274" s="283"/>
      <c r="M274" s="276"/>
      <c r="N274" s="283"/>
      <c r="O274" s="276"/>
      <c r="P274" s="283"/>
      <c r="Q274" s="276"/>
      <c r="S274" s="283"/>
      <c r="T274" s="276"/>
      <c r="W274" s="283"/>
      <c r="X274" s="276"/>
      <c r="Y274" s="283"/>
      <c r="Z274" s="276"/>
      <c r="AA274" s="283"/>
      <c r="AB274" s="276"/>
      <c r="AC274" s="283"/>
      <c r="AE274" s="283"/>
      <c r="AF274" s="276"/>
      <c r="AI274" s="283"/>
      <c r="AJ274" s="276"/>
      <c r="AK274" s="283"/>
      <c r="AL274" s="276"/>
      <c r="AM274" s="283"/>
      <c r="AN274" s="276"/>
      <c r="AO274" s="283"/>
      <c r="AP274" s="276"/>
      <c r="AQ274" s="283"/>
      <c r="AR274" s="276"/>
      <c r="AT274" s="283"/>
      <c r="AU274" s="276"/>
      <c r="AV274" s="283"/>
      <c r="AW274" s="276"/>
      <c r="AX274" s="283"/>
      <c r="AY274" s="276"/>
      <c r="AZ274" s="283"/>
      <c r="BA274" s="276"/>
      <c r="BB274" s="283"/>
      <c r="BC274" s="276"/>
      <c r="BD274" s="283"/>
      <c r="BE274" s="276"/>
      <c r="BG274" s="283"/>
      <c r="BH274" s="276"/>
      <c r="BI274" s="283"/>
      <c r="BJ274" s="276"/>
      <c r="BK274" s="283"/>
      <c r="BL274" s="276"/>
      <c r="BM274" s="283"/>
      <c r="BN274" s="276"/>
      <c r="BO274" s="283"/>
      <c r="BP274" s="276"/>
      <c r="BQ274" s="283"/>
      <c r="BR274" s="283"/>
      <c r="BS274" s="276"/>
    </row>
    <row r="275" spans="12:71" ht="12" customHeight="1">
      <c r="L275" s="283"/>
      <c r="M275" s="276"/>
      <c r="N275" s="283"/>
      <c r="O275" s="276"/>
      <c r="P275" s="283"/>
      <c r="Q275" s="276"/>
      <c r="S275" s="283"/>
      <c r="T275" s="276"/>
      <c r="W275" s="283"/>
      <c r="X275" s="276"/>
      <c r="Y275" s="283"/>
      <c r="Z275" s="276"/>
      <c r="AA275" s="283"/>
      <c r="AB275" s="276"/>
      <c r="AC275" s="283"/>
      <c r="AE275" s="283"/>
      <c r="AF275" s="276"/>
      <c r="AI275" s="283"/>
      <c r="AJ275" s="276"/>
      <c r="AK275" s="283"/>
      <c r="AL275" s="276"/>
      <c r="AM275" s="283"/>
      <c r="AN275" s="276"/>
      <c r="AO275" s="283"/>
      <c r="AP275" s="276"/>
      <c r="AQ275" s="283"/>
      <c r="AR275" s="276"/>
      <c r="AT275" s="283"/>
      <c r="AU275" s="276"/>
      <c r="AV275" s="283"/>
      <c r="AW275" s="276"/>
      <c r="AX275" s="283"/>
      <c r="AY275" s="276"/>
      <c r="AZ275" s="283"/>
      <c r="BA275" s="276"/>
      <c r="BB275" s="283"/>
      <c r="BC275" s="276"/>
      <c r="BD275" s="283"/>
      <c r="BE275" s="276"/>
      <c r="BG275" s="283"/>
      <c r="BH275" s="276"/>
      <c r="BI275" s="283"/>
      <c r="BJ275" s="276"/>
      <c r="BK275" s="283"/>
      <c r="BL275" s="276"/>
      <c r="BM275" s="283"/>
      <c r="BN275" s="276"/>
      <c r="BO275" s="283"/>
      <c r="BP275" s="276"/>
      <c r="BQ275" s="283"/>
      <c r="BR275" s="283"/>
      <c r="BS275" s="276"/>
    </row>
    <row r="276" spans="12:71" ht="12" customHeight="1">
      <c r="L276" s="283"/>
      <c r="M276" s="276"/>
      <c r="N276" s="283"/>
      <c r="O276" s="276"/>
      <c r="P276" s="283"/>
      <c r="Q276" s="276"/>
      <c r="S276" s="283"/>
      <c r="T276" s="276"/>
      <c r="W276" s="283"/>
      <c r="X276" s="276"/>
      <c r="Y276" s="283"/>
      <c r="Z276" s="276"/>
      <c r="AA276" s="283"/>
      <c r="AB276" s="276"/>
      <c r="AC276" s="283"/>
      <c r="AE276" s="283"/>
      <c r="AF276" s="276"/>
      <c r="AI276" s="283"/>
      <c r="AJ276" s="276"/>
      <c r="AK276" s="283"/>
      <c r="AL276" s="276"/>
      <c r="AM276" s="283"/>
      <c r="AN276" s="276"/>
      <c r="AO276" s="283"/>
      <c r="AP276" s="276"/>
      <c r="AQ276" s="283"/>
      <c r="AR276" s="276"/>
      <c r="AT276" s="283"/>
      <c r="AU276" s="276"/>
      <c r="AV276" s="283"/>
      <c r="AW276" s="276"/>
      <c r="AX276" s="283"/>
      <c r="AY276" s="276"/>
      <c r="AZ276" s="283"/>
      <c r="BA276" s="276"/>
      <c r="BB276" s="283"/>
      <c r="BC276" s="276"/>
      <c r="BD276" s="283"/>
      <c r="BE276" s="276"/>
      <c r="BG276" s="283"/>
      <c r="BH276" s="276"/>
      <c r="BI276" s="283"/>
      <c r="BJ276" s="276"/>
      <c r="BK276" s="283"/>
      <c r="BL276" s="276"/>
      <c r="BM276" s="283"/>
      <c r="BN276" s="276"/>
      <c r="BO276" s="283"/>
      <c r="BP276" s="276"/>
      <c r="BQ276" s="283"/>
      <c r="BR276" s="283"/>
      <c r="BS276" s="276"/>
    </row>
    <row r="277" spans="12:71" ht="12" customHeight="1">
      <c r="L277" s="283"/>
      <c r="M277" s="276"/>
      <c r="N277" s="283"/>
      <c r="O277" s="276"/>
      <c r="P277" s="283"/>
      <c r="Q277" s="276"/>
      <c r="S277" s="283"/>
      <c r="T277" s="276"/>
      <c r="W277" s="283"/>
      <c r="X277" s="276"/>
      <c r="Y277" s="283"/>
      <c r="Z277" s="276"/>
      <c r="AA277" s="283"/>
      <c r="AB277" s="276"/>
      <c r="AC277" s="283"/>
      <c r="AE277" s="283"/>
      <c r="AF277" s="276"/>
      <c r="AI277" s="283"/>
      <c r="AJ277" s="276"/>
      <c r="AK277" s="283"/>
      <c r="AL277" s="276"/>
      <c r="AM277" s="283"/>
      <c r="AN277" s="276"/>
      <c r="AO277" s="283"/>
      <c r="AP277" s="276"/>
      <c r="AQ277" s="283"/>
      <c r="AR277" s="276"/>
      <c r="AT277" s="283"/>
      <c r="AU277" s="276"/>
      <c r="AV277" s="283"/>
      <c r="AW277" s="276"/>
      <c r="AX277" s="283"/>
      <c r="AY277" s="276"/>
      <c r="AZ277" s="283"/>
      <c r="BA277" s="276"/>
      <c r="BB277" s="283"/>
      <c r="BC277" s="276"/>
      <c r="BD277" s="283"/>
      <c r="BE277" s="276"/>
      <c r="BG277" s="283"/>
      <c r="BH277" s="276"/>
      <c r="BI277" s="283"/>
      <c r="BJ277" s="276"/>
      <c r="BK277" s="283"/>
      <c r="BL277" s="276"/>
      <c r="BM277" s="283"/>
      <c r="BN277" s="276"/>
      <c r="BO277" s="283"/>
      <c r="BP277" s="276"/>
      <c r="BQ277" s="283"/>
      <c r="BR277" s="283"/>
      <c r="BS277" s="276"/>
    </row>
    <row r="278" spans="12:71" ht="12" customHeight="1">
      <c r="L278" s="283"/>
      <c r="M278" s="276"/>
      <c r="N278" s="283"/>
      <c r="O278" s="276"/>
      <c r="P278" s="283"/>
      <c r="Q278" s="276"/>
      <c r="S278" s="283"/>
      <c r="T278" s="276"/>
      <c r="W278" s="283"/>
      <c r="X278" s="276"/>
      <c r="Y278" s="283"/>
      <c r="Z278" s="276"/>
      <c r="AA278" s="283"/>
      <c r="AB278" s="276"/>
      <c r="AC278" s="283"/>
      <c r="AE278" s="283"/>
      <c r="AF278" s="276"/>
      <c r="AI278" s="283"/>
      <c r="AJ278" s="276"/>
      <c r="AK278" s="283"/>
      <c r="AL278" s="276"/>
      <c r="AM278" s="283"/>
      <c r="AN278" s="276"/>
      <c r="AO278" s="283"/>
      <c r="AP278" s="276"/>
      <c r="AQ278" s="283"/>
      <c r="AR278" s="276"/>
      <c r="AT278" s="283"/>
      <c r="AU278" s="276"/>
      <c r="AV278" s="283"/>
      <c r="AW278" s="276"/>
      <c r="AX278" s="283"/>
      <c r="AY278" s="276"/>
      <c r="AZ278" s="283"/>
      <c r="BA278" s="276"/>
      <c r="BB278" s="283"/>
      <c r="BC278" s="276"/>
      <c r="BD278" s="283"/>
      <c r="BE278" s="276"/>
      <c r="BG278" s="283"/>
      <c r="BH278" s="276"/>
      <c r="BI278" s="283"/>
      <c r="BJ278" s="276"/>
      <c r="BK278" s="283"/>
      <c r="BL278" s="276"/>
      <c r="BM278" s="283"/>
      <c r="BN278" s="276"/>
      <c r="BO278" s="283"/>
      <c r="BP278" s="276"/>
      <c r="BQ278" s="283"/>
      <c r="BR278" s="283"/>
      <c r="BS278" s="276"/>
    </row>
    <row r="279" spans="12:71" ht="12" customHeight="1">
      <c r="L279" s="283"/>
      <c r="M279" s="276"/>
      <c r="N279" s="283"/>
      <c r="O279" s="276"/>
      <c r="P279" s="283"/>
      <c r="Q279" s="276"/>
      <c r="S279" s="283"/>
      <c r="T279" s="276"/>
      <c r="W279" s="283"/>
      <c r="X279" s="276"/>
      <c r="Y279" s="283"/>
      <c r="Z279" s="276"/>
      <c r="AA279" s="283"/>
      <c r="AB279" s="276"/>
      <c r="AC279" s="283"/>
      <c r="AE279" s="283"/>
      <c r="AF279" s="276"/>
      <c r="AI279" s="283"/>
      <c r="AJ279" s="276"/>
      <c r="AK279" s="283"/>
      <c r="AL279" s="276"/>
      <c r="AM279" s="283"/>
      <c r="AN279" s="276"/>
      <c r="AO279" s="283"/>
      <c r="AP279" s="276"/>
      <c r="AQ279" s="283"/>
      <c r="AR279" s="276"/>
      <c r="AT279" s="283"/>
      <c r="AU279" s="276"/>
      <c r="AV279" s="283"/>
      <c r="AW279" s="276"/>
      <c r="AX279" s="283"/>
      <c r="AY279" s="276"/>
      <c r="AZ279" s="283"/>
      <c r="BA279" s="276"/>
      <c r="BB279" s="283"/>
      <c r="BC279" s="276"/>
      <c r="BD279" s="283"/>
      <c r="BE279" s="276"/>
      <c r="BG279" s="283"/>
      <c r="BH279" s="276"/>
      <c r="BI279" s="283"/>
      <c r="BJ279" s="276"/>
      <c r="BK279" s="283"/>
      <c r="BL279" s="276"/>
      <c r="BM279" s="283"/>
      <c r="BN279" s="276"/>
      <c r="BO279" s="283"/>
      <c r="BP279" s="276"/>
      <c r="BQ279" s="283"/>
      <c r="BR279" s="283"/>
      <c r="BS279" s="276"/>
    </row>
    <row r="280" spans="12:71" ht="12" customHeight="1">
      <c r="L280" s="283"/>
      <c r="M280" s="276"/>
      <c r="N280" s="283"/>
      <c r="O280" s="276"/>
      <c r="P280" s="283"/>
      <c r="Q280" s="276"/>
      <c r="S280" s="283"/>
      <c r="T280" s="276"/>
      <c r="W280" s="283"/>
      <c r="X280" s="276"/>
      <c r="Y280" s="283"/>
      <c r="Z280" s="276"/>
      <c r="AA280" s="283"/>
      <c r="AB280" s="276"/>
      <c r="AC280" s="283"/>
      <c r="AE280" s="283"/>
      <c r="AF280" s="276"/>
      <c r="AI280" s="283"/>
      <c r="AJ280" s="276"/>
      <c r="AK280" s="283"/>
      <c r="AL280" s="276"/>
      <c r="AM280" s="283"/>
      <c r="AN280" s="276"/>
      <c r="AO280" s="283"/>
      <c r="AP280" s="276"/>
      <c r="AQ280" s="283"/>
      <c r="AR280" s="276"/>
      <c r="AT280" s="283"/>
      <c r="AU280" s="276"/>
      <c r="AV280" s="283"/>
      <c r="AW280" s="276"/>
      <c r="AX280" s="283"/>
      <c r="AY280" s="276"/>
      <c r="AZ280" s="283"/>
      <c r="BA280" s="276"/>
      <c r="BB280" s="283"/>
      <c r="BC280" s="276"/>
      <c r="BD280" s="283"/>
      <c r="BE280" s="276"/>
      <c r="BG280" s="283"/>
      <c r="BH280" s="276"/>
      <c r="BI280" s="283"/>
      <c r="BJ280" s="276"/>
      <c r="BK280" s="283"/>
      <c r="BL280" s="276"/>
      <c r="BM280" s="283"/>
      <c r="BN280" s="276"/>
      <c r="BO280" s="283"/>
      <c r="BP280" s="276"/>
      <c r="BQ280" s="283"/>
      <c r="BR280" s="283"/>
      <c r="BS280" s="276"/>
    </row>
    <row r="281" spans="12:71" ht="12" customHeight="1">
      <c r="L281" s="283"/>
      <c r="M281" s="276"/>
      <c r="N281" s="283"/>
      <c r="O281" s="276"/>
      <c r="P281" s="283"/>
      <c r="Q281" s="276"/>
      <c r="S281" s="283"/>
      <c r="T281" s="276"/>
      <c r="W281" s="283"/>
      <c r="X281" s="276"/>
      <c r="Y281" s="283"/>
      <c r="Z281" s="276"/>
      <c r="AA281" s="283"/>
      <c r="AB281" s="276"/>
      <c r="AC281" s="283"/>
      <c r="AE281" s="283"/>
      <c r="AF281" s="276"/>
      <c r="AI281" s="283"/>
      <c r="AJ281" s="276"/>
      <c r="AK281" s="283"/>
      <c r="AL281" s="276"/>
      <c r="AM281" s="283"/>
      <c r="AN281" s="276"/>
      <c r="AO281" s="283"/>
      <c r="AP281" s="276"/>
      <c r="AQ281" s="283"/>
      <c r="AR281" s="276"/>
      <c r="AT281" s="283"/>
      <c r="AU281" s="276"/>
      <c r="AV281" s="283"/>
      <c r="AW281" s="276"/>
      <c r="AX281" s="283"/>
      <c r="AY281" s="276"/>
      <c r="AZ281" s="283"/>
      <c r="BA281" s="276"/>
      <c r="BB281" s="283"/>
      <c r="BC281" s="276"/>
      <c r="BD281" s="283"/>
      <c r="BE281" s="276"/>
      <c r="BG281" s="283"/>
      <c r="BH281" s="276"/>
      <c r="BI281" s="283"/>
      <c r="BJ281" s="276"/>
      <c r="BK281" s="283"/>
      <c r="BL281" s="276"/>
      <c r="BM281" s="283"/>
      <c r="BN281" s="276"/>
      <c r="BO281" s="283"/>
      <c r="BP281" s="276"/>
      <c r="BQ281" s="283"/>
      <c r="BR281" s="283"/>
      <c r="BS281" s="276"/>
    </row>
    <row r="282" spans="12:71" ht="12" customHeight="1">
      <c r="L282" s="283"/>
      <c r="M282" s="276"/>
      <c r="N282" s="283"/>
      <c r="O282" s="276"/>
      <c r="P282" s="283"/>
      <c r="Q282" s="276"/>
      <c r="S282" s="283"/>
      <c r="T282" s="276"/>
      <c r="W282" s="283"/>
      <c r="X282" s="276"/>
      <c r="Y282" s="283"/>
      <c r="Z282" s="276"/>
      <c r="AA282" s="283"/>
      <c r="AB282" s="276"/>
      <c r="AC282" s="283"/>
      <c r="AE282" s="283"/>
      <c r="AF282" s="276"/>
      <c r="AI282" s="283"/>
      <c r="AJ282" s="276"/>
      <c r="AK282" s="283"/>
      <c r="AL282" s="276"/>
      <c r="AM282" s="283"/>
      <c r="AN282" s="276"/>
      <c r="AO282" s="283"/>
      <c r="AP282" s="276"/>
      <c r="AQ282" s="283"/>
      <c r="AR282" s="276"/>
      <c r="AT282" s="283"/>
      <c r="AU282" s="276"/>
      <c r="AV282" s="283"/>
      <c r="AW282" s="276"/>
      <c r="AX282" s="283"/>
      <c r="AY282" s="276"/>
      <c r="AZ282" s="283"/>
      <c r="BA282" s="276"/>
      <c r="BB282" s="283"/>
      <c r="BC282" s="276"/>
      <c r="BD282" s="283"/>
      <c r="BE282" s="276"/>
      <c r="BG282" s="283"/>
      <c r="BH282" s="276"/>
      <c r="BI282" s="283"/>
      <c r="BJ282" s="276"/>
      <c r="BK282" s="283"/>
      <c r="BL282" s="276"/>
      <c r="BM282" s="283"/>
      <c r="BN282" s="276"/>
      <c r="BO282" s="283"/>
      <c r="BP282" s="276"/>
      <c r="BQ282" s="283"/>
      <c r="BR282" s="283"/>
      <c r="BS282" s="276"/>
    </row>
    <row r="283" spans="12:71" ht="12" customHeight="1">
      <c r="L283" s="283"/>
      <c r="M283" s="276"/>
      <c r="N283" s="283"/>
      <c r="O283" s="276"/>
      <c r="P283" s="283"/>
      <c r="Q283" s="276"/>
      <c r="S283" s="283"/>
      <c r="T283" s="276"/>
      <c r="W283" s="283"/>
      <c r="X283" s="276"/>
      <c r="Y283" s="283"/>
      <c r="Z283" s="276"/>
      <c r="AA283" s="283"/>
      <c r="AB283" s="276"/>
      <c r="AC283" s="283"/>
      <c r="AE283" s="283"/>
      <c r="AF283" s="276"/>
      <c r="AI283" s="283"/>
      <c r="AJ283" s="276"/>
      <c r="AK283" s="283"/>
      <c r="AL283" s="276"/>
      <c r="AM283" s="283"/>
      <c r="AN283" s="276"/>
      <c r="AO283" s="283"/>
      <c r="AP283" s="276"/>
      <c r="AQ283" s="283"/>
      <c r="AR283" s="276"/>
      <c r="AT283" s="283"/>
      <c r="AU283" s="276"/>
      <c r="AV283" s="283"/>
      <c r="AW283" s="276"/>
      <c r="AX283" s="283"/>
      <c r="AY283" s="276"/>
      <c r="AZ283" s="283"/>
      <c r="BA283" s="276"/>
      <c r="BB283" s="283"/>
      <c r="BC283" s="276"/>
      <c r="BD283" s="283"/>
      <c r="BE283" s="276"/>
      <c r="BG283" s="283"/>
      <c r="BH283" s="276"/>
      <c r="BI283" s="283"/>
      <c r="BJ283" s="276"/>
      <c r="BK283" s="283"/>
      <c r="BL283" s="276"/>
      <c r="BM283" s="283"/>
      <c r="BN283" s="276"/>
      <c r="BO283" s="283"/>
      <c r="BP283" s="276"/>
      <c r="BQ283" s="283"/>
      <c r="BR283" s="283"/>
      <c r="BS283" s="276"/>
    </row>
    <row r="284" spans="12:71" ht="12" customHeight="1">
      <c r="L284" s="283"/>
      <c r="M284" s="276"/>
      <c r="N284" s="283"/>
      <c r="O284" s="276"/>
      <c r="P284" s="283"/>
      <c r="Q284" s="276"/>
      <c r="S284" s="283"/>
      <c r="T284" s="276"/>
      <c r="W284" s="283"/>
      <c r="X284" s="276"/>
      <c r="Y284" s="283"/>
      <c r="Z284" s="276"/>
      <c r="AA284" s="283"/>
      <c r="AB284" s="276"/>
      <c r="AC284" s="283"/>
      <c r="AE284" s="283"/>
      <c r="AF284" s="276"/>
      <c r="AI284" s="283"/>
      <c r="AJ284" s="276"/>
      <c r="AK284" s="283"/>
      <c r="AL284" s="276"/>
      <c r="AM284" s="283"/>
      <c r="AN284" s="276"/>
      <c r="AO284" s="283"/>
      <c r="AP284" s="276"/>
      <c r="AQ284" s="283"/>
      <c r="AR284" s="276"/>
      <c r="AT284" s="283"/>
      <c r="AU284" s="276"/>
      <c r="AV284" s="283"/>
      <c r="AW284" s="276"/>
      <c r="AX284" s="283"/>
      <c r="AY284" s="276"/>
      <c r="AZ284" s="283"/>
      <c r="BA284" s="276"/>
      <c r="BB284" s="283"/>
      <c r="BC284" s="276"/>
      <c r="BD284" s="283"/>
      <c r="BE284" s="276"/>
      <c r="BG284" s="283"/>
      <c r="BH284" s="276"/>
      <c r="BI284" s="283"/>
      <c r="BJ284" s="276"/>
      <c r="BK284" s="283"/>
      <c r="BL284" s="276"/>
      <c r="BM284" s="283"/>
      <c r="BN284" s="276"/>
      <c r="BO284" s="283"/>
      <c r="BP284" s="276"/>
      <c r="BQ284" s="283"/>
      <c r="BR284" s="283"/>
      <c r="BS284" s="276"/>
    </row>
    <row r="285" spans="12:71" ht="12" customHeight="1">
      <c r="L285" s="283"/>
      <c r="M285" s="276"/>
      <c r="N285" s="283"/>
      <c r="O285" s="276"/>
      <c r="P285" s="283"/>
      <c r="Q285" s="276"/>
      <c r="S285" s="283"/>
      <c r="T285" s="276"/>
      <c r="W285" s="283"/>
      <c r="X285" s="276"/>
      <c r="Y285" s="283"/>
      <c r="Z285" s="276"/>
      <c r="AA285" s="283"/>
      <c r="AB285" s="276"/>
      <c r="AC285" s="283"/>
      <c r="AE285" s="283"/>
      <c r="AF285" s="276"/>
      <c r="AI285" s="283"/>
      <c r="AJ285" s="276"/>
      <c r="AK285" s="283"/>
      <c r="AL285" s="276"/>
      <c r="AM285" s="283"/>
      <c r="AN285" s="276"/>
      <c r="AO285" s="283"/>
      <c r="AP285" s="276"/>
      <c r="AQ285" s="283"/>
      <c r="AR285" s="276"/>
      <c r="AT285" s="283"/>
      <c r="AU285" s="276"/>
      <c r="AV285" s="283"/>
      <c r="AW285" s="276"/>
      <c r="AX285" s="283"/>
      <c r="AY285" s="276"/>
      <c r="AZ285" s="283"/>
      <c r="BA285" s="276"/>
      <c r="BB285" s="283"/>
      <c r="BC285" s="276"/>
      <c r="BD285" s="283"/>
      <c r="BE285" s="276"/>
      <c r="BG285" s="283"/>
      <c r="BH285" s="276"/>
      <c r="BI285" s="283"/>
      <c r="BJ285" s="276"/>
      <c r="BK285" s="283"/>
      <c r="BL285" s="276"/>
      <c r="BM285" s="283"/>
      <c r="BN285" s="276"/>
      <c r="BO285" s="283"/>
      <c r="BP285" s="276"/>
      <c r="BQ285" s="283"/>
      <c r="BR285" s="283"/>
      <c r="BS285" s="276"/>
    </row>
    <row r="286" spans="12:71" ht="12" customHeight="1">
      <c r="L286" s="283"/>
      <c r="M286" s="276"/>
      <c r="N286" s="283"/>
      <c r="O286" s="276"/>
      <c r="P286" s="283"/>
      <c r="Q286" s="276"/>
      <c r="S286" s="283"/>
      <c r="T286" s="276"/>
      <c r="W286" s="283"/>
      <c r="X286" s="276"/>
      <c r="Y286" s="283"/>
      <c r="Z286" s="276"/>
      <c r="AA286" s="283"/>
      <c r="AB286" s="276"/>
      <c r="AC286" s="283"/>
      <c r="AE286" s="283"/>
      <c r="AF286" s="276"/>
      <c r="AI286" s="283"/>
      <c r="AJ286" s="276"/>
      <c r="AK286" s="283"/>
      <c r="AL286" s="276"/>
      <c r="AM286" s="283"/>
      <c r="AN286" s="276"/>
      <c r="AO286" s="283"/>
      <c r="AP286" s="276"/>
      <c r="AQ286" s="283"/>
      <c r="AR286" s="276"/>
      <c r="AT286" s="283"/>
      <c r="AU286" s="276"/>
      <c r="AV286" s="283"/>
      <c r="AW286" s="276"/>
      <c r="AX286" s="283"/>
      <c r="AY286" s="276"/>
      <c r="AZ286" s="283"/>
      <c r="BA286" s="276"/>
      <c r="BB286" s="283"/>
      <c r="BC286" s="276"/>
      <c r="BD286" s="283"/>
      <c r="BE286" s="276"/>
      <c r="BG286" s="283"/>
      <c r="BH286" s="276"/>
      <c r="BI286" s="283"/>
      <c r="BJ286" s="276"/>
      <c r="BK286" s="283"/>
      <c r="BL286" s="276"/>
      <c r="BM286" s="283"/>
      <c r="BN286" s="276"/>
      <c r="BO286" s="283"/>
      <c r="BP286" s="276"/>
      <c r="BQ286" s="283"/>
      <c r="BR286" s="283"/>
      <c r="BS286" s="276"/>
    </row>
    <row r="287" spans="12:71" ht="12" customHeight="1">
      <c r="L287" s="283"/>
      <c r="M287" s="276"/>
      <c r="N287" s="283"/>
      <c r="O287" s="276"/>
      <c r="P287" s="283"/>
      <c r="Q287" s="276"/>
      <c r="S287" s="283"/>
      <c r="T287" s="276"/>
      <c r="W287" s="283"/>
      <c r="X287" s="276"/>
      <c r="Y287" s="283"/>
      <c r="Z287" s="276"/>
      <c r="AA287" s="283"/>
      <c r="AB287" s="276"/>
      <c r="AC287" s="283"/>
      <c r="AE287" s="283"/>
      <c r="AF287" s="276"/>
      <c r="AI287" s="283"/>
      <c r="AJ287" s="276"/>
      <c r="AK287" s="283"/>
      <c r="AL287" s="276"/>
      <c r="AM287" s="283"/>
      <c r="AN287" s="276"/>
      <c r="AO287" s="283"/>
      <c r="AP287" s="276"/>
      <c r="AQ287" s="283"/>
      <c r="AR287" s="276"/>
      <c r="AT287" s="283"/>
      <c r="AU287" s="276"/>
      <c r="AV287" s="283"/>
      <c r="AW287" s="276"/>
      <c r="AX287" s="283"/>
      <c r="AY287" s="276"/>
      <c r="AZ287" s="283"/>
      <c r="BA287" s="276"/>
      <c r="BB287" s="283"/>
      <c r="BC287" s="276"/>
      <c r="BD287" s="283"/>
      <c r="BE287" s="276"/>
      <c r="BG287" s="283"/>
      <c r="BH287" s="276"/>
      <c r="BI287" s="283"/>
      <c r="BJ287" s="276"/>
      <c r="BK287" s="283"/>
      <c r="BL287" s="276"/>
      <c r="BM287" s="283"/>
      <c r="BN287" s="276"/>
      <c r="BO287" s="283"/>
      <c r="BP287" s="276"/>
      <c r="BQ287" s="283"/>
      <c r="BR287" s="283"/>
      <c r="BS287" s="276"/>
    </row>
    <row r="288" spans="12:71" ht="12" customHeight="1">
      <c r="L288" s="283"/>
      <c r="M288" s="276"/>
      <c r="N288" s="283"/>
      <c r="O288" s="276"/>
      <c r="P288" s="283"/>
      <c r="Q288" s="276"/>
      <c r="S288" s="283"/>
      <c r="T288" s="276"/>
      <c r="W288" s="283"/>
      <c r="X288" s="276"/>
      <c r="Y288" s="283"/>
      <c r="Z288" s="276"/>
      <c r="AA288" s="283"/>
      <c r="AB288" s="276"/>
      <c r="AC288" s="283"/>
      <c r="AE288" s="283"/>
      <c r="AF288" s="276"/>
      <c r="AI288" s="283"/>
      <c r="AJ288" s="276"/>
      <c r="AK288" s="283"/>
      <c r="AL288" s="276"/>
      <c r="AM288" s="283"/>
      <c r="AN288" s="276"/>
      <c r="AO288" s="283"/>
      <c r="AP288" s="276"/>
      <c r="AQ288" s="283"/>
      <c r="AR288" s="276"/>
      <c r="AT288" s="283"/>
      <c r="AU288" s="276"/>
      <c r="AV288" s="283"/>
      <c r="AW288" s="276"/>
      <c r="AX288" s="283"/>
      <c r="AY288" s="276"/>
      <c r="AZ288" s="283"/>
      <c r="BA288" s="276"/>
      <c r="BB288" s="283"/>
      <c r="BC288" s="276"/>
      <c r="BD288" s="283"/>
      <c r="BE288" s="276"/>
      <c r="BG288" s="283"/>
      <c r="BH288" s="276"/>
      <c r="BI288" s="283"/>
      <c r="BJ288" s="276"/>
      <c r="BK288" s="283"/>
      <c r="BL288" s="276"/>
      <c r="BM288" s="283"/>
      <c r="BN288" s="276"/>
      <c r="BO288" s="283"/>
      <c r="BP288" s="276"/>
      <c r="BQ288" s="283"/>
      <c r="BR288" s="283"/>
      <c r="BS288" s="276"/>
    </row>
    <row r="289" spans="12:71" ht="12" customHeight="1">
      <c r="L289" s="283"/>
      <c r="M289" s="276"/>
      <c r="N289" s="283"/>
      <c r="O289" s="276"/>
      <c r="P289" s="283"/>
      <c r="Q289" s="276"/>
      <c r="S289" s="283"/>
      <c r="T289" s="276"/>
      <c r="W289" s="283"/>
      <c r="X289" s="276"/>
      <c r="Y289" s="283"/>
      <c r="Z289" s="276"/>
      <c r="AA289" s="283"/>
      <c r="AB289" s="276"/>
      <c r="AC289" s="283"/>
      <c r="AE289" s="283"/>
      <c r="AF289" s="276"/>
      <c r="AI289" s="283"/>
      <c r="AJ289" s="276"/>
      <c r="AK289" s="283"/>
      <c r="AL289" s="276"/>
      <c r="AM289" s="283"/>
      <c r="AN289" s="276"/>
      <c r="AO289" s="283"/>
      <c r="AP289" s="276"/>
      <c r="AQ289" s="283"/>
      <c r="AR289" s="276"/>
      <c r="AT289" s="283"/>
      <c r="AU289" s="276"/>
      <c r="AV289" s="283"/>
      <c r="AW289" s="276"/>
      <c r="AX289" s="283"/>
      <c r="AY289" s="276"/>
      <c r="AZ289" s="283"/>
      <c r="BA289" s="276"/>
      <c r="BB289" s="283"/>
      <c r="BC289" s="276"/>
      <c r="BD289" s="283"/>
      <c r="BE289" s="276"/>
      <c r="BG289" s="283"/>
      <c r="BH289" s="276"/>
      <c r="BI289" s="283"/>
      <c r="BJ289" s="276"/>
      <c r="BK289" s="283"/>
      <c r="BL289" s="276"/>
      <c r="BM289" s="283"/>
      <c r="BN289" s="276"/>
      <c r="BO289" s="283"/>
      <c r="BP289" s="276"/>
      <c r="BQ289" s="283"/>
      <c r="BR289" s="283"/>
      <c r="BS289" s="276"/>
    </row>
    <row r="290" spans="12:71" ht="12" customHeight="1">
      <c r="L290" s="283"/>
      <c r="M290" s="276"/>
      <c r="N290" s="283"/>
      <c r="O290" s="276"/>
      <c r="P290" s="283"/>
      <c r="Q290" s="276"/>
      <c r="S290" s="283"/>
      <c r="T290" s="276"/>
      <c r="W290" s="283"/>
      <c r="X290" s="276"/>
      <c r="Y290" s="283"/>
      <c r="Z290" s="276"/>
      <c r="AA290" s="283"/>
      <c r="AB290" s="276"/>
      <c r="AC290" s="283"/>
      <c r="AE290" s="283"/>
      <c r="AF290" s="276"/>
      <c r="AI290" s="283"/>
      <c r="AJ290" s="276"/>
      <c r="AK290" s="283"/>
      <c r="AL290" s="276"/>
      <c r="AM290" s="283"/>
      <c r="AN290" s="276"/>
      <c r="AO290" s="283"/>
      <c r="AP290" s="276"/>
      <c r="AQ290" s="283"/>
      <c r="AR290" s="276"/>
      <c r="AT290" s="283"/>
      <c r="AU290" s="276"/>
      <c r="AV290" s="283"/>
      <c r="AW290" s="276"/>
      <c r="AX290" s="283"/>
      <c r="AY290" s="276"/>
      <c r="AZ290" s="283"/>
      <c r="BA290" s="276"/>
      <c r="BB290" s="283"/>
      <c r="BC290" s="276"/>
      <c r="BD290" s="283"/>
      <c r="BE290" s="276"/>
      <c r="BG290" s="283"/>
      <c r="BH290" s="276"/>
      <c r="BI290" s="283"/>
      <c r="BJ290" s="276"/>
      <c r="BK290" s="283"/>
      <c r="BL290" s="276"/>
      <c r="BM290" s="283"/>
      <c r="BN290" s="276"/>
      <c r="BO290" s="283"/>
      <c r="BP290" s="276"/>
      <c r="BQ290" s="283"/>
      <c r="BR290" s="283"/>
      <c r="BS290" s="276"/>
    </row>
    <row r="291" spans="12:71" ht="12" customHeight="1">
      <c r="L291" s="283"/>
      <c r="M291" s="276"/>
      <c r="N291" s="283"/>
      <c r="O291" s="276"/>
      <c r="P291" s="283"/>
      <c r="Q291" s="276"/>
      <c r="S291" s="283"/>
      <c r="T291" s="276"/>
      <c r="W291" s="283"/>
      <c r="X291" s="276"/>
      <c r="Y291" s="283"/>
      <c r="Z291" s="276"/>
      <c r="AA291" s="283"/>
      <c r="AB291" s="276"/>
      <c r="AC291" s="283"/>
      <c r="AE291" s="283"/>
      <c r="AF291" s="276"/>
      <c r="AI291" s="283"/>
      <c r="AJ291" s="276"/>
      <c r="AK291" s="283"/>
      <c r="AL291" s="276"/>
      <c r="AM291" s="283"/>
      <c r="AN291" s="276"/>
      <c r="AO291" s="283"/>
      <c r="AP291" s="276"/>
      <c r="AQ291" s="283"/>
      <c r="AR291" s="276"/>
      <c r="AT291" s="283"/>
      <c r="AU291" s="276"/>
      <c r="AV291" s="283"/>
      <c r="AW291" s="276"/>
      <c r="AX291" s="283"/>
      <c r="AY291" s="276"/>
      <c r="AZ291" s="283"/>
      <c r="BA291" s="276"/>
      <c r="BB291" s="283"/>
      <c r="BC291" s="276"/>
      <c r="BD291" s="283"/>
      <c r="BE291" s="276"/>
      <c r="BG291" s="283"/>
      <c r="BH291" s="276"/>
      <c r="BI291" s="283"/>
      <c r="BJ291" s="276"/>
      <c r="BK291" s="283"/>
      <c r="BL291" s="276"/>
      <c r="BM291" s="283"/>
      <c r="BN291" s="276"/>
      <c r="BO291" s="283"/>
      <c r="BP291" s="276"/>
      <c r="BQ291" s="283"/>
      <c r="BR291" s="283"/>
      <c r="BS291" s="276"/>
    </row>
    <row r="292" spans="12:71" ht="12" customHeight="1">
      <c r="L292" s="283"/>
      <c r="M292" s="276"/>
      <c r="N292" s="283"/>
      <c r="O292" s="276"/>
      <c r="P292" s="283"/>
      <c r="Q292" s="276"/>
      <c r="S292" s="283"/>
      <c r="T292" s="276"/>
      <c r="W292" s="283"/>
      <c r="X292" s="276"/>
      <c r="Y292" s="283"/>
      <c r="Z292" s="276"/>
      <c r="AA292" s="283"/>
      <c r="AB292" s="276"/>
      <c r="AC292" s="283"/>
      <c r="AE292" s="283"/>
      <c r="AF292" s="276"/>
      <c r="AI292" s="283"/>
      <c r="AJ292" s="276"/>
      <c r="AK292" s="283"/>
      <c r="AL292" s="276"/>
      <c r="AM292" s="283"/>
      <c r="AN292" s="276"/>
      <c r="AO292" s="283"/>
      <c r="AP292" s="276"/>
      <c r="AQ292" s="283"/>
      <c r="AR292" s="276"/>
      <c r="AT292" s="283"/>
      <c r="AU292" s="276"/>
      <c r="AV292" s="283"/>
      <c r="AW292" s="276"/>
      <c r="AX292" s="283"/>
      <c r="AY292" s="276"/>
      <c r="AZ292" s="283"/>
      <c r="BA292" s="276"/>
      <c r="BB292" s="283"/>
      <c r="BC292" s="276"/>
      <c r="BD292" s="283"/>
      <c r="BE292" s="276"/>
      <c r="BG292" s="283"/>
      <c r="BH292" s="276"/>
      <c r="BI292" s="283"/>
      <c r="BJ292" s="276"/>
      <c r="BK292" s="283"/>
      <c r="BL292" s="276"/>
      <c r="BM292" s="283"/>
      <c r="BN292" s="276"/>
      <c r="BO292" s="283"/>
      <c r="BP292" s="276"/>
      <c r="BQ292" s="283"/>
      <c r="BR292" s="283"/>
      <c r="BS292" s="276"/>
    </row>
    <row r="293" spans="12:71" ht="12" customHeight="1">
      <c r="L293" s="283"/>
      <c r="M293" s="276"/>
      <c r="N293" s="283"/>
      <c r="O293" s="276"/>
      <c r="P293" s="283"/>
      <c r="Q293" s="276"/>
      <c r="S293" s="283"/>
      <c r="T293" s="276"/>
      <c r="W293" s="283"/>
      <c r="X293" s="276"/>
      <c r="Y293" s="283"/>
      <c r="Z293" s="276"/>
      <c r="AA293" s="283"/>
      <c r="AB293" s="276"/>
      <c r="AC293" s="283"/>
      <c r="AE293" s="283"/>
      <c r="AF293" s="276"/>
      <c r="AI293" s="283"/>
      <c r="AJ293" s="276"/>
      <c r="AK293" s="283"/>
      <c r="AL293" s="276"/>
      <c r="AM293" s="283"/>
      <c r="AN293" s="276"/>
      <c r="AO293" s="283"/>
      <c r="AP293" s="276"/>
      <c r="AQ293" s="283"/>
      <c r="AR293" s="276"/>
      <c r="AT293" s="283"/>
      <c r="AU293" s="276"/>
      <c r="AV293" s="283"/>
      <c r="AW293" s="276"/>
      <c r="AX293" s="283"/>
      <c r="AY293" s="276"/>
      <c r="AZ293" s="283"/>
      <c r="BA293" s="276"/>
      <c r="BB293" s="283"/>
      <c r="BC293" s="276"/>
      <c r="BD293" s="283"/>
      <c r="BE293" s="276"/>
      <c r="BG293" s="283"/>
      <c r="BH293" s="276"/>
      <c r="BI293" s="283"/>
      <c r="BJ293" s="276"/>
      <c r="BK293" s="283"/>
      <c r="BL293" s="276"/>
      <c r="BM293" s="283"/>
      <c r="BN293" s="276"/>
      <c r="BO293" s="283"/>
      <c r="BP293" s="276"/>
      <c r="BQ293" s="283"/>
      <c r="BR293" s="283"/>
      <c r="BS293" s="276"/>
    </row>
    <row r="294" spans="12:71" ht="12" customHeight="1">
      <c r="L294" s="283"/>
      <c r="M294" s="276"/>
      <c r="N294" s="283"/>
      <c r="O294" s="276"/>
      <c r="P294" s="283"/>
      <c r="Q294" s="276"/>
      <c r="S294" s="283"/>
      <c r="T294" s="276"/>
      <c r="W294" s="283"/>
      <c r="X294" s="276"/>
      <c r="Y294" s="283"/>
      <c r="Z294" s="276"/>
      <c r="AA294" s="283"/>
      <c r="AB294" s="276"/>
      <c r="AC294" s="283"/>
      <c r="AE294" s="283"/>
      <c r="AF294" s="276"/>
      <c r="AI294" s="283"/>
      <c r="AJ294" s="276"/>
      <c r="AK294" s="283"/>
      <c r="AL294" s="276"/>
      <c r="AM294" s="283"/>
      <c r="AN294" s="276"/>
      <c r="AO294" s="283"/>
      <c r="AP294" s="276"/>
      <c r="AQ294" s="283"/>
      <c r="AR294" s="276"/>
      <c r="AT294" s="283"/>
      <c r="AU294" s="276"/>
      <c r="AV294" s="283"/>
      <c r="AW294" s="276"/>
      <c r="AX294" s="283"/>
      <c r="AY294" s="276"/>
      <c r="AZ294" s="283"/>
      <c r="BA294" s="276"/>
      <c r="BB294" s="283"/>
      <c r="BC294" s="276"/>
      <c r="BD294" s="283"/>
      <c r="BE294" s="276"/>
      <c r="BG294" s="283"/>
      <c r="BH294" s="276"/>
      <c r="BI294" s="283"/>
      <c r="BJ294" s="276"/>
      <c r="BK294" s="283"/>
      <c r="BL294" s="276"/>
      <c r="BM294" s="283"/>
      <c r="BN294" s="276"/>
      <c r="BO294" s="283"/>
      <c r="BP294" s="276"/>
      <c r="BQ294" s="283"/>
      <c r="BR294" s="283"/>
      <c r="BS294" s="276"/>
    </row>
    <row r="295" spans="12:71" ht="12" customHeight="1">
      <c r="L295" s="283"/>
      <c r="M295" s="276"/>
      <c r="N295" s="283"/>
      <c r="O295" s="276"/>
      <c r="P295" s="283"/>
      <c r="Q295" s="276"/>
      <c r="S295" s="283"/>
      <c r="T295" s="276"/>
      <c r="W295" s="283"/>
      <c r="X295" s="276"/>
      <c r="Y295" s="283"/>
      <c r="Z295" s="276"/>
      <c r="AA295" s="283"/>
      <c r="AB295" s="276"/>
      <c r="AC295" s="283"/>
      <c r="AE295" s="283"/>
      <c r="AF295" s="276"/>
      <c r="AI295" s="283"/>
      <c r="AJ295" s="276"/>
      <c r="AK295" s="283"/>
      <c r="AL295" s="276"/>
      <c r="AM295" s="283"/>
      <c r="AN295" s="276"/>
      <c r="AO295" s="283"/>
      <c r="AP295" s="276"/>
      <c r="AQ295" s="283"/>
      <c r="AR295" s="276"/>
      <c r="AT295" s="283"/>
      <c r="AU295" s="276"/>
      <c r="AV295" s="283"/>
      <c r="AW295" s="276"/>
      <c r="AX295" s="283"/>
      <c r="AY295" s="276"/>
      <c r="AZ295" s="283"/>
      <c r="BA295" s="276"/>
      <c r="BB295" s="283"/>
      <c r="BC295" s="276"/>
      <c r="BD295" s="283"/>
      <c r="BE295" s="276"/>
      <c r="BG295" s="283"/>
      <c r="BH295" s="276"/>
      <c r="BI295" s="283"/>
      <c r="BJ295" s="276"/>
      <c r="BK295" s="283"/>
      <c r="BL295" s="276"/>
      <c r="BM295" s="283"/>
      <c r="BN295" s="276"/>
      <c r="BO295" s="283"/>
      <c r="BP295" s="276"/>
      <c r="BQ295" s="283"/>
      <c r="BR295" s="283"/>
      <c r="BS295" s="276"/>
    </row>
    <row r="296" spans="12:71" ht="12" customHeight="1">
      <c r="L296" s="283"/>
      <c r="M296" s="276"/>
      <c r="N296" s="283"/>
      <c r="O296" s="276"/>
      <c r="P296" s="283"/>
      <c r="Q296" s="276"/>
      <c r="S296" s="283"/>
      <c r="T296" s="276"/>
      <c r="W296" s="283"/>
      <c r="X296" s="276"/>
      <c r="Y296" s="283"/>
      <c r="Z296" s="276"/>
      <c r="AA296" s="283"/>
      <c r="AB296" s="276"/>
      <c r="AC296" s="283"/>
      <c r="AE296" s="283"/>
      <c r="AF296" s="276"/>
      <c r="AI296" s="283"/>
      <c r="AJ296" s="276"/>
      <c r="AK296" s="283"/>
      <c r="AL296" s="276"/>
      <c r="AM296" s="283"/>
      <c r="AN296" s="276"/>
      <c r="AO296" s="283"/>
      <c r="AP296" s="276"/>
      <c r="AQ296" s="283"/>
      <c r="AR296" s="276"/>
      <c r="AT296" s="283"/>
      <c r="AU296" s="276"/>
      <c r="AV296" s="283"/>
      <c r="AW296" s="276"/>
      <c r="AX296" s="283"/>
      <c r="AY296" s="276"/>
      <c r="AZ296" s="283"/>
      <c r="BA296" s="276"/>
      <c r="BB296" s="283"/>
      <c r="BC296" s="276"/>
      <c r="BD296" s="283"/>
      <c r="BE296" s="276"/>
      <c r="BG296" s="283"/>
      <c r="BH296" s="276"/>
      <c r="BI296" s="283"/>
      <c r="BJ296" s="276"/>
      <c r="BK296" s="283"/>
      <c r="BL296" s="276"/>
      <c r="BM296" s="283"/>
      <c r="BN296" s="276"/>
      <c r="BO296" s="283"/>
      <c r="BP296" s="276"/>
      <c r="BQ296" s="283"/>
      <c r="BR296" s="283"/>
      <c r="BS296" s="276"/>
    </row>
    <row r="297" spans="12:71" ht="12" customHeight="1">
      <c r="L297" s="283"/>
      <c r="M297" s="276"/>
      <c r="N297" s="283"/>
      <c r="O297" s="276"/>
      <c r="P297" s="283"/>
      <c r="Q297" s="276"/>
      <c r="S297" s="283"/>
      <c r="T297" s="276"/>
      <c r="W297" s="283"/>
      <c r="X297" s="276"/>
      <c r="Y297" s="283"/>
      <c r="Z297" s="276"/>
      <c r="AA297" s="283"/>
      <c r="AB297" s="276"/>
      <c r="AC297" s="283"/>
      <c r="AE297" s="283"/>
      <c r="AF297" s="276"/>
      <c r="AI297" s="283"/>
      <c r="AJ297" s="276"/>
      <c r="AK297" s="283"/>
      <c r="AL297" s="276"/>
      <c r="AM297" s="283"/>
      <c r="AN297" s="276"/>
      <c r="AO297" s="283"/>
      <c r="AP297" s="276"/>
      <c r="AQ297" s="283"/>
      <c r="AR297" s="276"/>
      <c r="AT297" s="283"/>
      <c r="AU297" s="276"/>
      <c r="AV297" s="283"/>
      <c r="AW297" s="276"/>
      <c r="AX297" s="283"/>
      <c r="AY297" s="276"/>
      <c r="AZ297" s="283"/>
      <c r="BA297" s="276"/>
      <c r="BB297" s="283"/>
      <c r="BC297" s="276"/>
      <c r="BD297" s="283"/>
      <c r="BE297" s="276"/>
      <c r="BG297" s="283"/>
      <c r="BH297" s="276"/>
      <c r="BI297" s="283"/>
      <c r="BJ297" s="276"/>
      <c r="BK297" s="283"/>
      <c r="BL297" s="276"/>
      <c r="BM297" s="283"/>
      <c r="BN297" s="276"/>
      <c r="BO297" s="283"/>
      <c r="BP297" s="276"/>
      <c r="BQ297" s="283"/>
      <c r="BR297" s="283"/>
      <c r="BS297" s="276"/>
    </row>
    <row r="298" spans="12:71" ht="12" customHeight="1">
      <c r="L298" s="283"/>
      <c r="M298" s="276"/>
      <c r="N298" s="283"/>
      <c r="O298" s="276"/>
      <c r="P298" s="283"/>
      <c r="Q298" s="276"/>
      <c r="S298" s="283"/>
      <c r="T298" s="276"/>
      <c r="W298" s="283"/>
      <c r="X298" s="276"/>
      <c r="Y298" s="283"/>
      <c r="Z298" s="276"/>
      <c r="AA298" s="283"/>
      <c r="AB298" s="276"/>
      <c r="AC298" s="283"/>
      <c r="AE298" s="283"/>
      <c r="AF298" s="276"/>
      <c r="AI298" s="283"/>
      <c r="AJ298" s="276"/>
      <c r="AK298" s="283"/>
      <c r="AL298" s="276"/>
      <c r="AM298" s="283"/>
      <c r="AN298" s="276"/>
      <c r="AO298" s="283"/>
      <c r="AP298" s="276"/>
      <c r="AQ298" s="283"/>
      <c r="AR298" s="276"/>
      <c r="AT298" s="283"/>
      <c r="AU298" s="276"/>
      <c r="AV298" s="283"/>
      <c r="AW298" s="276"/>
      <c r="AX298" s="283"/>
      <c r="AY298" s="276"/>
      <c r="AZ298" s="283"/>
      <c r="BA298" s="276"/>
      <c r="BB298" s="283"/>
      <c r="BC298" s="276"/>
      <c r="BD298" s="283"/>
      <c r="BE298" s="276"/>
      <c r="BG298" s="283"/>
      <c r="BH298" s="276"/>
      <c r="BI298" s="283"/>
      <c r="BJ298" s="276"/>
      <c r="BK298" s="283"/>
      <c r="BL298" s="276"/>
      <c r="BM298" s="283"/>
      <c r="BN298" s="276"/>
      <c r="BO298" s="283"/>
      <c r="BP298" s="276"/>
      <c r="BQ298" s="283"/>
      <c r="BR298" s="283"/>
      <c r="BS298" s="276"/>
    </row>
    <row r="299" spans="12:71" ht="12" customHeight="1">
      <c r="L299" s="283"/>
      <c r="M299" s="276"/>
      <c r="N299" s="283"/>
      <c r="O299" s="276"/>
      <c r="P299" s="283"/>
      <c r="Q299" s="276"/>
      <c r="S299" s="283"/>
      <c r="T299" s="276"/>
      <c r="W299" s="283"/>
      <c r="X299" s="276"/>
      <c r="Y299" s="283"/>
      <c r="Z299" s="276"/>
      <c r="AA299" s="283"/>
      <c r="AB299" s="276"/>
      <c r="AC299" s="283"/>
      <c r="AE299" s="283"/>
      <c r="AF299" s="276"/>
      <c r="AI299" s="283"/>
      <c r="AJ299" s="276"/>
      <c r="AK299" s="283"/>
      <c r="AL299" s="276"/>
      <c r="AM299" s="283"/>
      <c r="AN299" s="276"/>
      <c r="AO299" s="283"/>
      <c r="AP299" s="276"/>
      <c r="AQ299" s="283"/>
      <c r="AR299" s="276"/>
      <c r="AT299" s="283"/>
      <c r="AU299" s="276"/>
      <c r="AV299" s="283"/>
      <c r="AW299" s="276"/>
      <c r="AX299" s="283"/>
      <c r="AY299" s="276"/>
      <c r="AZ299" s="283"/>
      <c r="BA299" s="276"/>
      <c r="BB299" s="283"/>
      <c r="BC299" s="276"/>
      <c r="BD299" s="283"/>
      <c r="BE299" s="276"/>
      <c r="BG299" s="283"/>
      <c r="BH299" s="276"/>
      <c r="BI299" s="283"/>
      <c r="BJ299" s="276"/>
      <c r="BK299" s="283"/>
      <c r="BL299" s="276"/>
      <c r="BM299" s="283"/>
      <c r="BN299" s="276"/>
      <c r="BO299" s="283"/>
      <c r="BP299" s="276"/>
      <c r="BQ299" s="283"/>
      <c r="BR299" s="283"/>
      <c r="BS299" s="276"/>
    </row>
    <row r="300" spans="12:71" ht="12" customHeight="1">
      <c r="L300" s="283"/>
      <c r="M300" s="276"/>
      <c r="N300" s="283"/>
      <c r="O300" s="276"/>
      <c r="P300" s="283"/>
      <c r="Q300" s="276"/>
      <c r="S300" s="283"/>
      <c r="T300" s="276"/>
      <c r="W300" s="283"/>
      <c r="X300" s="276"/>
      <c r="Y300" s="283"/>
      <c r="Z300" s="276"/>
      <c r="AA300" s="283"/>
      <c r="AB300" s="276"/>
      <c r="AC300" s="283"/>
      <c r="AE300" s="283"/>
      <c r="AF300" s="276"/>
      <c r="AI300" s="283"/>
      <c r="AJ300" s="276"/>
      <c r="AK300" s="283"/>
      <c r="AL300" s="276"/>
      <c r="AM300" s="283"/>
      <c r="AN300" s="276"/>
      <c r="AO300" s="283"/>
      <c r="AP300" s="276"/>
      <c r="AQ300" s="283"/>
      <c r="AR300" s="276"/>
      <c r="AT300" s="283"/>
      <c r="AU300" s="276"/>
      <c r="AV300" s="283"/>
      <c r="AW300" s="276"/>
      <c r="AX300" s="283"/>
      <c r="AY300" s="276"/>
      <c r="AZ300" s="283"/>
      <c r="BA300" s="276"/>
      <c r="BB300" s="283"/>
      <c r="BC300" s="276"/>
      <c r="BD300" s="283"/>
      <c r="BE300" s="276"/>
      <c r="BG300" s="283"/>
      <c r="BH300" s="276"/>
      <c r="BI300" s="283"/>
      <c r="BJ300" s="276"/>
      <c r="BK300" s="283"/>
      <c r="BL300" s="276"/>
      <c r="BM300" s="283"/>
      <c r="BN300" s="276"/>
      <c r="BO300" s="283"/>
      <c r="BP300" s="276"/>
      <c r="BQ300" s="283"/>
      <c r="BR300" s="283"/>
      <c r="BS300" s="276"/>
    </row>
    <row r="301" spans="12:71" ht="12" customHeight="1">
      <c r="L301" s="283"/>
      <c r="M301" s="276"/>
      <c r="N301" s="283"/>
      <c r="O301" s="276"/>
      <c r="P301" s="283"/>
      <c r="Q301" s="276"/>
      <c r="S301" s="283"/>
      <c r="T301" s="276"/>
      <c r="W301" s="283"/>
      <c r="X301" s="276"/>
      <c r="Y301" s="283"/>
      <c r="Z301" s="276"/>
      <c r="AA301" s="283"/>
      <c r="AB301" s="276"/>
      <c r="AC301" s="283"/>
      <c r="AE301" s="283"/>
      <c r="AF301" s="276"/>
      <c r="AI301" s="283"/>
      <c r="AJ301" s="276"/>
      <c r="AK301" s="283"/>
      <c r="AL301" s="276"/>
      <c r="AM301" s="283"/>
      <c r="AN301" s="276"/>
      <c r="AO301" s="283"/>
      <c r="AP301" s="276"/>
      <c r="AQ301" s="283"/>
      <c r="AR301" s="276"/>
      <c r="AT301" s="283"/>
      <c r="AU301" s="276"/>
      <c r="AV301" s="283"/>
      <c r="AW301" s="276"/>
      <c r="AX301" s="283"/>
      <c r="AY301" s="276"/>
      <c r="AZ301" s="283"/>
      <c r="BA301" s="276"/>
      <c r="BB301" s="283"/>
      <c r="BC301" s="276"/>
      <c r="BD301" s="283"/>
      <c r="BE301" s="276"/>
      <c r="BG301" s="283"/>
      <c r="BH301" s="276"/>
      <c r="BI301" s="283"/>
      <c r="BJ301" s="276"/>
      <c r="BK301" s="283"/>
      <c r="BL301" s="276"/>
      <c r="BM301" s="283"/>
      <c r="BN301" s="276"/>
      <c r="BO301" s="283"/>
      <c r="BP301" s="276"/>
      <c r="BQ301" s="283"/>
      <c r="BR301" s="283"/>
      <c r="BS301" s="276"/>
    </row>
    <row r="302" spans="12:71" ht="12" customHeight="1">
      <c r="L302" s="283"/>
      <c r="M302" s="276"/>
      <c r="N302" s="283"/>
      <c r="O302" s="276"/>
      <c r="P302" s="283"/>
      <c r="Q302" s="276"/>
      <c r="S302" s="283"/>
      <c r="T302" s="276"/>
      <c r="W302" s="283"/>
      <c r="X302" s="276"/>
      <c r="Y302" s="283"/>
      <c r="Z302" s="276"/>
      <c r="AA302" s="283"/>
      <c r="AB302" s="276"/>
      <c r="AC302" s="283"/>
      <c r="AE302" s="283"/>
      <c r="AF302" s="276"/>
      <c r="AI302" s="283"/>
      <c r="AJ302" s="276"/>
      <c r="AK302" s="283"/>
      <c r="AL302" s="276"/>
      <c r="AM302" s="283"/>
      <c r="AN302" s="276"/>
      <c r="AO302" s="283"/>
      <c r="AP302" s="276"/>
      <c r="AQ302" s="283"/>
      <c r="AR302" s="276"/>
      <c r="AT302" s="283"/>
      <c r="AU302" s="276"/>
      <c r="AV302" s="283"/>
      <c r="AW302" s="276"/>
      <c r="AX302" s="283"/>
      <c r="AY302" s="276"/>
      <c r="AZ302" s="283"/>
      <c r="BA302" s="276"/>
      <c r="BB302" s="283"/>
      <c r="BC302" s="276"/>
      <c r="BD302" s="283"/>
      <c r="BE302" s="276"/>
      <c r="BG302" s="283"/>
      <c r="BH302" s="276"/>
      <c r="BI302" s="283"/>
      <c r="BJ302" s="276"/>
      <c r="BK302" s="283"/>
      <c r="BL302" s="276"/>
      <c r="BM302" s="283"/>
      <c r="BN302" s="276"/>
      <c r="BO302" s="283"/>
      <c r="BP302" s="276"/>
      <c r="BQ302" s="283"/>
      <c r="BR302" s="283"/>
      <c r="BS302" s="276"/>
    </row>
    <row r="303" spans="12:71" ht="12" customHeight="1">
      <c r="L303" s="283"/>
      <c r="M303" s="276"/>
      <c r="N303" s="283"/>
      <c r="O303" s="276"/>
      <c r="P303" s="283"/>
      <c r="Q303" s="276"/>
      <c r="S303" s="283"/>
      <c r="T303" s="276"/>
      <c r="W303" s="283"/>
      <c r="X303" s="276"/>
      <c r="Y303" s="283"/>
      <c r="Z303" s="276"/>
      <c r="AA303" s="283"/>
      <c r="AB303" s="276"/>
      <c r="AC303" s="283"/>
      <c r="AE303" s="283"/>
      <c r="AF303" s="276"/>
      <c r="AI303" s="283"/>
      <c r="AJ303" s="276"/>
      <c r="AK303" s="283"/>
      <c r="AL303" s="276"/>
      <c r="AM303" s="283"/>
      <c r="AN303" s="276"/>
      <c r="AO303" s="283"/>
      <c r="AP303" s="276"/>
      <c r="AQ303" s="283"/>
      <c r="AR303" s="276"/>
      <c r="AT303" s="283"/>
      <c r="AU303" s="276"/>
      <c r="AV303" s="283"/>
      <c r="AW303" s="276"/>
      <c r="AX303" s="283"/>
      <c r="AY303" s="276"/>
      <c r="AZ303" s="283"/>
      <c r="BA303" s="276"/>
      <c r="BB303" s="283"/>
      <c r="BC303" s="276"/>
      <c r="BD303" s="283"/>
      <c r="BE303" s="276"/>
      <c r="BG303" s="283"/>
      <c r="BH303" s="276"/>
      <c r="BI303" s="283"/>
      <c r="BJ303" s="276"/>
      <c r="BK303" s="283"/>
      <c r="BL303" s="276"/>
      <c r="BM303" s="283"/>
      <c r="BN303" s="276"/>
      <c r="BO303" s="283"/>
      <c r="BP303" s="276"/>
      <c r="BQ303" s="283"/>
      <c r="BR303" s="283"/>
      <c r="BS303" s="276"/>
    </row>
    <row r="304" spans="12:71" ht="12" customHeight="1">
      <c r="L304" s="283"/>
      <c r="M304" s="276"/>
      <c r="N304" s="283"/>
      <c r="O304" s="276"/>
      <c r="P304" s="283"/>
      <c r="Q304" s="276"/>
      <c r="S304" s="283"/>
      <c r="T304" s="276"/>
      <c r="W304" s="283"/>
      <c r="X304" s="276"/>
      <c r="Y304" s="283"/>
      <c r="Z304" s="276"/>
      <c r="AA304" s="283"/>
      <c r="AB304" s="276"/>
      <c r="AC304" s="283"/>
      <c r="AE304" s="283"/>
      <c r="AF304" s="276"/>
      <c r="AI304" s="283"/>
      <c r="AJ304" s="276"/>
      <c r="AK304" s="283"/>
      <c r="AL304" s="276"/>
      <c r="AM304" s="283"/>
      <c r="AN304" s="276"/>
      <c r="AO304" s="283"/>
      <c r="AP304" s="276"/>
      <c r="AQ304" s="283"/>
      <c r="AR304" s="276"/>
      <c r="AT304" s="283"/>
      <c r="AU304" s="276"/>
      <c r="AV304" s="283"/>
      <c r="AW304" s="276"/>
      <c r="AX304" s="283"/>
      <c r="AY304" s="276"/>
      <c r="AZ304" s="283"/>
      <c r="BA304" s="276"/>
      <c r="BB304" s="283"/>
      <c r="BC304" s="276"/>
      <c r="BD304" s="283"/>
      <c r="BE304" s="276"/>
      <c r="BG304" s="283"/>
      <c r="BH304" s="276"/>
      <c r="BI304" s="283"/>
      <c r="BJ304" s="276"/>
      <c r="BK304" s="283"/>
      <c r="BL304" s="276"/>
      <c r="BM304" s="283"/>
      <c r="BN304" s="276"/>
      <c r="BO304" s="283"/>
      <c r="BP304" s="276"/>
      <c r="BQ304" s="283"/>
      <c r="BR304" s="283"/>
      <c r="BS304" s="276"/>
    </row>
    <row r="305" spans="12:71" ht="12" customHeight="1">
      <c r="L305" s="283"/>
      <c r="M305" s="276"/>
      <c r="N305" s="283"/>
      <c r="O305" s="276"/>
      <c r="P305" s="283"/>
      <c r="Q305" s="276"/>
      <c r="S305" s="283"/>
      <c r="T305" s="276"/>
      <c r="W305" s="283"/>
      <c r="X305" s="276"/>
      <c r="Y305" s="283"/>
      <c r="Z305" s="276"/>
      <c r="AA305" s="283"/>
      <c r="AB305" s="276"/>
      <c r="AC305" s="283"/>
      <c r="AE305" s="283"/>
      <c r="AF305" s="276"/>
      <c r="AI305" s="283"/>
      <c r="AJ305" s="276"/>
      <c r="AK305" s="283"/>
      <c r="AL305" s="276"/>
      <c r="AM305" s="283"/>
      <c r="AN305" s="276"/>
      <c r="AO305" s="283"/>
      <c r="AP305" s="276"/>
      <c r="AQ305" s="283"/>
      <c r="AR305" s="276"/>
      <c r="AT305" s="283"/>
      <c r="AU305" s="276"/>
      <c r="AV305" s="283"/>
      <c r="AW305" s="276"/>
      <c r="AX305" s="283"/>
      <c r="AY305" s="276"/>
      <c r="AZ305" s="283"/>
      <c r="BA305" s="276"/>
      <c r="BB305" s="283"/>
      <c r="BC305" s="276"/>
      <c r="BD305" s="283"/>
      <c r="BE305" s="276"/>
      <c r="BG305" s="283"/>
      <c r="BH305" s="276"/>
      <c r="BI305" s="283"/>
      <c r="BJ305" s="276"/>
      <c r="BK305" s="283"/>
      <c r="BL305" s="276"/>
      <c r="BM305" s="283"/>
      <c r="BN305" s="276"/>
      <c r="BO305" s="283"/>
      <c r="BP305" s="276"/>
      <c r="BQ305" s="283"/>
      <c r="BR305" s="283"/>
      <c r="BS305" s="276"/>
    </row>
    <row r="306" spans="12:71" ht="12" customHeight="1">
      <c r="L306" s="283"/>
      <c r="M306" s="276"/>
      <c r="N306" s="283"/>
      <c r="O306" s="276"/>
      <c r="P306" s="283"/>
      <c r="Q306" s="276"/>
      <c r="S306" s="283"/>
      <c r="T306" s="276"/>
      <c r="W306" s="283"/>
      <c r="X306" s="276"/>
      <c r="Y306" s="283"/>
      <c r="Z306" s="276"/>
      <c r="AA306" s="283"/>
      <c r="AB306" s="276"/>
      <c r="AC306" s="283"/>
      <c r="AE306" s="283"/>
      <c r="AF306" s="276"/>
      <c r="AI306" s="283"/>
      <c r="AJ306" s="276"/>
      <c r="AK306" s="283"/>
      <c r="AL306" s="276"/>
      <c r="AM306" s="283"/>
      <c r="AN306" s="276"/>
      <c r="AO306" s="283"/>
      <c r="AP306" s="276"/>
      <c r="AQ306" s="283"/>
      <c r="AR306" s="276"/>
      <c r="AT306" s="283"/>
      <c r="AU306" s="276"/>
      <c r="AV306" s="283"/>
      <c r="AW306" s="276"/>
      <c r="AX306" s="283"/>
      <c r="AY306" s="276"/>
      <c r="AZ306" s="283"/>
      <c r="BA306" s="276"/>
      <c r="BB306" s="283"/>
      <c r="BC306" s="276"/>
      <c r="BD306" s="283"/>
      <c r="BE306" s="276"/>
      <c r="BG306" s="283"/>
      <c r="BH306" s="276"/>
      <c r="BI306" s="283"/>
      <c r="BJ306" s="276"/>
      <c r="BK306" s="283"/>
      <c r="BL306" s="276"/>
      <c r="BM306" s="283"/>
      <c r="BN306" s="276"/>
      <c r="BO306" s="283"/>
      <c r="BP306" s="276"/>
      <c r="BQ306" s="283"/>
      <c r="BR306" s="283"/>
      <c r="BS306" s="276"/>
    </row>
    <row r="307" spans="12:71" ht="12" customHeight="1">
      <c r="L307" s="283"/>
      <c r="M307" s="276"/>
      <c r="N307" s="283"/>
      <c r="O307" s="276"/>
      <c r="P307" s="283"/>
      <c r="Q307" s="276"/>
      <c r="S307" s="283"/>
      <c r="T307" s="276"/>
      <c r="W307" s="283"/>
      <c r="X307" s="276"/>
      <c r="Y307" s="283"/>
      <c r="Z307" s="276"/>
      <c r="AA307" s="283"/>
      <c r="AB307" s="276"/>
      <c r="AC307" s="283"/>
      <c r="AE307" s="283"/>
      <c r="AF307" s="276"/>
      <c r="AI307" s="283"/>
      <c r="AJ307" s="276"/>
      <c r="AK307" s="283"/>
      <c r="AL307" s="276"/>
      <c r="AM307" s="283"/>
      <c r="AN307" s="276"/>
      <c r="AO307" s="283"/>
      <c r="AP307" s="276"/>
      <c r="AQ307" s="283"/>
      <c r="AR307" s="276"/>
      <c r="AT307" s="283"/>
      <c r="AU307" s="276"/>
      <c r="AV307" s="283"/>
      <c r="AW307" s="276"/>
      <c r="AX307" s="283"/>
      <c r="AY307" s="276"/>
      <c r="AZ307" s="283"/>
      <c r="BA307" s="276"/>
      <c r="BB307" s="283"/>
      <c r="BC307" s="276"/>
      <c r="BD307" s="283"/>
      <c r="BE307" s="276"/>
      <c r="BG307" s="283"/>
      <c r="BH307" s="276"/>
      <c r="BI307" s="283"/>
      <c r="BJ307" s="276"/>
      <c r="BK307" s="283"/>
      <c r="BL307" s="276"/>
      <c r="BM307" s="283"/>
      <c r="BN307" s="276"/>
      <c r="BO307" s="283"/>
      <c r="BP307" s="276"/>
      <c r="BQ307" s="283"/>
      <c r="BR307" s="283"/>
      <c r="BS307" s="276"/>
    </row>
    <row r="308" spans="12:71" ht="12" customHeight="1">
      <c r="L308" s="283"/>
      <c r="M308" s="276"/>
      <c r="N308" s="283"/>
      <c r="O308" s="276"/>
      <c r="P308" s="283"/>
      <c r="Q308" s="276"/>
      <c r="S308" s="283"/>
      <c r="T308" s="276"/>
      <c r="W308" s="283"/>
      <c r="X308" s="276"/>
      <c r="Y308" s="283"/>
      <c r="Z308" s="276"/>
      <c r="AA308" s="283"/>
      <c r="AB308" s="276"/>
      <c r="AC308" s="283"/>
      <c r="AE308" s="283"/>
      <c r="AF308" s="276"/>
      <c r="AI308" s="283"/>
      <c r="AJ308" s="276"/>
      <c r="AK308" s="283"/>
      <c r="AL308" s="276"/>
      <c r="AM308" s="283"/>
      <c r="AN308" s="276"/>
      <c r="AO308" s="283"/>
      <c r="AP308" s="276"/>
      <c r="AQ308" s="283"/>
      <c r="AR308" s="276"/>
      <c r="AT308" s="283"/>
      <c r="AU308" s="276"/>
      <c r="AV308" s="283"/>
      <c r="AW308" s="276"/>
      <c r="AX308" s="283"/>
      <c r="AY308" s="276"/>
      <c r="AZ308" s="283"/>
      <c r="BA308" s="276"/>
      <c r="BB308" s="283"/>
      <c r="BC308" s="276"/>
      <c r="BD308" s="283"/>
      <c r="BE308" s="276"/>
      <c r="BG308" s="283"/>
      <c r="BH308" s="276"/>
      <c r="BI308" s="283"/>
      <c r="BJ308" s="276"/>
      <c r="BK308" s="283"/>
      <c r="BL308" s="276"/>
      <c r="BM308" s="283"/>
      <c r="BN308" s="276"/>
      <c r="BO308" s="283"/>
      <c r="BP308" s="276"/>
      <c r="BQ308" s="283"/>
      <c r="BR308" s="283"/>
      <c r="BS308" s="276"/>
    </row>
    <row r="309" spans="12:71" ht="12" customHeight="1">
      <c r="L309" s="283"/>
      <c r="M309" s="276"/>
      <c r="N309" s="283"/>
      <c r="O309" s="276"/>
      <c r="P309" s="283"/>
      <c r="Q309" s="276"/>
      <c r="S309" s="283"/>
      <c r="T309" s="276"/>
      <c r="W309" s="283"/>
      <c r="X309" s="276"/>
      <c r="Y309" s="283"/>
      <c r="Z309" s="276"/>
      <c r="AA309" s="283"/>
      <c r="AB309" s="276"/>
      <c r="AC309" s="283"/>
      <c r="AE309" s="283"/>
      <c r="AF309" s="276"/>
      <c r="AI309" s="283"/>
      <c r="AJ309" s="276"/>
      <c r="AK309" s="283"/>
      <c r="AL309" s="276"/>
      <c r="AM309" s="283"/>
      <c r="AN309" s="276"/>
      <c r="AO309" s="283"/>
      <c r="AP309" s="276"/>
      <c r="AQ309" s="283"/>
      <c r="AR309" s="276"/>
      <c r="AT309" s="283"/>
      <c r="AU309" s="276"/>
      <c r="AV309" s="283"/>
      <c r="AW309" s="276"/>
      <c r="AX309" s="283"/>
      <c r="AY309" s="276"/>
      <c r="AZ309" s="283"/>
      <c r="BA309" s="276"/>
      <c r="BB309" s="283"/>
      <c r="BC309" s="276"/>
      <c r="BD309" s="283"/>
      <c r="BE309" s="276"/>
      <c r="BG309" s="283"/>
      <c r="BH309" s="276"/>
      <c r="BI309" s="283"/>
      <c r="BJ309" s="276"/>
      <c r="BK309" s="283"/>
      <c r="BL309" s="276"/>
      <c r="BM309" s="283"/>
      <c r="BN309" s="276"/>
      <c r="BO309" s="283"/>
      <c r="BP309" s="276"/>
      <c r="BQ309" s="283"/>
      <c r="BR309" s="283"/>
      <c r="BS309" s="276"/>
    </row>
    <row r="310" spans="12:71" ht="12" customHeight="1">
      <c r="L310" s="283"/>
      <c r="M310" s="276"/>
      <c r="N310" s="283"/>
      <c r="O310" s="276"/>
      <c r="P310" s="283"/>
      <c r="Q310" s="276"/>
      <c r="S310" s="283"/>
      <c r="T310" s="276"/>
      <c r="W310" s="283"/>
      <c r="X310" s="276"/>
      <c r="Y310" s="283"/>
      <c r="Z310" s="276"/>
      <c r="AA310" s="283"/>
      <c r="AB310" s="276"/>
      <c r="AC310" s="283"/>
      <c r="AE310" s="283"/>
      <c r="AF310" s="276"/>
      <c r="AI310" s="283"/>
      <c r="AJ310" s="276"/>
      <c r="AK310" s="283"/>
      <c r="AL310" s="276"/>
      <c r="AM310" s="283"/>
      <c r="AN310" s="276"/>
      <c r="AO310" s="283"/>
      <c r="AP310" s="276"/>
      <c r="AQ310" s="283"/>
      <c r="AR310" s="276"/>
      <c r="AT310" s="283"/>
      <c r="AU310" s="276"/>
      <c r="AV310" s="283"/>
      <c r="AW310" s="276"/>
      <c r="AX310" s="283"/>
      <c r="AY310" s="276"/>
      <c r="AZ310" s="283"/>
      <c r="BA310" s="276"/>
      <c r="BB310" s="283"/>
      <c r="BC310" s="276"/>
      <c r="BD310" s="283"/>
      <c r="BE310" s="276"/>
      <c r="BG310" s="283"/>
      <c r="BH310" s="276"/>
      <c r="BI310" s="283"/>
      <c r="BJ310" s="276"/>
      <c r="BK310" s="283"/>
      <c r="BL310" s="276"/>
      <c r="BM310" s="283"/>
      <c r="BN310" s="276"/>
      <c r="BO310" s="283"/>
      <c r="BP310" s="276"/>
      <c r="BQ310" s="283"/>
      <c r="BR310" s="283"/>
      <c r="BS310" s="276"/>
    </row>
    <row r="311" spans="12:71" ht="12" customHeight="1">
      <c r="L311" s="283"/>
      <c r="M311" s="276"/>
      <c r="N311" s="283"/>
      <c r="O311" s="276"/>
      <c r="P311" s="283"/>
      <c r="Q311" s="276"/>
      <c r="S311" s="283"/>
      <c r="T311" s="276"/>
      <c r="W311" s="283"/>
      <c r="X311" s="276"/>
      <c r="Y311" s="283"/>
      <c r="Z311" s="276"/>
      <c r="AA311" s="283"/>
      <c r="AB311" s="276"/>
      <c r="AC311" s="283"/>
      <c r="AE311" s="283"/>
      <c r="AF311" s="276"/>
      <c r="AI311" s="283"/>
      <c r="AJ311" s="276"/>
      <c r="AK311" s="283"/>
      <c r="AL311" s="276"/>
      <c r="AM311" s="283"/>
      <c r="AN311" s="276"/>
      <c r="AO311" s="283"/>
      <c r="AP311" s="276"/>
      <c r="AQ311" s="283"/>
      <c r="AR311" s="276"/>
      <c r="AT311" s="283"/>
      <c r="AU311" s="276"/>
      <c r="AV311" s="283"/>
      <c r="AW311" s="276"/>
      <c r="AX311" s="283"/>
      <c r="AY311" s="276"/>
      <c r="AZ311" s="283"/>
      <c r="BA311" s="276"/>
      <c r="BB311" s="283"/>
      <c r="BC311" s="276"/>
      <c r="BD311" s="283"/>
      <c r="BE311" s="276"/>
      <c r="BG311" s="283"/>
      <c r="BH311" s="276"/>
      <c r="BI311" s="283"/>
      <c r="BJ311" s="276"/>
      <c r="BK311" s="283"/>
      <c r="BL311" s="276"/>
      <c r="BM311" s="283"/>
      <c r="BN311" s="276"/>
      <c r="BO311" s="283"/>
      <c r="BP311" s="276"/>
      <c r="BQ311" s="283"/>
      <c r="BR311" s="283"/>
      <c r="BS311" s="276"/>
    </row>
    <row r="312" spans="12:71" ht="12" customHeight="1">
      <c r="L312" s="283"/>
      <c r="M312" s="276"/>
      <c r="N312" s="283"/>
      <c r="O312" s="276"/>
      <c r="P312" s="283"/>
      <c r="Q312" s="276"/>
      <c r="S312" s="283"/>
      <c r="T312" s="276"/>
      <c r="W312" s="283"/>
      <c r="X312" s="276"/>
      <c r="Y312" s="283"/>
      <c r="Z312" s="276"/>
      <c r="AA312" s="283"/>
      <c r="AB312" s="276"/>
      <c r="AC312" s="283"/>
      <c r="AE312" s="283"/>
      <c r="AF312" s="276"/>
      <c r="AI312" s="283"/>
      <c r="AJ312" s="276"/>
      <c r="AK312" s="283"/>
      <c r="AL312" s="276"/>
      <c r="AM312" s="283"/>
      <c r="AN312" s="276"/>
      <c r="AO312" s="283"/>
      <c r="AP312" s="276"/>
      <c r="AQ312" s="283"/>
      <c r="AR312" s="276"/>
      <c r="AT312" s="283"/>
      <c r="AU312" s="276"/>
      <c r="AV312" s="283"/>
      <c r="AW312" s="276"/>
      <c r="AX312" s="283"/>
      <c r="AY312" s="276"/>
      <c r="AZ312" s="283"/>
      <c r="BA312" s="276"/>
      <c r="BB312" s="283"/>
      <c r="BC312" s="276"/>
      <c r="BD312" s="283"/>
      <c r="BE312" s="276"/>
      <c r="BG312" s="283"/>
      <c r="BH312" s="276"/>
      <c r="BI312" s="283"/>
      <c r="BJ312" s="276"/>
      <c r="BK312" s="283"/>
      <c r="BL312" s="276"/>
      <c r="BM312" s="283"/>
      <c r="BN312" s="276"/>
      <c r="BO312" s="283"/>
      <c r="BP312" s="276"/>
      <c r="BQ312" s="283"/>
      <c r="BR312" s="283"/>
      <c r="BS312" s="276"/>
    </row>
    <row r="313" spans="12:71" ht="12" customHeight="1">
      <c r="L313" s="283"/>
      <c r="M313" s="276"/>
      <c r="N313" s="283"/>
      <c r="O313" s="276"/>
      <c r="P313" s="283"/>
      <c r="Q313" s="276"/>
      <c r="S313" s="283"/>
      <c r="T313" s="276"/>
      <c r="W313" s="283"/>
      <c r="X313" s="276"/>
      <c r="Y313" s="283"/>
      <c r="Z313" s="276"/>
      <c r="AA313" s="283"/>
      <c r="AB313" s="276"/>
      <c r="AC313" s="283"/>
      <c r="AE313" s="283"/>
      <c r="AF313" s="276"/>
      <c r="AI313" s="283"/>
      <c r="AJ313" s="276"/>
      <c r="AK313" s="283"/>
      <c r="AL313" s="276"/>
      <c r="AM313" s="283"/>
      <c r="AN313" s="276"/>
      <c r="AO313" s="283"/>
      <c r="AP313" s="276"/>
      <c r="AQ313" s="283"/>
      <c r="AR313" s="276"/>
      <c r="AT313" s="283"/>
      <c r="AU313" s="276"/>
      <c r="AV313" s="283"/>
      <c r="AW313" s="276"/>
      <c r="AX313" s="283"/>
      <c r="AY313" s="276"/>
      <c r="AZ313" s="283"/>
      <c r="BA313" s="276"/>
      <c r="BB313" s="283"/>
      <c r="BC313" s="276"/>
      <c r="BD313" s="283"/>
      <c r="BE313" s="276"/>
      <c r="BG313" s="283"/>
      <c r="BH313" s="276"/>
      <c r="BI313" s="283"/>
      <c r="BJ313" s="276"/>
      <c r="BK313" s="283"/>
      <c r="BL313" s="276"/>
      <c r="BM313" s="283"/>
      <c r="BN313" s="276"/>
      <c r="BO313" s="283"/>
      <c r="BP313" s="276"/>
      <c r="BQ313" s="283"/>
      <c r="BR313" s="283"/>
      <c r="BS313" s="276"/>
    </row>
    <row r="314" spans="12:71" ht="12" customHeight="1">
      <c r="L314" s="283"/>
      <c r="M314" s="276"/>
      <c r="N314" s="283"/>
      <c r="O314" s="276"/>
      <c r="P314" s="283"/>
      <c r="Q314" s="276"/>
      <c r="S314" s="283"/>
      <c r="T314" s="276"/>
      <c r="W314" s="283"/>
      <c r="X314" s="276"/>
      <c r="Y314" s="283"/>
      <c r="Z314" s="276"/>
      <c r="AA314" s="283"/>
      <c r="AB314" s="276"/>
      <c r="AC314" s="283"/>
      <c r="AE314" s="283"/>
      <c r="AF314" s="276"/>
      <c r="AI314" s="283"/>
      <c r="AJ314" s="276"/>
      <c r="AK314" s="283"/>
      <c r="AL314" s="276"/>
      <c r="AM314" s="283"/>
      <c r="AN314" s="276"/>
      <c r="AO314" s="283"/>
      <c r="AP314" s="276"/>
      <c r="AQ314" s="283"/>
      <c r="AR314" s="276"/>
      <c r="AT314" s="283"/>
      <c r="AU314" s="276"/>
      <c r="AV314" s="283"/>
      <c r="AW314" s="276"/>
      <c r="AX314" s="283"/>
      <c r="AY314" s="276"/>
      <c r="AZ314" s="283"/>
      <c r="BA314" s="276"/>
      <c r="BB314" s="283"/>
      <c r="BC314" s="276"/>
      <c r="BD314" s="283"/>
      <c r="BE314" s="276"/>
      <c r="BG314" s="283"/>
      <c r="BH314" s="276"/>
      <c r="BI314" s="283"/>
      <c r="BJ314" s="276"/>
      <c r="BK314" s="283"/>
      <c r="BL314" s="276"/>
      <c r="BM314" s="283"/>
      <c r="BN314" s="276"/>
      <c r="BO314" s="283"/>
      <c r="BP314" s="276"/>
      <c r="BQ314" s="283"/>
      <c r="BR314" s="283"/>
      <c r="BS314" s="276"/>
    </row>
    <row r="315" spans="12:71" ht="12" customHeight="1">
      <c r="L315" s="283"/>
      <c r="M315" s="276"/>
      <c r="N315" s="283"/>
      <c r="O315" s="276"/>
      <c r="P315" s="283"/>
      <c r="Q315" s="276"/>
      <c r="S315" s="283"/>
      <c r="T315" s="276"/>
      <c r="W315" s="283"/>
      <c r="X315" s="276"/>
      <c r="Y315" s="283"/>
      <c r="Z315" s="276"/>
      <c r="AA315" s="283"/>
      <c r="AB315" s="276"/>
      <c r="AC315" s="283"/>
      <c r="AE315" s="283"/>
      <c r="AF315" s="276"/>
      <c r="AI315" s="283"/>
      <c r="AJ315" s="276"/>
      <c r="AK315" s="283"/>
      <c r="AL315" s="276"/>
      <c r="AM315" s="283"/>
      <c r="AN315" s="276"/>
      <c r="AO315" s="283"/>
      <c r="AP315" s="276"/>
      <c r="AQ315" s="283"/>
      <c r="AR315" s="276"/>
      <c r="AT315" s="283"/>
      <c r="AU315" s="276"/>
      <c r="AV315" s="283"/>
      <c r="AW315" s="276"/>
      <c r="AX315" s="283"/>
      <c r="AY315" s="276"/>
      <c r="AZ315" s="283"/>
      <c r="BA315" s="276"/>
      <c r="BB315" s="283"/>
      <c r="BC315" s="276"/>
      <c r="BD315" s="283"/>
      <c r="BE315" s="276"/>
      <c r="BG315" s="283"/>
      <c r="BH315" s="276"/>
      <c r="BI315" s="283"/>
      <c r="BJ315" s="276"/>
      <c r="BK315" s="283"/>
      <c r="BL315" s="276"/>
      <c r="BM315" s="283"/>
      <c r="BN315" s="276"/>
      <c r="BO315" s="283"/>
      <c r="BP315" s="276"/>
      <c r="BQ315" s="283"/>
      <c r="BR315" s="283"/>
      <c r="BS315" s="276"/>
    </row>
    <row r="316" spans="12:71" ht="12" customHeight="1">
      <c r="L316" s="283"/>
      <c r="M316" s="276"/>
      <c r="N316" s="283"/>
      <c r="O316" s="276"/>
      <c r="P316" s="283"/>
      <c r="Q316" s="276"/>
      <c r="S316" s="283"/>
      <c r="T316" s="276"/>
      <c r="W316" s="283"/>
      <c r="X316" s="276"/>
      <c r="Y316" s="283"/>
      <c r="Z316" s="276"/>
      <c r="AA316" s="283"/>
      <c r="AB316" s="276"/>
      <c r="AC316" s="283"/>
      <c r="AE316" s="283"/>
      <c r="AF316" s="276"/>
      <c r="AI316" s="283"/>
      <c r="AJ316" s="276"/>
      <c r="AK316" s="283"/>
      <c r="AL316" s="276"/>
      <c r="AM316" s="283"/>
      <c r="AN316" s="276"/>
      <c r="AO316" s="283"/>
      <c r="AP316" s="276"/>
      <c r="AQ316" s="283"/>
      <c r="AR316" s="276"/>
      <c r="AT316" s="283"/>
      <c r="AU316" s="276"/>
      <c r="AV316" s="283"/>
      <c r="AW316" s="276"/>
      <c r="AX316" s="283"/>
      <c r="AY316" s="276"/>
      <c r="AZ316" s="283"/>
      <c r="BA316" s="276"/>
      <c r="BB316" s="283"/>
      <c r="BC316" s="276"/>
      <c r="BD316" s="283"/>
      <c r="BE316" s="276"/>
      <c r="BG316" s="283"/>
      <c r="BH316" s="276"/>
      <c r="BI316" s="283"/>
      <c r="BJ316" s="276"/>
      <c r="BK316" s="283"/>
      <c r="BL316" s="276"/>
      <c r="BM316" s="283"/>
      <c r="BN316" s="276"/>
      <c r="BO316" s="283"/>
      <c r="BP316" s="276"/>
      <c r="BQ316" s="283"/>
      <c r="BR316" s="283"/>
      <c r="BS316" s="276"/>
    </row>
    <row r="317" spans="12:71" ht="12" customHeight="1">
      <c r="L317" s="283"/>
      <c r="M317" s="276"/>
      <c r="N317" s="283"/>
      <c r="O317" s="276"/>
      <c r="P317" s="283"/>
      <c r="Q317" s="276"/>
      <c r="S317" s="283"/>
      <c r="T317" s="276"/>
      <c r="W317" s="283"/>
      <c r="X317" s="276"/>
      <c r="Y317" s="283"/>
      <c r="Z317" s="276"/>
      <c r="AA317" s="283"/>
      <c r="AB317" s="276"/>
      <c r="AC317" s="283"/>
      <c r="AE317" s="283"/>
      <c r="AF317" s="276"/>
      <c r="AI317" s="283"/>
      <c r="AJ317" s="276"/>
      <c r="AK317" s="283"/>
      <c r="AL317" s="276"/>
      <c r="AM317" s="283"/>
      <c r="AN317" s="276"/>
      <c r="AO317" s="283"/>
      <c r="AP317" s="276"/>
      <c r="AQ317" s="283"/>
      <c r="AR317" s="276"/>
      <c r="AT317" s="283"/>
      <c r="AU317" s="276"/>
      <c r="AV317" s="283"/>
      <c r="AW317" s="276"/>
      <c r="AX317" s="283"/>
      <c r="AY317" s="276"/>
      <c r="AZ317" s="283"/>
      <c r="BA317" s="276"/>
      <c r="BB317" s="283"/>
      <c r="BC317" s="276"/>
      <c r="BD317" s="283"/>
      <c r="BE317" s="276"/>
      <c r="BG317" s="283"/>
      <c r="BH317" s="276"/>
      <c r="BI317" s="283"/>
      <c r="BJ317" s="276"/>
      <c r="BK317" s="283"/>
      <c r="BL317" s="276"/>
      <c r="BM317" s="283"/>
      <c r="BN317" s="276"/>
      <c r="BO317" s="283"/>
      <c r="BP317" s="276"/>
      <c r="BQ317" s="283"/>
      <c r="BR317" s="283"/>
      <c r="BS317" s="276"/>
    </row>
    <row r="318" spans="12:71" ht="12" customHeight="1">
      <c r="L318" s="283"/>
      <c r="M318" s="276"/>
      <c r="N318" s="283"/>
      <c r="O318" s="276"/>
      <c r="P318" s="283"/>
      <c r="Q318" s="276"/>
      <c r="S318" s="283"/>
      <c r="T318" s="276"/>
      <c r="W318" s="283"/>
      <c r="X318" s="276"/>
      <c r="Y318" s="283"/>
      <c r="Z318" s="276"/>
      <c r="AA318" s="283"/>
      <c r="AB318" s="276"/>
      <c r="AC318" s="283"/>
      <c r="AE318" s="283"/>
      <c r="AF318" s="276"/>
      <c r="AI318" s="283"/>
      <c r="AJ318" s="276"/>
      <c r="AK318" s="283"/>
      <c r="AL318" s="276"/>
      <c r="AM318" s="283"/>
      <c r="AN318" s="276"/>
      <c r="AO318" s="283"/>
      <c r="AP318" s="276"/>
      <c r="AQ318" s="283"/>
      <c r="AR318" s="276"/>
      <c r="AT318" s="283"/>
      <c r="AU318" s="276"/>
      <c r="AV318" s="283"/>
      <c r="AW318" s="276"/>
      <c r="AX318" s="283"/>
      <c r="AY318" s="276"/>
      <c r="AZ318" s="283"/>
      <c r="BA318" s="276"/>
      <c r="BB318" s="283"/>
      <c r="BC318" s="276"/>
      <c r="BD318" s="283"/>
      <c r="BE318" s="276"/>
      <c r="BG318" s="283"/>
      <c r="BH318" s="276"/>
      <c r="BI318" s="283"/>
      <c r="BJ318" s="276"/>
      <c r="BK318" s="283"/>
      <c r="BL318" s="276"/>
      <c r="BM318" s="283"/>
      <c r="BN318" s="276"/>
      <c r="BO318" s="283"/>
      <c r="BP318" s="276"/>
      <c r="BQ318" s="283"/>
      <c r="BR318" s="283"/>
      <c r="BS318" s="276"/>
    </row>
    <row r="319" spans="12:71" ht="12" customHeight="1">
      <c r="L319" s="283"/>
      <c r="M319" s="276"/>
      <c r="N319" s="283"/>
      <c r="O319" s="276"/>
      <c r="P319" s="283"/>
      <c r="Q319" s="276"/>
      <c r="S319" s="283"/>
      <c r="T319" s="276"/>
      <c r="W319" s="283"/>
      <c r="X319" s="276"/>
      <c r="Y319" s="283"/>
      <c r="Z319" s="276"/>
      <c r="AA319" s="283"/>
      <c r="AB319" s="276"/>
      <c r="AC319" s="283"/>
      <c r="AE319" s="283"/>
      <c r="AF319" s="276"/>
      <c r="AI319" s="283"/>
      <c r="AJ319" s="276"/>
      <c r="AK319" s="283"/>
      <c r="AL319" s="276"/>
      <c r="AM319" s="283"/>
      <c r="AN319" s="276"/>
      <c r="AO319" s="283"/>
      <c r="AP319" s="276"/>
      <c r="AQ319" s="283"/>
      <c r="AR319" s="276"/>
      <c r="AT319" s="283"/>
      <c r="AU319" s="276"/>
      <c r="AV319" s="283"/>
      <c r="AW319" s="276"/>
      <c r="AX319" s="283"/>
      <c r="AY319" s="276"/>
      <c r="AZ319" s="283"/>
      <c r="BA319" s="276"/>
      <c r="BB319" s="283"/>
      <c r="BC319" s="276"/>
      <c r="BD319" s="283"/>
      <c r="BE319" s="276"/>
      <c r="BG319" s="283"/>
      <c r="BH319" s="276"/>
      <c r="BI319" s="283"/>
      <c r="BJ319" s="276"/>
      <c r="BK319" s="283"/>
      <c r="BL319" s="276"/>
      <c r="BM319" s="283"/>
      <c r="BN319" s="276"/>
      <c r="BO319" s="283"/>
      <c r="BP319" s="276"/>
      <c r="BQ319" s="283"/>
      <c r="BR319" s="283"/>
      <c r="BS319" s="276"/>
    </row>
    <row r="320" spans="12:71" ht="12" customHeight="1">
      <c r="L320" s="283"/>
      <c r="M320" s="276"/>
      <c r="N320" s="283"/>
      <c r="O320" s="276"/>
      <c r="P320" s="283"/>
      <c r="Q320" s="276"/>
      <c r="S320" s="283"/>
      <c r="T320" s="276"/>
      <c r="W320" s="283"/>
      <c r="X320" s="276"/>
      <c r="Y320" s="283"/>
      <c r="Z320" s="276"/>
      <c r="AA320" s="283"/>
      <c r="AB320" s="276"/>
      <c r="AC320" s="283"/>
      <c r="AE320" s="283"/>
      <c r="AF320" s="276"/>
      <c r="AI320" s="283"/>
      <c r="AJ320" s="276"/>
      <c r="AK320" s="283"/>
      <c r="AL320" s="276"/>
      <c r="AM320" s="283"/>
      <c r="AN320" s="276"/>
      <c r="AO320" s="283"/>
      <c r="AP320" s="276"/>
      <c r="AQ320" s="283"/>
      <c r="AR320" s="276"/>
      <c r="AT320" s="283"/>
      <c r="AU320" s="276"/>
      <c r="AV320" s="283"/>
      <c r="AW320" s="276"/>
      <c r="AX320" s="283"/>
      <c r="AY320" s="276"/>
      <c r="AZ320" s="283"/>
      <c r="BA320" s="276"/>
      <c r="BB320" s="283"/>
      <c r="BC320" s="276"/>
      <c r="BD320" s="283"/>
      <c r="BE320" s="276"/>
      <c r="BG320" s="283"/>
      <c r="BH320" s="276"/>
      <c r="BI320" s="283"/>
      <c r="BJ320" s="276"/>
      <c r="BK320" s="283"/>
      <c r="BL320" s="276"/>
      <c r="BM320" s="283"/>
      <c r="BN320" s="276"/>
      <c r="BO320" s="283"/>
      <c r="BP320" s="276"/>
      <c r="BQ320" s="283"/>
      <c r="BR320" s="283"/>
      <c r="BS320" s="276"/>
    </row>
    <row r="321" spans="12:71" ht="12" customHeight="1">
      <c r="L321" s="283"/>
      <c r="M321" s="276"/>
      <c r="N321" s="283"/>
      <c r="O321" s="276"/>
      <c r="P321" s="283"/>
      <c r="Q321" s="276"/>
      <c r="S321" s="283"/>
      <c r="T321" s="276"/>
      <c r="W321" s="283"/>
      <c r="X321" s="276"/>
      <c r="Y321" s="283"/>
      <c r="Z321" s="276"/>
      <c r="AA321" s="283"/>
      <c r="AB321" s="276"/>
      <c r="AC321" s="283"/>
      <c r="AE321" s="283"/>
      <c r="AF321" s="276"/>
      <c r="AI321" s="283"/>
      <c r="AJ321" s="276"/>
      <c r="AK321" s="283"/>
      <c r="AL321" s="276"/>
      <c r="AM321" s="283"/>
      <c r="AN321" s="276"/>
      <c r="AO321" s="283"/>
      <c r="AP321" s="276"/>
      <c r="AQ321" s="283"/>
      <c r="AR321" s="276"/>
      <c r="AT321" s="283"/>
      <c r="AU321" s="276"/>
      <c r="AV321" s="283"/>
      <c r="AW321" s="276"/>
      <c r="AX321" s="283"/>
      <c r="AY321" s="276"/>
      <c r="AZ321" s="283"/>
      <c r="BA321" s="276"/>
      <c r="BB321" s="283"/>
      <c r="BC321" s="276"/>
      <c r="BD321" s="283"/>
      <c r="BE321" s="276"/>
      <c r="BG321" s="283"/>
      <c r="BH321" s="276"/>
      <c r="BI321" s="283"/>
      <c r="BJ321" s="276"/>
      <c r="BK321" s="283"/>
      <c r="BL321" s="276"/>
      <c r="BM321" s="283"/>
      <c r="BN321" s="276"/>
      <c r="BO321" s="283"/>
      <c r="BP321" s="276"/>
      <c r="BQ321" s="283"/>
      <c r="BR321" s="283"/>
      <c r="BS321" s="276"/>
    </row>
    <row r="322" spans="12:71" ht="12" customHeight="1">
      <c r="L322" s="283"/>
      <c r="M322" s="276"/>
      <c r="N322" s="283"/>
      <c r="O322" s="276"/>
      <c r="P322" s="283"/>
      <c r="Q322" s="276"/>
      <c r="S322" s="283"/>
      <c r="T322" s="276"/>
      <c r="W322" s="283"/>
      <c r="X322" s="276"/>
      <c r="Y322" s="283"/>
      <c r="Z322" s="276"/>
      <c r="AA322" s="283"/>
      <c r="AB322" s="276"/>
      <c r="AC322" s="283"/>
      <c r="AE322" s="283"/>
      <c r="AF322" s="276"/>
      <c r="AI322" s="283"/>
      <c r="AJ322" s="276"/>
      <c r="AK322" s="283"/>
      <c r="AL322" s="276"/>
      <c r="AM322" s="283"/>
      <c r="AN322" s="276"/>
      <c r="AO322" s="283"/>
      <c r="AP322" s="276"/>
      <c r="AQ322" s="283"/>
      <c r="AR322" s="276"/>
      <c r="AT322" s="283"/>
      <c r="AU322" s="276"/>
      <c r="AV322" s="283"/>
      <c r="AW322" s="276"/>
      <c r="AX322" s="283"/>
      <c r="AY322" s="276"/>
      <c r="AZ322" s="283"/>
      <c r="BA322" s="276"/>
      <c r="BB322" s="283"/>
      <c r="BC322" s="276"/>
      <c r="BD322" s="283"/>
      <c r="BE322" s="276"/>
      <c r="BG322" s="283"/>
      <c r="BH322" s="276"/>
      <c r="BI322" s="283"/>
      <c r="BJ322" s="276"/>
      <c r="BK322" s="283"/>
      <c r="BL322" s="276"/>
      <c r="BM322" s="283"/>
      <c r="BN322" s="276"/>
      <c r="BO322" s="283"/>
      <c r="BP322" s="276"/>
      <c r="BQ322" s="283"/>
      <c r="BR322" s="283"/>
      <c r="BS322" s="276"/>
    </row>
    <row r="323" spans="12:71" ht="12" customHeight="1">
      <c r="L323" s="283"/>
      <c r="M323" s="276"/>
      <c r="N323" s="283"/>
      <c r="O323" s="276"/>
      <c r="P323" s="283"/>
      <c r="Q323" s="276"/>
      <c r="S323" s="283"/>
      <c r="T323" s="276"/>
      <c r="W323" s="283"/>
      <c r="X323" s="276"/>
      <c r="Y323" s="283"/>
      <c r="Z323" s="276"/>
      <c r="AA323" s="283"/>
      <c r="AB323" s="276"/>
      <c r="AC323" s="283"/>
      <c r="AE323" s="283"/>
      <c r="AF323" s="276"/>
      <c r="AI323" s="283"/>
      <c r="AJ323" s="276"/>
      <c r="AK323" s="283"/>
      <c r="AL323" s="276"/>
      <c r="AM323" s="283"/>
      <c r="AN323" s="276"/>
      <c r="AO323" s="283"/>
      <c r="AP323" s="276"/>
      <c r="AQ323" s="283"/>
      <c r="AR323" s="276"/>
      <c r="AT323" s="283"/>
      <c r="AU323" s="276"/>
      <c r="AV323" s="283"/>
      <c r="AW323" s="276"/>
      <c r="AX323" s="283"/>
      <c r="AY323" s="276"/>
      <c r="AZ323" s="283"/>
      <c r="BA323" s="276"/>
      <c r="BB323" s="283"/>
      <c r="BC323" s="276"/>
      <c r="BD323" s="283"/>
      <c r="BE323" s="276"/>
      <c r="BG323" s="283"/>
      <c r="BH323" s="276"/>
      <c r="BI323" s="283"/>
      <c r="BJ323" s="276"/>
      <c r="BK323" s="283"/>
      <c r="BL323" s="276"/>
      <c r="BM323" s="283"/>
      <c r="BN323" s="276"/>
      <c r="BO323" s="283"/>
      <c r="BP323" s="276"/>
      <c r="BQ323" s="283"/>
      <c r="BR323" s="283"/>
      <c r="BS323" s="276"/>
    </row>
    <row r="324" spans="12:71" ht="12" customHeight="1">
      <c r="L324" s="283"/>
      <c r="M324" s="276"/>
      <c r="N324" s="283"/>
      <c r="O324" s="276"/>
      <c r="P324" s="283"/>
      <c r="Q324" s="276"/>
      <c r="S324" s="283"/>
      <c r="T324" s="276"/>
      <c r="W324" s="283"/>
      <c r="X324" s="276"/>
      <c r="Y324" s="283"/>
      <c r="Z324" s="276"/>
      <c r="AA324" s="283"/>
      <c r="AB324" s="276"/>
      <c r="AC324" s="283"/>
      <c r="AE324" s="283"/>
      <c r="AF324" s="276"/>
      <c r="AI324" s="283"/>
      <c r="AJ324" s="276"/>
      <c r="AK324" s="283"/>
      <c r="AL324" s="276"/>
      <c r="AM324" s="283"/>
      <c r="AN324" s="276"/>
      <c r="AO324" s="283"/>
      <c r="AP324" s="276"/>
      <c r="AQ324" s="283"/>
      <c r="AR324" s="276"/>
      <c r="AT324" s="283"/>
      <c r="AU324" s="276"/>
      <c r="AV324" s="283"/>
      <c r="AW324" s="276"/>
      <c r="AX324" s="283"/>
      <c r="AY324" s="276"/>
      <c r="AZ324" s="283"/>
      <c r="BA324" s="276"/>
      <c r="BB324" s="283"/>
      <c r="BC324" s="276"/>
      <c r="BD324" s="283"/>
      <c r="BE324" s="276"/>
      <c r="BG324" s="283"/>
      <c r="BH324" s="276"/>
      <c r="BI324" s="283"/>
      <c r="BJ324" s="276"/>
      <c r="BK324" s="283"/>
      <c r="BL324" s="276"/>
      <c r="BM324" s="283"/>
      <c r="BN324" s="276"/>
      <c r="BO324" s="283"/>
      <c r="BP324" s="276"/>
      <c r="BQ324" s="283"/>
      <c r="BR324" s="283"/>
      <c r="BS324" s="276"/>
    </row>
    <row r="325" spans="12:71" ht="12" customHeight="1">
      <c r="L325" s="283"/>
      <c r="M325" s="276"/>
      <c r="N325" s="283"/>
      <c r="O325" s="276"/>
      <c r="P325" s="283"/>
      <c r="Q325" s="276"/>
      <c r="S325" s="283"/>
      <c r="T325" s="276"/>
      <c r="W325" s="283"/>
      <c r="X325" s="276"/>
      <c r="Y325" s="283"/>
      <c r="Z325" s="276"/>
      <c r="AA325" s="283"/>
      <c r="AB325" s="276"/>
      <c r="AC325" s="283"/>
      <c r="AE325" s="283"/>
      <c r="AF325" s="276"/>
      <c r="AI325" s="283"/>
      <c r="AJ325" s="276"/>
      <c r="AK325" s="283"/>
      <c r="AL325" s="276"/>
      <c r="AM325" s="283"/>
      <c r="AN325" s="276"/>
      <c r="AO325" s="283"/>
      <c r="AP325" s="276"/>
      <c r="AQ325" s="283"/>
      <c r="AR325" s="276"/>
      <c r="AT325" s="283"/>
      <c r="AU325" s="276"/>
      <c r="AV325" s="283"/>
      <c r="AW325" s="276"/>
      <c r="AX325" s="283"/>
      <c r="AY325" s="276"/>
      <c r="AZ325" s="283"/>
      <c r="BA325" s="276"/>
      <c r="BB325" s="283"/>
      <c r="BC325" s="276"/>
      <c r="BD325" s="283"/>
      <c r="BE325" s="276"/>
      <c r="BG325" s="283"/>
      <c r="BH325" s="276"/>
      <c r="BI325" s="283"/>
      <c r="BJ325" s="276"/>
      <c r="BK325" s="283"/>
      <c r="BL325" s="276"/>
      <c r="BM325" s="283"/>
      <c r="BN325" s="276"/>
      <c r="BO325" s="283"/>
      <c r="BP325" s="276"/>
      <c r="BQ325" s="283"/>
      <c r="BR325" s="283"/>
      <c r="BS325" s="276"/>
    </row>
    <row r="326" spans="12:71" ht="12" customHeight="1">
      <c r="L326" s="283"/>
      <c r="M326" s="276"/>
      <c r="N326" s="283"/>
      <c r="O326" s="276"/>
      <c r="P326" s="283"/>
      <c r="Q326" s="276"/>
      <c r="S326" s="283"/>
      <c r="T326" s="276"/>
      <c r="W326" s="283"/>
      <c r="X326" s="276"/>
      <c r="Y326" s="283"/>
      <c r="Z326" s="276"/>
      <c r="AA326" s="283"/>
      <c r="AB326" s="276"/>
      <c r="AC326" s="283"/>
      <c r="AE326" s="283"/>
      <c r="AF326" s="276"/>
      <c r="AI326" s="283"/>
      <c r="AJ326" s="276"/>
      <c r="AK326" s="283"/>
      <c r="AL326" s="276"/>
      <c r="AM326" s="283"/>
      <c r="AN326" s="276"/>
      <c r="AO326" s="283"/>
      <c r="AP326" s="276"/>
      <c r="AQ326" s="283"/>
      <c r="AR326" s="276"/>
      <c r="AT326" s="283"/>
      <c r="AU326" s="276"/>
      <c r="AV326" s="283"/>
      <c r="AW326" s="276"/>
      <c r="AX326" s="283"/>
      <c r="AY326" s="276"/>
      <c r="AZ326" s="283"/>
      <c r="BA326" s="276"/>
      <c r="BB326" s="283"/>
      <c r="BC326" s="276"/>
      <c r="BD326" s="283"/>
      <c r="BE326" s="276"/>
      <c r="BG326" s="283"/>
      <c r="BH326" s="276"/>
      <c r="BI326" s="283"/>
      <c r="BJ326" s="276"/>
      <c r="BK326" s="283"/>
      <c r="BL326" s="276"/>
      <c r="BM326" s="283"/>
      <c r="BN326" s="276"/>
      <c r="BO326" s="283"/>
      <c r="BP326" s="276"/>
      <c r="BQ326" s="283"/>
      <c r="BR326" s="283"/>
      <c r="BS326" s="276"/>
    </row>
    <row r="327" spans="12:71" ht="12" customHeight="1">
      <c r="L327" s="283"/>
      <c r="M327" s="276"/>
      <c r="N327" s="283"/>
      <c r="O327" s="276"/>
      <c r="P327" s="283"/>
      <c r="Q327" s="276"/>
      <c r="S327" s="283"/>
      <c r="T327" s="276"/>
      <c r="W327" s="283"/>
      <c r="X327" s="276"/>
      <c r="Y327" s="283"/>
      <c r="Z327" s="276"/>
      <c r="AA327" s="283"/>
      <c r="AB327" s="276"/>
      <c r="AC327" s="283"/>
      <c r="AE327" s="283"/>
      <c r="AF327" s="276"/>
      <c r="AI327" s="283"/>
      <c r="AJ327" s="276"/>
      <c r="AK327" s="283"/>
      <c r="AL327" s="276"/>
      <c r="AM327" s="283"/>
      <c r="AN327" s="276"/>
      <c r="AO327" s="283"/>
      <c r="AP327" s="276"/>
      <c r="AQ327" s="283"/>
      <c r="AR327" s="276"/>
      <c r="AT327" s="283"/>
      <c r="AU327" s="276"/>
      <c r="AV327" s="283"/>
      <c r="AW327" s="276"/>
      <c r="AX327" s="283"/>
      <c r="AY327" s="276"/>
      <c r="AZ327" s="283"/>
      <c r="BA327" s="276"/>
      <c r="BB327" s="283"/>
      <c r="BC327" s="276"/>
      <c r="BD327" s="283"/>
      <c r="BE327" s="276"/>
      <c r="BG327" s="283"/>
      <c r="BH327" s="276"/>
      <c r="BI327" s="283"/>
      <c r="BJ327" s="276"/>
      <c r="BK327" s="283"/>
      <c r="BL327" s="276"/>
      <c r="BM327" s="283"/>
      <c r="BN327" s="276"/>
      <c r="BO327" s="283"/>
      <c r="BP327" s="276"/>
      <c r="BQ327" s="283"/>
      <c r="BR327" s="283"/>
      <c r="BS327" s="276"/>
    </row>
    <row r="328" spans="12:71" ht="12" customHeight="1">
      <c r="L328" s="283"/>
      <c r="M328" s="276"/>
      <c r="N328" s="283"/>
      <c r="O328" s="276"/>
      <c r="P328" s="283"/>
      <c r="Q328" s="276"/>
      <c r="S328" s="283"/>
      <c r="T328" s="276"/>
      <c r="W328" s="283"/>
      <c r="X328" s="276"/>
      <c r="Y328" s="283"/>
      <c r="Z328" s="276"/>
      <c r="AA328" s="283"/>
      <c r="AB328" s="276"/>
      <c r="AC328" s="283"/>
      <c r="AE328" s="283"/>
      <c r="AF328" s="276"/>
      <c r="AI328" s="283"/>
      <c r="AJ328" s="276"/>
      <c r="AK328" s="283"/>
      <c r="AL328" s="276"/>
      <c r="AM328" s="283"/>
      <c r="AN328" s="276"/>
      <c r="AO328" s="283"/>
      <c r="AP328" s="276"/>
      <c r="AQ328" s="283"/>
      <c r="AR328" s="276"/>
      <c r="AT328" s="283"/>
      <c r="AU328" s="276"/>
      <c r="AV328" s="283"/>
      <c r="AW328" s="276"/>
      <c r="AX328" s="283"/>
      <c r="AY328" s="276"/>
      <c r="AZ328" s="283"/>
      <c r="BA328" s="276"/>
      <c r="BB328" s="283"/>
      <c r="BC328" s="276"/>
      <c r="BD328" s="283"/>
      <c r="BE328" s="276"/>
      <c r="BG328" s="283"/>
      <c r="BH328" s="276"/>
      <c r="BI328" s="283"/>
      <c r="BJ328" s="276"/>
      <c r="BK328" s="283"/>
      <c r="BL328" s="276"/>
      <c r="BM328" s="283"/>
      <c r="BN328" s="276"/>
      <c r="BO328" s="283"/>
      <c r="BP328" s="276"/>
      <c r="BQ328" s="283"/>
      <c r="BR328" s="283"/>
      <c r="BS328" s="276"/>
    </row>
    <row r="329" spans="12:71" ht="12" customHeight="1">
      <c r="L329" s="283"/>
      <c r="M329" s="276"/>
      <c r="N329" s="283"/>
      <c r="O329" s="276"/>
      <c r="P329" s="283"/>
      <c r="Q329" s="276"/>
      <c r="S329" s="283"/>
      <c r="T329" s="276"/>
      <c r="W329" s="283"/>
      <c r="X329" s="276"/>
      <c r="Y329" s="283"/>
      <c r="Z329" s="276"/>
      <c r="AA329" s="283"/>
      <c r="AB329" s="276"/>
      <c r="AC329" s="283"/>
      <c r="AE329" s="283"/>
      <c r="AF329" s="276"/>
      <c r="AI329" s="283"/>
      <c r="AJ329" s="276"/>
      <c r="AK329" s="283"/>
      <c r="AL329" s="276"/>
      <c r="AM329" s="283"/>
      <c r="AN329" s="276"/>
      <c r="AO329" s="283"/>
      <c r="AP329" s="276"/>
      <c r="AQ329" s="283"/>
      <c r="AR329" s="276"/>
      <c r="AT329" s="283"/>
      <c r="AU329" s="276"/>
      <c r="AV329" s="283"/>
      <c r="AW329" s="276"/>
      <c r="AX329" s="283"/>
      <c r="AY329" s="276"/>
      <c r="AZ329" s="283"/>
      <c r="BA329" s="276"/>
      <c r="BB329" s="283"/>
      <c r="BC329" s="276"/>
      <c r="BD329" s="283"/>
      <c r="BE329" s="276"/>
      <c r="BG329" s="283"/>
      <c r="BH329" s="276"/>
      <c r="BI329" s="283"/>
      <c r="BJ329" s="276"/>
      <c r="BK329" s="283"/>
      <c r="BL329" s="276"/>
      <c r="BM329" s="283"/>
      <c r="BN329" s="276"/>
      <c r="BO329" s="283"/>
      <c r="BP329" s="276"/>
      <c r="BQ329" s="283"/>
      <c r="BR329" s="283"/>
      <c r="BS329" s="276"/>
    </row>
    <row r="330" spans="12:71" ht="12" customHeight="1">
      <c r="L330" s="283"/>
      <c r="M330" s="276"/>
      <c r="N330" s="283"/>
      <c r="O330" s="276"/>
      <c r="P330" s="283"/>
      <c r="Q330" s="276"/>
      <c r="S330" s="283"/>
      <c r="T330" s="276"/>
      <c r="W330" s="283"/>
      <c r="X330" s="276"/>
      <c r="Y330" s="283"/>
      <c r="Z330" s="276"/>
      <c r="AA330" s="283"/>
      <c r="AB330" s="276"/>
      <c r="AC330" s="283"/>
      <c r="AE330" s="283"/>
      <c r="AF330" s="276"/>
      <c r="AI330" s="283"/>
      <c r="AJ330" s="276"/>
      <c r="AK330" s="283"/>
      <c r="AL330" s="276"/>
      <c r="AM330" s="283"/>
      <c r="AN330" s="276"/>
      <c r="AO330" s="283"/>
      <c r="AP330" s="276"/>
      <c r="AQ330" s="283"/>
      <c r="AR330" s="276"/>
      <c r="AT330" s="283"/>
      <c r="AU330" s="276"/>
      <c r="AV330" s="283"/>
      <c r="AW330" s="276"/>
      <c r="AX330" s="283"/>
      <c r="AY330" s="276"/>
      <c r="AZ330" s="283"/>
      <c r="BA330" s="276"/>
      <c r="BB330" s="283"/>
      <c r="BC330" s="276"/>
      <c r="BD330" s="283"/>
      <c r="BE330" s="276"/>
      <c r="BG330" s="283"/>
      <c r="BH330" s="276"/>
      <c r="BI330" s="283"/>
      <c r="BJ330" s="276"/>
      <c r="BK330" s="283"/>
      <c r="BL330" s="276"/>
      <c r="BM330" s="283"/>
      <c r="BN330" s="276"/>
      <c r="BO330" s="283"/>
      <c r="BP330" s="276"/>
      <c r="BQ330" s="283"/>
      <c r="BR330" s="283"/>
      <c r="BS330" s="276"/>
    </row>
    <row r="331" spans="12:71" ht="12" customHeight="1">
      <c r="L331" s="283"/>
      <c r="M331" s="276"/>
      <c r="N331" s="283"/>
      <c r="O331" s="276"/>
      <c r="P331" s="283"/>
      <c r="Q331" s="276"/>
      <c r="S331" s="283"/>
      <c r="T331" s="276"/>
      <c r="W331" s="283"/>
      <c r="X331" s="276"/>
      <c r="Y331" s="283"/>
      <c r="Z331" s="276"/>
      <c r="AA331" s="283"/>
      <c r="AB331" s="276"/>
      <c r="AC331" s="283"/>
      <c r="AE331" s="283"/>
      <c r="AF331" s="276"/>
      <c r="AI331" s="283"/>
      <c r="AJ331" s="276"/>
      <c r="AK331" s="283"/>
      <c r="AL331" s="276"/>
      <c r="AM331" s="283"/>
      <c r="AN331" s="276"/>
      <c r="AO331" s="283"/>
      <c r="AP331" s="276"/>
      <c r="AQ331" s="283"/>
      <c r="AR331" s="276"/>
      <c r="AT331" s="283"/>
      <c r="AU331" s="276"/>
      <c r="AV331" s="283"/>
      <c r="AW331" s="276"/>
      <c r="AX331" s="283"/>
      <c r="AY331" s="276"/>
      <c r="AZ331" s="283"/>
      <c r="BA331" s="276"/>
      <c r="BB331" s="283"/>
      <c r="BC331" s="276"/>
      <c r="BD331" s="283"/>
      <c r="BE331" s="276"/>
      <c r="BG331" s="283"/>
      <c r="BH331" s="276"/>
      <c r="BI331" s="283"/>
      <c r="BJ331" s="276"/>
      <c r="BK331" s="283"/>
      <c r="BL331" s="276"/>
      <c r="BM331" s="283"/>
      <c r="BN331" s="276"/>
      <c r="BO331" s="283"/>
      <c r="BP331" s="276"/>
      <c r="BQ331" s="283"/>
      <c r="BR331" s="283"/>
      <c r="BS331" s="276"/>
    </row>
    <row r="332" spans="12:71" ht="12" customHeight="1">
      <c r="L332" s="283"/>
      <c r="M332" s="276"/>
      <c r="N332" s="283"/>
      <c r="O332" s="276"/>
      <c r="P332" s="283"/>
      <c r="Q332" s="276"/>
      <c r="S332" s="283"/>
      <c r="T332" s="276"/>
      <c r="W332" s="283"/>
      <c r="X332" s="276"/>
      <c r="Y332" s="283"/>
      <c r="Z332" s="276"/>
      <c r="AA332" s="283"/>
      <c r="AB332" s="276"/>
      <c r="AC332" s="283"/>
      <c r="AE332" s="283"/>
      <c r="AF332" s="276"/>
      <c r="AI332" s="283"/>
      <c r="AJ332" s="276"/>
      <c r="AK332" s="283"/>
      <c r="AL332" s="276"/>
      <c r="AM332" s="283"/>
      <c r="AN332" s="276"/>
      <c r="AO332" s="283"/>
      <c r="AP332" s="276"/>
      <c r="AQ332" s="283"/>
      <c r="AR332" s="276"/>
      <c r="AT332" s="283"/>
      <c r="AU332" s="276"/>
      <c r="AV332" s="283"/>
      <c r="AW332" s="276"/>
      <c r="AX332" s="283"/>
      <c r="AY332" s="276"/>
      <c r="AZ332" s="283"/>
      <c r="BA332" s="276"/>
      <c r="BB332" s="283"/>
      <c r="BC332" s="276"/>
      <c r="BD332" s="283"/>
      <c r="BE332" s="276"/>
      <c r="BG332" s="283"/>
      <c r="BH332" s="276"/>
      <c r="BI332" s="283"/>
      <c r="BJ332" s="276"/>
      <c r="BK332" s="283"/>
      <c r="BL332" s="276"/>
      <c r="BM332" s="283"/>
      <c r="BN332" s="276"/>
      <c r="BO332" s="283"/>
      <c r="BP332" s="276"/>
      <c r="BQ332" s="283"/>
      <c r="BR332" s="283"/>
      <c r="BS332" s="276"/>
    </row>
    <row r="333" spans="12:71" ht="12" customHeight="1">
      <c r="L333" s="283"/>
      <c r="M333" s="276"/>
      <c r="N333" s="283"/>
      <c r="O333" s="276"/>
      <c r="P333" s="283"/>
      <c r="Q333" s="276"/>
      <c r="S333" s="283"/>
      <c r="T333" s="276"/>
      <c r="W333" s="283"/>
      <c r="X333" s="276"/>
      <c r="Y333" s="283"/>
      <c r="Z333" s="276"/>
      <c r="AA333" s="283"/>
      <c r="AB333" s="276"/>
      <c r="AC333" s="283"/>
      <c r="AE333" s="283"/>
      <c r="AF333" s="276"/>
      <c r="AI333" s="283"/>
      <c r="AJ333" s="276"/>
      <c r="AK333" s="283"/>
      <c r="AL333" s="276"/>
      <c r="AM333" s="283"/>
      <c r="AN333" s="276"/>
      <c r="AO333" s="283"/>
      <c r="AP333" s="276"/>
      <c r="AQ333" s="283"/>
      <c r="AR333" s="276"/>
      <c r="AT333" s="283"/>
      <c r="AU333" s="276"/>
      <c r="AV333" s="283"/>
      <c r="AW333" s="276"/>
      <c r="AX333" s="283"/>
      <c r="AY333" s="276"/>
      <c r="AZ333" s="283"/>
      <c r="BA333" s="276"/>
      <c r="BB333" s="283"/>
      <c r="BC333" s="276"/>
      <c r="BD333" s="283"/>
      <c r="BE333" s="276"/>
      <c r="BG333" s="283"/>
      <c r="BH333" s="276"/>
      <c r="BI333" s="283"/>
      <c r="BJ333" s="276"/>
      <c r="BK333" s="283"/>
      <c r="BL333" s="276"/>
      <c r="BM333" s="283"/>
      <c r="BN333" s="276"/>
      <c r="BO333" s="283"/>
      <c r="BP333" s="276"/>
      <c r="BQ333" s="283"/>
      <c r="BR333" s="283"/>
      <c r="BS333" s="276"/>
    </row>
    <row r="334" spans="12:71" ht="12" customHeight="1">
      <c r="L334" s="283"/>
      <c r="M334" s="276"/>
      <c r="N334" s="283"/>
      <c r="O334" s="276"/>
      <c r="P334" s="283"/>
      <c r="Q334" s="276"/>
      <c r="S334" s="283"/>
      <c r="T334" s="276"/>
      <c r="W334" s="283"/>
      <c r="X334" s="276"/>
      <c r="Y334" s="283"/>
      <c r="Z334" s="276"/>
      <c r="AA334" s="283"/>
      <c r="AB334" s="276"/>
      <c r="AC334" s="283"/>
      <c r="AE334" s="283"/>
      <c r="AF334" s="276"/>
      <c r="AI334" s="283"/>
      <c r="AJ334" s="276"/>
      <c r="AK334" s="283"/>
      <c r="AL334" s="276"/>
      <c r="AM334" s="283"/>
      <c r="AN334" s="276"/>
      <c r="AO334" s="283"/>
      <c r="AP334" s="276"/>
      <c r="AQ334" s="283"/>
      <c r="AR334" s="276"/>
      <c r="AT334" s="283"/>
      <c r="AU334" s="276"/>
      <c r="AV334" s="283"/>
      <c r="AW334" s="276"/>
      <c r="AX334" s="283"/>
      <c r="AY334" s="276"/>
      <c r="AZ334" s="283"/>
      <c r="BA334" s="276"/>
      <c r="BB334" s="283"/>
      <c r="BC334" s="276"/>
      <c r="BD334" s="283"/>
      <c r="BE334" s="276"/>
      <c r="BG334" s="283"/>
      <c r="BH334" s="276"/>
      <c r="BI334" s="283"/>
      <c r="BJ334" s="276"/>
      <c r="BK334" s="283"/>
      <c r="BL334" s="276"/>
      <c r="BM334" s="283"/>
      <c r="BN334" s="276"/>
      <c r="BO334" s="283"/>
      <c r="BP334" s="276"/>
      <c r="BQ334" s="283"/>
      <c r="BR334" s="283"/>
      <c r="BS334" s="276"/>
    </row>
    <row r="335" spans="12:71" ht="12" customHeight="1">
      <c r="L335" s="283"/>
      <c r="M335" s="276"/>
      <c r="N335" s="283"/>
      <c r="O335" s="276"/>
      <c r="P335" s="283"/>
      <c r="Q335" s="276"/>
      <c r="S335" s="283"/>
      <c r="T335" s="276"/>
      <c r="W335" s="283"/>
      <c r="X335" s="276"/>
      <c r="Y335" s="283"/>
      <c r="Z335" s="276"/>
      <c r="AA335" s="283"/>
      <c r="AB335" s="276"/>
      <c r="AC335" s="283"/>
      <c r="AE335" s="283"/>
      <c r="AF335" s="276"/>
      <c r="AI335" s="283"/>
      <c r="AJ335" s="276"/>
      <c r="AK335" s="283"/>
      <c r="AL335" s="276"/>
      <c r="AM335" s="283"/>
      <c r="AN335" s="276"/>
      <c r="AO335" s="283"/>
      <c r="AP335" s="276"/>
      <c r="AQ335" s="283"/>
      <c r="AR335" s="276"/>
      <c r="AT335" s="283"/>
      <c r="AU335" s="276"/>
      <c r="AV335" s="283"/>
      <c r="AW335" s="276"/>
      <c r="AX335" s="283"/>
      <c r="AY335" s="276"/>
      <c r="AZ335" s="283"/>
      <c r="BA335" s="276"/>
      <c r="BB335" s="283"/>
      <c r="BC335" s="276"/>
      <c r="BD335" s="283"/>
      <c r="BE335" s="276"/>
      <c r="BG335" s="283"/>
      <c r="BH335" s="276"/>
      <c r="BI335" s="283"/>
      <c r="BJ335" s="276"/>
      <c r="BK335" s="283"/>
      <c r="BL335" s="276"/>
      <c r="BM335" s="283"/>
      <c r="BN335" s="276"/>
      <c r="BO335" s="283"/>
      <c r="BP335" s="276"/>
      <c r="BQ335" s="283"/>
      <c r="BR335" s="283"/>
      <c r="BS335" s="276"/>
    </row>
    <row r="336" spans="12:71" ht="12" customHeight="1">
      <c r="L336" s="283"/>
      <c r="M336" s="276"/>
      <c r="N336" s="283"/>
      <c r="O336" s="276"/>
      <c r="P336" s="283"/>
      <c r="Q336" s="276"/>
      <c r="S336" s="283"/>
      <c r="T336" s="276"/>
      <c r="W336" s="283"/>
      <c r="X336" s="276"/>
      <c r="Y336" s="283"/>
      <c r="Z336" s="276"/>
      <c r="AA336" s="283"/>
      <c r="AB336" s="276"/>
      <c r="AC336" s="283"/>
      <c r="AE336" s="283"/>
      <c r="AF336" s="276"/>
      <c r="AI336" s="283"/>
      <c r="AJ336" s="276"/>
      <c r="AK336" s="283"/>
      <c r="AL336" s="276"/>
      <c r="AM336" s="283"/>
      <c r="AN336" s="276"/>
      <c r="AO336" s="283"/>
      <c r="AP336" s="276"/>
      <c r="AQ336" s="283"/>
      <c r="AR336" s="276"/>
      <c r="AT336" s="283"/>
      <c r="AU336" s="276"/>
      <c r="AV336" s="283"/>
      <c r="AW336" s="276"/>
      <c r="AX336" s="283"/>
      <c r="AY336" s="276"/>
      <c r="AZ336" s="283"/>
      <c r="BA336" s="276"/>
      <c r="BB336" s="283"/>
      <c r="BC336" s="276"/>
      <c r="BD336" s="283"/>
      <c r="BE336" s="276"/>
      <c r="BG336" s="283"/>
      <c r="BH336" s="276"/>
      <c r="BI336" s="283"/>
      <c r="BJ336" s="276"/>
      <c r="BK336" s="283"/>
      <c r="BL336" s="276"/>
      <c r="BM336" s="283"/>
      <c r="BN336" s="276"/>
      <c r="BO336" s="283"/>
      <c r="BP336" s="276"/>
      <c r="BQ336" s="283"/>
      <c r="BR336" s="283"/>
      <c r="BS336" s="276"/>
    </row>
    <row r="337" spans="12:71" ht="12" customHeight="1">
      <c r="L337" s="283"/>
      <c r="M337" s="276"/>
      <c r="N337" s="283"/>
      <c r="O337" s="276"/>
      <c r="P337" s="283"/>
      <c r="Q337" s="276"/>
      <c r="S337" s="283"/>
      <c r="T337" s="276"/>
      <c r="W337" s="283"/>
      <c r="X337" s="276"/>
      <c r="Y337" s="283"/>
      <c r="Z337" s="276"/>
      <c r="AA337" s="283"/>
      <c r="AB337" s="276"/>
      <c r="AC337" s="283"/>
      <c r="AE337" s="283"/>
      <c r="AF337" s="276"/>
      <c r="AI337" s="283"/>
      <c r="AJ337" s="276"/>
      <c r="AK337" s="283"/>
      <c r="AL337" s="276"/>
      <c r="AM337" s="283"/>
      <c r="AN337" s="276"/>
      <c r="AO337" s="283"/>
      <c r="AP337" s="276"/>
      <c r="AQ337" s="283"/>
      <c r="AR337" s="276"/>
      <c r="AT337" s="283"/>
      <c r="AU337" s="276"/>
      <c r="AV337" s="283"/>
      <c r="AW337" s="276"/>
      <c r="AX337" s="283"/>
      <c r="AY337" s="276"/>
      <c r="AZ337" s="283"/>
      <c r="BA337" s="276"/>
      <c r="BB337" s="283"/>
      <c r="BC337" s="276"/>
      <c r="BD337" s="283"/>
      <c r="BE337" s="276"/>
      <c r="BG337" s="283"/>
      <c r="BH337" s="276"/>
      <c r="BI337" s="283"/>
      <c r="BJ337" s="276"/>
      <c r="BK337" s="283"/>
      <c r="BL337" s="276"/>
      <c r="BM337" s="283"/>
      <c r="BN337" s="276"/>
      <c r="BO337" s="283"/>
      <c r="BP337" s="276"/>
      <c r="BQ337" s="283"/>
      <c r="BR337" s="283"/>
      <c r="BS337" s="276"/>
    </row>
    <row r="338" spans="12:71" ht="12" customHeight="1">
      <c r="L338" s="283"/>
      <c r="M338" s="276"/>
      <c r="N338" s="283"/>
      <c r="O338" s="276"/>
      <c r="P338" s="283"/>
      <c r="Q338" s="276"/>
      <c r="S338" s="283"/>
      <c r="T338" s="276"/>
      <c r="W338" s="283"/>
      <c r="X338" s="276"/>
      <c r="Y338" s="283"/>
      <c r="Z338" s="276"/>
      <c r="AA338" s="283"/>
      <c r="AB338" s="276"/>
      <c r="AC338" s="283"/>
      <c r="AE338" s="283"/>
      <c r="AF338" s="276"/>
      <c r="AI338" s="283"/>
      <c r="AJ338" s="276"/>
      <c r="AK338" s="283"/>
      <c r="AL338" s="276"/>
      <c r="AM338" s="283"/>
      <c r="AN338" s="276"/>
      <c r="AO338" s="283"/>
      <c r="AP338" s="276"/>
      <c r="AQ338" s="283"/>
      <c r="AR338" s="276"/>
      <c r="AT338" s="283"/>
      <c r="AU338" s="276"/>
      <c r="AV338" s="283"/>
      <c r="AW338" s="276"/>
      <c r="AX338" s="283"/>
      <c r="AY338" s="276"/>
      <c r="AZ338" s="283"/>
      <c r="BA338" s="276"/>
      <c r="BB338" s="283"/>
      <c r="BC338" s="276"/>
      <c r="BD338" s="283"/>
      <c r="BE338" s="276"/>
      <c r="BG338" s="283"/>
      <c r="BH338" s="276"/>
      <c r="BI338" s="283"/>
      <c r="BJ338" s="276"/>
      <c r="BK338" s="283"/>
      <c r="BL338" s="276"/>
      <c r="BM338" s="283"/>
      <c r="BN338" s="276"/>
      <c r="BO338" s="283"/>
      <c r="BP338" s="276"/>
      <c r="BQ338" s="283"/>
      <c r="BR338" s="283"/>
      <c r="BS338" s="276"/>
    </row>
    <row r="339" spans="12:71" ht="12" customHeight="1">
      <c r="L339" s="283"/>
      <c r="M339" s="276"/>
      <c r="N339" s="283"/>
      <c r="O339" s="276"/>
      <c r="P339" s="283"/>
      <c r="Q339" s="276"/>
      <c r="S339" s="283"/>
      <c r="T339" s="276"/>
      <c r="W339" s="283"/>
      <c r="X339" s="276"/>
      <c r="Y339" s="283"/>
      <c r="Z339" s="276"/>
      <c r="AA339" s="283"/>
      <c r="AB339" s="276"/>
      <c r="AC339" s="283"/>
      <c r="AE339" s="283"/>
      <c r="AF339" s="276"/>
      <c r="AI339" s="283"/>
      <c r="AJ339" s="276"/>
      <c r="AK339" s="283"/>
      <c r="AL339" s="276"/>
      <c r="AM339" s="283"/>
      <c r="AN339" s="276"/>
      <c r="AO339" s="283"/>
      <c r="AP339" s="276"/>
      <c r="AQ339" s="283"/>
      <c r="AR339" s="276"/>
      <c r="AT339" s="283"/>
      <c r="AU339" s="276"/>
      <c r="AV339" s="283"/>
      <c r="AW339" s="276"/>
      <c r="AX339" s="283"/>
      <c r="AY339" s="276"/>
      <c r="AZ339" s="283"/>
      <c r="BA339" s="276"/>
      <c r="BB339" s="283"/>
      <c r="BC339" s="276"/>
      <c r="BD339" s="283"/>
      <c r="BE339" s="276"/>
      <c r="BG339" s="283"/>
      <c r="BH339" s="276"/>
      <c r="BI339" s="283"/>
      <c r="BJ339" s="276"/>
      <c r="BK339" s="283"/>
      <c r="BL339" s="276"/>
      <c r="BM339" s="283"/>
      <c r="BN339" s="276"/>
      <c r="BO339" s="283"/>
      <c r="BP339" s="276"/>
      <c r="BQ339" s="283"/>
      <c r="BR339" s="283"/>
      <c r="BS339" s="276"/>
    </row>
    <row r="340" spans="12:71" ht="12" customHeight="1">
      <c r="L340" s="283"/>
      <c r="M340" s="276"/>
      <c r="N340" s="283"/>
      <c r="O340" s="276"/>
      <c r="P340" s="283"/>
      <c r="Q340" s="276"/>
      <c r="S340" s="283"/>
      <c r="T340" s="276"/>
      <c r="W340" s="283"/>
      <c r="X340" s="276"/>
      <c r="Y340" s="283"/>
      <c r="Z340" s="276"/>
      <c r="AA340" s="283"/>
      <c r="AB340" s="276"/>
      <c r="AC340" s="283"/>
      <c r="AE340" s="283"/>
      <c r="AF340" s="276"/>
      <c r="AI340" s="283"/>
      <c r="AJ340" s="276"/>
      <c r="AK340" s="283"/>
      <c r="AL340" s="276"/>
      <c r="AM340" s="283"/>
      <c r="AN340" s="276"/>
      <c r="AO340" s="283"/>
      <c r="AP340" s="276"/>
      <c r="AQ340" s="283"/>
      <c r="AR340" s="276"/>
      <c r="AT340" s="283"/>
      <c r="AU340" s="276"/>
      <c r="AV340" s="283"/>
      <c r="AW340" s="276"/>
      <c r="AX340" s="283"/>
      <c r="AY340" s="276"/>
      <c r="AZ340" s="283"/>
      <c r="BA340" s="276"/>
      <c r="BB340" s="283"/>
      <c r="BC340" s="276"/>
      <c r="BD340" s="283"/>
      <c r="BE340" s="276"/>
      <c r="BG340" s="283"/>
      <c r="BH340" s="276"/>
      <c r="BI340" s="283"/>
      <c r="BJ340" s="276"/>
      <c r="BK340" s="283"/>
      <c r="BL340" s="276"/>
      <c r="BM340" s="283"/>
      <c r="BN340" s="276"/>
      <c r="BO340" s="283"/>
      <c r="BP340" s="276"/>
      <c r="BQ340" s="283"/>
      <c r="BR340" s="283"/>
      <c r="BS340" s="276"/>
    </row>
    <row r="341" spans="12:71" ht="12" customHeight="1">
      <c r="L341" s="283"/>
      <c r="M341" s="276"/>
      <c r="N341" s="283"/>
      <c r="O341" s="276"/>
      <c r="P341" s="283"/>
      <c r="Q341" s="276"/>
      <c r="S341" s="283"/>
      <c r="T341" s="276"/>
      <c r="W341" s="283"/>
      <c r="X341" s="276"/>
      <c r="Y341" s="283"/>
      <c r="Z341" s="276"/>
      <c r="AA341" s="283"/>
      <c r="AB341" s="276"/>
      <c r="AC341" s="283"/>
      <c r="AE341" s="283"/>
      <c r="AF341" s="276"/>
      <c r="AI341" s="283"/>
      <c r="AJ341" s="276"/>
      <c r="AK341" s="283"/>
      <c r="AL341" s="276"/>
      <c r="AM341" s="283"/>
      <c r="AN341" s="276"/>
      <c r="AO341" s="283"/>
      <c r="AP341" s="276"/>
      <c r="AQ341" s="283"/>
      <c r="AR341" s="276"/>
      <c r="AT341" s="283"/>
      <c r="AU341" s="276"/>
      <c r="AV341" s="283"/>
      <c r="AW341" s="276"/>
      <c r="AX341" s="283"/>
      <c r="AY341" s="276"/>
      <c r="AZ341" s="283"/>
      <c r="BA341" s="276"/>
      <c r="BB341" s="283"/>
      <c r="BC341" s="276"/>
      <c r="BD341" s="283"/>
      <c r="BE341" s="276"/>
      <c r="BG341" s="283"/>
      <c r="BH341" s="276"/>
      <c r="BI341" s="283"/>
      <c r="BJ341" s="276"/>
      <c r="BK341" s="283"/>
      <c r="BL341" s="276"/>
      <c r="BM341" s="283"/>
      <c r="BN341" s="276"/>
      <c r="BO341" s="283"/>
      <c r="BP341" s="276"/>
      <c r="BQ341" s="283"/>
      <c r="BR341" s="283"/>
      <c r="BS341" s="276"/>
    </row>
    <row r="342" spans="12:71" ht="12" customHeight="1">
      <c r="L342" s="283"/>
      <c r="M342" s="276"/>
      <c r="N342" s="283"/>
      <c r="O342" s="276"/>
      <c r="P342" s="283"/>
      <c r="Q342" s="276"/>
      <c r="S342" s="283"/>
      <c r="T342" s="276"/>
      <c r="W342" s="283"/>
      <c r="X342" s="276"/>
      <c r="Y342" s="283"/>
      <c r="Z342" s="276"/>
      <c r="AA342" s="283"/>
      <c r="AB342" s="276"/>
      <c r="AC342" s="283"/>
      <c r="AE342" s="283"/>
      <c r="AF342" s="276"/>
      <c r="AI342" s="283"/>
      <c r="AJ342" s="276"/>
      <c r="AK342" s="283"/>
      <c r="AL342" s="276"/>
      <c r="AM342" s="283"/>
      <c r="AN342" s="276"/>
      <c r="AO342" s="283"/>
      <c r="AP342" s="276"/>
      <c r="AQ342" s="283"/>
      <c r="AR342" s="276"/>
      <c r="AT342" s="283"/>
      <c r="AU342" s="276"/>
      <c r="AV342" s="283"/>
      <c r="AW342" s="276"/>
      <c r="AX342" s="283"/>
      <c r="AY342" s="276"/>
      <c r="AZ342" s="283"/>
      <c r="BA342" s="276"/>
      <c r="BB342" s="283"/>
      <c r="BC342" s="276"/>
      <c r="BD342" s="283"/>
      <c r="BE342" s="276"/>
      <c r="BG342" s="283"/>
      <c r="BH342" s="276"/>
      <c r="BI342" s="283"/>
      <c r="BJ342" s="276"/>
      <c r="BK342" s="283"/>
      <c r="BL342" s="276"/>
      <c r="BM342" s="283"/>
      <c r="BN342" s="276"/>
      <c r="BO342" s="283"/>
      <c r="BP342" s="276"/>
      <c r="BQ342" s="283"/>
      <c r="BR342" s="283"/>
      <c r="BS342" s="276"/>
    </row>
    <row r="343" spans="12:71" ht="12" customHeight="1">
      <c r="L343" s="283"/>
      <c r="M343" s="276"/>
      <c r="N343" s="283"/>
      <c r="O343" s="276"/>
      <c r="P343" s="283"/>
      <c r="Q343" s="276"/>
      <c r="S343" s="283"/>
      <c r="T343" s="276"/>
      <c r="W343" s="283"/>
      <c r="X343" s="276"/>
      <c r="Y343" s="283"/>
      <c r="Z343" s="276"/>
      <c r="AA343" s="283"/>
      <c r="AB343" s="276"/>
      <c r="AC343" s="283"/>
      <c r="AE343" s="283"/>
      <c r="AF343" s="276"/>
      <c r="AI343" s="283"/>
      <c r="AJ343" s="276"/>
      <c r="AK343" s="283"/>
      <c r="AL343" s="276"/>
      <c r="AM343" s="283"/>
      <c r="AN343" s="276"/>
      <c r="AO343" s="283"/>
      <c r="AP343" s="276"/>
      <c r="AQ343" s="283"/>
      <c r="AR343" s="276"/>
      <c r="AT343" s="283"/>
      <c r="AU343" s="276"/>
      <c r="AV343" s="283"/>
      <c r="AW343" s="276"/>
      <c r="AX343" s="283"/>
      <c r="AY343" s="276"/>
      <c r="AZ343" s="283"/>
      <c r="BA343" s="276"/>
      <c r="BB343" s="283"/>
      <c r="BC343" s="276"/>
      <c r="BD343" s="283"/>
      <c r="BE343" s="276"/>
      <c r="BG343" s="283"/>
      <c r="BH343" s="276"/>
      <c r="BI343" s="283"/>
      <c r="BJ343" s="276"/>
      <c r="BK343" s="283"/>
      <c r="BL343" s="276"/>
      <c r="BM343" s="283"/>
      <c r="BN343" s="276"/>
      <c r="BO343" s="283"/>
      <c r="BP343" s="276"/>
      <c r="BQ343" s="283"/>
      <c r="BR343" s="283"/>
      <c r="BS343" s="276"/>
    </row>
    <row r="344" spans="12:71" ht="12" customHeight="1">
      <c r="L344" s="283"/>
      <c r="M344" s="276"/>
      <c r="N344" s="283"/>
      <c r="O344" s="276"/>
      <c r="P344" s="283"/>
      <c r="Q344" s="276"/>
      <c r="S344" s="283"/>
      <c r="T344" s="276"/>
      <c r="W344" s="283"/>
      <c r="X344" s="276"/>
      <c r="Y344" s="283"/>
      <c r="Z344" s="276"/>
      <c r="AA344" s="283"/>
      <c r="AB344" s="276"/>
      <c r="AC344" s="283"/>
      <c r="AE344" s="283"/>
      <c r="AF344" s="276"/>
      <c r="AI344" s="283"/>
      <c r="AJ344" s="276"/>
      <c r="AK344" s="283"/>
      <c r="AL344" s="276"/>
      <c r="AM344" s="283"/>
      <c r="AN344" s="276"/>
      <c r="AO344" s="283"/>
      <c r="AP344" s="276"/>
      <c r="AQ344" s="283"/>
      <c r="AR344" s="276"/>
      <c r="AT344" s="283"/>
      <c r="AU344" s="276"/>
      <c r="AV344" s="283"/>
      <c r="AW344" s="276"/>
      <c r="AX344" s="283"/>
      <c r="AY344" s="276"/>
      <c r="AZ344" s="283"/>
      <c r="BA344" s="276"/>
      <c r="BB344" s="283"/>
      <c r="BC344" s="276"/>
      <c r="BD344" s="283"/>
      <c r="BE344" s="276"/>
      <c r="BG344" s="283"/>
      <c r="BH344" s="276"/>
      <c r="BI344" s="283"/>
      <c r="BJ344" s="276"/>
      <c r="BK344" s="283"/>
      <c r="BL344" s="276"/>
      <c r="BM344" s="283"/>
      <c r="BN344" s="276"/>
      <c r="BO344" s="283"/>
      <c r="BP344" s="276"/>
      <c r="BQ344" s="283"/>
      <c r="BR344" s="283"/>
      <c r="BS344" s="276"/>
    </row>
    <row r="345" spans="12:71" ht="12" customHeight="1">
      <c r="L345" s="283"/>
      <c r="M345" s="276"/>
      <c r="N345" s="283"/>
      <c r="O345" s="276"/>
      <c r="P345" s="283"/>
      <c r="Q345" s="276"/>
      <c r="S345" s="283"/>
      <c r="T345" s="276"/>
      <c r="W345" s="283"/>
      <c r="X345" s="276"/>
      <c r="Y345" s="283"/>
      <c r="Z345" s="276"/>
      <c r="AA345" s="283"/>
      <c r="AB345" s="276"/>
      <c r="AC345" s="283"/>
      <c r="AE345" s="283"/>
      <c r="AF345" s="276"/>
      <c r="AI345" s="283"/>
      <c r="AJ345" s="276"/>
      <c r="AK345" s="283"/>
      <c r="AL345" s="276"/>
      <c r="AM345" s="283"/>
      <c r="AN345" s="276"/>
      <c r="AO345" s="283"/>
      <c r="AP345" s="276"/>
      <c r="AQ345" s="283"/>
      <c r="AR345" s="276"/>
      <c r="AT345" s="283"/>
      <c r="AU345" s="276"/>
      <c r="AV345" s="283"/>
      <c r="AW345" s="276"/>
      <c r="AX345" s="283"/>
      <c r="AY345" s="276"/>
      <c r="AZ345" s="283"/>
      <c r="BA345" s="276"/>
      <c r="BB345" s="283"/>
      <c r="BC345" s="276"/>
      <c r="BD345" s="283"/>
      <c r="BE345" s="276"/>
      <c r="BG345" s="283"/>
      <c r="BH345" s="276"/>
      <c r="BI345" s="283"/>
      <c r="BJ345" s="276"/>
      <c r="BK345" s="283"/>
      <c r="BL345" s="276"/>
      <c r="BM345" s="283"/>
      <c r="BN345" s="276"/>
      <c r="BO345" s="283"/>
      <c r="BP345" s="276"/>
      <c r="BQ345" s="283"/>
      <c r="BR345" s="283"/>
      <c r="BS345" s="276"/>
    </row>
    <row r="346" spans="12:71" ht="12" customHeight="1">
      <c r="L346" s="283"/>
      <c r="M346" s="276"/>
      <c r="N346" s="283"/>
      <c r="O346" s="276"/>
      <c r="P346" s="283"/>
      <c r="Q346" s="276"/>
      <c r="S346" s="283"/>
      <c r="T346" s="276"/>
      <c r="W346" s="283"/>
      <c r="X346" s="276"/>
      <c r="Y346" s="283"/>
      <c r="Z346" s="276"/>
      <c r="AA346" s="283"/>
      <c r="AB346" s="276"/>
      <c r="AC346" s="283"/>
      <c r="AE346" s="283"/>
      <c r="AF346" s="276"/>
      <c r="AI346" s="283"/>
      <c r="AJ346" s="276"/>
      <c r="AK346" s="283"/>
      <c r="AL346" s="276"/>
      <c r="AM346" s="283"/>
      <c r="AN346" s="276"/>
      <c r="AO346" s="283"/>
      <c r="AP346" s="276"/>
      <c r="AQ346" s="283"/>
      <c r="AR346" s="276"/>
      <c r="AT346" s="283"/>
      <c r="AU346" s="276"/>
      <c r="AV346" s="283"/>
      <c r="AW346" s="276"/>
      <c r="AX346" s="283"/>
      <c r="AY346" s="276"/>
      <c r="AZ346" s="283"/>
      <c r="BA346" s="276"/>
      <c r="BB346" s="283"/>
      <c r="BC346" s="276"/>
      <c r="BD346" s="283"/>
      <c r="BE346" s="276"/>
      <c r="BG346" s="283"/>
      <c r="BH346" s="276"/>
      <c r="BI346" s="283"/>
      <c r="BJ346" s="276"/>
      <c r="BK346" s="283"/>
      <c r="BL346" s="276"/>
      <c r="BM346" s="283"/>
      <c r="BN346" s="276"/>
      <c r="BO346" s="283"/>
      <c r="BP346" s="276"/>
      <c r="BQ346" s="283"/>
      <c r="BR346" s="283"/>
      <c r="BS346" s="276"/>
    </row>
    <row r="347" spans="12:71" ht="12" customHeight="1">
      <c r="L347" s="283"/>
      <c r="M347" s="276"/>
      <c r="N347" s="283"/>
      <c r="O347" s="276"/>
      <c r="P347" s="283"/>
      <c r="Q347" s="276"/>
      <c r="S347" s="283"/>
      <c r="T347" s="276"/>
      <c r="W347" s="283"/>
      <c r="X347" s="276"/>
      <c r="Y347" s="283"/>
      <c r="Z347" s="276"/>
      <c r="AA347" s="283"/>
      <c r="AB347" s="276"/>
      <c r="AC347" s="283"/>
      <c r="AE347" s="283"/>
      <c r="AF347" s="276"/>
      <c r="AI347" s="283"/>
      <c r="AJ347" s="276"/>
      <c r="AK347" s="283"/>
      <c r="AL347" s="276"/>
      <c r="AM347" s="283"/>
      <c r="AN347" s="276"/>
      <c r="AO347" s="283"/>
      <c r="AP347" s="276"/>
      <c r="AQ347" s="283"/>
      <c r="AR347" s="276"/>
      <c r="AT347" s="283"/>
      <c r="AU347" s="276"/>
      <c r="AV347" s="283"/>
      <c r="AW347" s="276"/>
      <c r="AX347" s="283"/>
      <c r="AY347" s="276"/>
      <c r="AZ347" s="283"/>
      <c r="BA347" s="276"/>
      <c r="BB347" s="283"/>
      <c r="BC347" s="276"/>
      <c r="BD347" s="283"/>
      <c r="BE347" s="276"/>
      <c r="BG347" s="283"/>
      <c r="BH347" s="276"/>
      <c r="BI347" s="283"/>
      <c r="BJ347" s="276"/>
      <c r="BK347" s="283"/>
      <c r="BL347" s="276"/>
      <c r="BM347" s="283"/>
      <c r="BN347" s="276"/>
      <c r="BO347" s="283"/>
      <c r="BP347" s="276"/>
      <c r="BQ347" s="283"/>
      <c r="BR347" s="283"/>
      <c r="BS347" s="276"/>
    </row>
    <row r="348" spans="12:71" ht="12" customHeight="1">
      <c r="L348" s="283"/>
      <c r="M348" s="276"/>
      <c r="N348" s="283"/>
      <c r="O348" s="276"/>
      <c r="P348" s="283"/>
      <c r="Q348" s="276"/>
      <c r="S348" s="283"/>
      <c r="T348" s="276"/>
      <c r="W348" s="283"/>
      <c r="X348" s="276"/>
      <c r="Y348" s="283"/>
      <c r="Z348" s="276"/>
      <c r="AA348" s="283"/>
      <c r="AB348" s="276"/>
      <c r="AC348" s="283"/>
      <c r="AE348" s="283"/>
      <c r="AF348" s="276"/>
      <c r="AI348" s="283"/>
      <c r="AJ348" s="276"/>
      <c r="AK348" s="283"/>
      <c r="AL348" s="276"/>
      <c r="AM348" s="283"/>
      <c r="AN348" s="276"/>
      <c r="AO348" s="283"/>
      <c r="AP348" s="276"/>
      <c r="AQ348" s="283"/>
      <c r="AR348" s="276"/>
      <c r="AT348" s="283"/>
      <c r="AU348" s="276"/>
      <c r="AV348" s="283"/>
      <c r="AW348" s="276"/>
      <c r="AX348" s="283"/>
      <c r="AY348" s="276"/>
      <c r="AZ348" s="283"/>
      <c r="BA348" s="276"/>
      <c r="BB348" s="283"/>
      <c r="BC348" s="276"/>
      <c r="BD348" s="283"/>
      <c r="BE348" s="276"/>
      <c r="BG348" s="283"/>
      <c r="BH348" s="276"/>
      <c r="BI348" s="283"/>
      <c r="BJ348" s="276"/>
      <c r="BK348" s="283"/>
      <c r="BL348" s="276"/>
      <c r="BM348" s="283"/>
      <c r="BN348" s="276"/>
      <c r="BO348" s="283"/>
      <c r="BP348" s="276"/>
      <c r="BQ348" s="283"/>
      <c r="BR348" s="283"/>
      <c r="BS348" s="276"/>
    </row>
    <row r="349" spans="12:71" ht="12" customHeight="1">
      <c r="L349" s="283"/>
      <c r="M349" s="276"/>
      <c r="N349" s="283"/>
      <c r="O349" s="276"/>
      <c r="P349" s="283"/>
      <c r="Q349" s="276"/>
      <c r="S349" s="283"/>
      <c r="T349" s="276"/>
      <c r="W349" s="283"/>
      <c r="X349" s="276"/>
      <c r="Y349" s="283"/>
      <c r="Z349" s="276"/>
      <c r="AA349" s="283"/>
      <c r="AB349" s="276"/>
      <c r="AC349" s="283"/>
      <c r="AE349" s="283"/>
      <c r="AF349" s="276"/>
      <c r="AI349" s="283"/>
      <c r="AJ349" s="276"/>
      <c r="AK349" s="283"/>
      <c r="AL349" s="276"/>
      <c r="AM349" s="283"/>
      <c r="AN349" s="276"/>
      <c r="AO349" s="283"/>
      <c r="AP349" s="276"/>
      <c r="AQ349" s="283"/>
      <c r="AR349" s="276"/>
      <c r="AT349" s="283"/>
      <c r="AU349" s="276"/>
      <c r="AV349" s="283"/>
      <c r="AW349" s="276"/>
      <c r="AX349" s="283"/>
      <c r="AY349" s="276"/>
      <c r="AZ349" s="283"/>
      <c r="BA349" s="276"/>
      <c r="BB349" s="283"/>
      <c r="BC349" s="276"/>
      <c r="BD349" s="283"/>
      <c r="BE349" s="276"/>
      <c r="BG349" s="283"/>
      <c r="BH349" s="276"/>
      <c r="BI349" s="283"/>
      <c r="BJ349" s="276"/>
      <c r="BK349" s="283"/>
      <c r="BL349" s="276"/>
      <c r="BM349" s="283"/>
      <c r="BN349" s="276"/>
      <c r="BO349" s="283"/>
      <c r="BP349" s="276"/>
      <c r="BQ349" s="283"/>
      <c r="BR349" s="283"/>
      <c r="BS349" s="276"/>
    </row>
    <row r="350" spans="12:71" ht="12" customHeight="1">
      <c r="L350" s="283"/>
      <c r="M350" s="276"/>
      <c r="N350" s="283"/>
      <c r="O350" s="276"/>
      <c r="P350" s="283"/>
      <c r="Q350" s="276"/>
      <c r="S350" s="283"/>
      <c r="T350" s="276"/>
      <c r="W350" s="283"/>
      <c r="X350" s="276"/>
      <c r="Y350" s="283"/>
      <c r="Z350" s="276"/>
      <c r="AA350" s="283"/>
      <c r="AB350" s="276"/>
      <c r="AC350" s="283"/>
      <c r="AE350" s="283"/>
      <c r="AF350" s="276"/>
      <c r="AI350" s="283"/>
      <c r="AJ350" s="276"/>
      <c r="AK350" s="283"/>
      <c r="AL350" s="276"/>
      <c r="AM350" s="283"/>
      <c r="AN350" s="276"/>
      <c r="AO350" s="283"/>
      <c r="AP350" s="276"/>
      <c r="AQ350" s="283"/>
      <c r="AR350" s="276"/>
      <c r="AT350" s="283"/>
      <c r="AU350" s="276"/>
      <c r="AV350" s="283"/>
      <c r="AW350" s="276"/>
      <c r="AX350" s="283"/>
      <c r="AY350" s="276"/>
      <c r="AZ350" s="283"/>
      <c r="BA350" s="276"/>
      <c r="BB350" s="283"/>
      <c r="BC350" s="276"/>
      <c r="BD350" s="283"/>
      <c r="BE350" s="276"/>
      <c r="BG350" s="283"/>
      <c r="BH350" s="276"/>
      <c r="BI350" s="283"/>
      <c r="BJ350" s="276"/>
      <c r="BK350" s="283"/>
      <c r="BL350" s="276"/>
      <c r="BM350" s="283"/>
      <c r="BN350" s="276"/>
      <c r="BO350" s="283"/>
      <c r="BP350" s="276"/>
      <c r="BQ350" s="283"/>
      <c r="BR350" s="283"/>
      <c r="BS350" s="276"/>
    </row>
    <row r="351" spans="12:71" ht="12" customHeight="1">
      <c r="L351" s="283"/>
      <c r="M351" s="276"/>
      <c r="N351" s="283"/>
      <c r="O351" s="276"/>
      <c r="P351" s="283"/>
      <c r="Q351" s="276"/>
      <c r="S351" s="283"/>
      <c r="T351" s="276"/>
      <c r="W351" s="283"/>
      <c r="X351" s="276"/>
      <c r="Y351" s="283"/>
      <c r="Z351" s="276"/>
      <c r="AA351" s="283"/>
      <c r="AB351" s="276"/>
      <c r="AC351" s="283"/>
      <c r="AE351" s="283"/>
      <c r="AF351" s="276"/>
      <c r="AI351" s="283"/>
      <c r="AJ351" s="276"/>
      <c r="AK351" s="283"/>
      <c r="AL351" s="276"/>
      <c r="AM351" s="283"/>
      <c r="AN351" s="276"/>
      <c r="AO351" s="283"/>
      <c r="AP351" s="276"/>
      <c r="AQ351" s="283"/>
      <c r="AR351" s="276"/>
      <c r="AT351" s="283"/>
      <c r="AU351" s="276"/>
      <c r="AV351" s="283"/>
      <c r="AW351" s="276"/>
      <c r="AX351" s="283"/>
      <c r="AY351" s="276"/>
      <c r="AZ351" s="283"/>
      <c r="BA351" s="276"/>
      <c r="BB351" s="283"/>
      <c r="BC351" s="276"/>
      <c r="BD351" s="283"/>
      <c r="BE351" s="276"/>
      <c r="BG351" s="283"/>
      <c r="BH351" s="276"/>
      <c r="BI351" s="283"/>
      <c r="BJ351" s="276"/>
      <c r="BK351" s="283"/>
      <c r="BL351" s="276"/>
      <c r="BM351" s="283"/>
      <c r="BN351" s="276"/>
      <c r="BO351" s="283"/>
      <c r="BP351" s="276"/>
      <c r="BQ351" s="283"/>
      <c r="BR351" s="283"/>
      <c r="BS351" s="276"/>
    </row>
    <row r="352" spans="12:71" ht="12" customHeight="1">
      <c r="L352" s="283"/>
      <c r="M352" s="276"/>
      <c r="N352" s="283"/>
      <c r="O352" s="276"/>
      <c r="P352" s="283"/>
      <c r="Q352" s="276"/>
      <c r="S352" s="283"/>
      <c r="T352" s="276"/>
      <c r="W352" s="283"/>
      <c r="X352" s="276"/>
      <c r="Y352" s="283"/>
      <c r="Z352" s="276"/>
      <c r="AA352" s="283"/>
      <c r="AB352" s="276"/>
      <c r="AC352" s="283"/>
      <c r="AE352" s="283"/>
      <c r="AF352" s="276"/>
      <c r="AI352" s="283"/>
      <c r="AJ352" s="276"/>
      <c r="AK352" s="283"/>
      <c r="AL352" s="276"/>
      <c r="AM352" s="283"/>
      <c r="AN352" s="276"/>
      <c r="AO352" s="283"/>
      <c r="AP352" s="276"/>
      <c r="AQ352" s="283"/>
      <c r="AR352" s="276"/>
      <c r="AT352" s="283"/>
      <c r="AU352" s="276"/>
      <c r="AV352" s="283"/>
      <c r="AW352" s="276"/>
      <c r="AX352" s="283"/>
      <c r="AY352" s="276"/>
      <c r="AZ352" s="283"/>
      <c r="BA352" s="276"/>
      <c r="BB352" s="283"/>
      <c r="BC352" s="276"/>
      <c r="BD352" s="283"/>
      <c r="BE352" s="276"/>
      <c r="BG352" s="283"/>
      <c r="BH352" s="276"/>
      <c r="BI352" s="283"/>
      <c r="BJ352" s="276"/>
      <c r="BK352" s="283"/>
      <c r="BL352" s="276"/>
      <c r="BM352" s="283"/>
      <c r="BN352" s="276"/>
      <c r="BO352" s="283"/>
      <c r="BP352" s="276"/>
      <c r="BQ352" s="283"/>
      <c r="BR352" s="283"/>
      <c r="BS352" s="276"/>
    </row>
    <row r="353" spans="12:71" ht="12" customHeight="1">
      <c r="L353" s="283"/>
      <c r="M353" s="276"/>
      <c r="N353" s="283"/>
      <c r="O353" s="276"/>
      <c r="P353" s="283"/>
      <c r="Q353" s="276"/>
      <c r="S353" s="283"/>
      <c r="T353" s="276"/>
      <c r="W353" s="283"/>
      <c r="X353" s="276"/>
      <c r="Y353" s="283"/>
      <c r="Z353" s="276"/>
      <c r="AA353" s="283"/>
      <c r="AB353" s="276"/>
      <c r="AC353" s="283"/>
      <c r="AE353" s="283"/>
      <c r="AF353" s="276"/>
      <c r="AI353" s="283"/>
      <c r="AJ353" s="276"/>
      <c r="AK353" s="283"/>
      <c r="AL353" s="276"/>
      <c r="AM353" s="283"/>
      <c r="AN353" s="276"/>
      <c r="AO353" s="283"/>
      <c r="AP353" s="276"/>
      <c r="AQ353" s="283"/>
      <c r="AR353" s="276"/>
      <c r="AT353" s="283"/>
      <c r="AU353" s="276"/>
      <c r="AV353" s="283"/>
      <c r="AW353" s="276"/>
      <c r="AX353" s="283"/>
      <c r="AY353" s="276"/>
      <c r="AZ353" s="283"/>
      <c r="BA353" s="276"/>
      <c r="BB353" s="283"/>
      <c r="BC353" s="276"/>
      <c r="BD353" s="283"/>
      <c r="BE353" s="276"/>
      <c r="BG353" s="283"/>
      <c r="BH353" s="276"/>
      <c r="BI353" s="283"/>
      <c r="BJ353" s="276"/>
      <c r="BK353" s="283"/>
      <c r="BL353" s="276"/>
      <c r="BM353" s="283"/>
      <c r="BN353" s="276"/>
      <c r="BO353" s="283"/>
      <c r="BP353" s="276"/>
      <c r="BQ353" s="283"/>
      <c r="BR353" s="283"/>
      <c r="BS353" s="276"/>
    </row>
    <row r="354" spans="12:71" ht="12" customHeight="1">
      <c r="L354" s="283"/>
      <c r="M354" s="276"/>
      <c r="N354" s="283"/>
      <c r="O354" s="276"/>
      <c r="P354" s="283"/>
      <c r="Q354" s="276"/>
      <c r="S354" s="283"/>
      <c r="T354" s="276"/>
      <c r="W354" s="283"/>
      <c r="X354" s="276"/>
      <c r="Y354" s="283"/>
      <c r="Z354" s="276"/>
      <c r="AA354" s="283"/>
      <c r="AB354" s="276"/>
      <c r="AC354" s="283"/>
      <c r="AE354" s="283"/>
      <c r="AF354" s="276"/>
      <c r="AI354" s="283"/>
      <c r="AJ354" s="276"/>
      <c r="AK354" s="283"/>
      <c r="AL354" s="276"/>
      <c r="AM354" s="283"/>
      <c r="AN354" s="276"/>
      <c r="AO354" s="283"/>
      <c r="AP354" s="276"/>
      <c r="AQ354" s="283"/>
      <c r="AR354" s="276"/>
      <c r="AT354" s="283"/>
      <c r="AU354" s="276"/>
      <c r="AV354" s="283"/>
      <c r="AW354" s="276"/>
      <c r="AX354" s="283"/>
      <c r="AY354" s="276"/>
      <c r="AZ354" s="283"/>
      <c r="BA354" s="276"/>
      <c r="BB354" s="283"/>
      <c r="BC354" s="276"/>
      <c r="BD354" s="283"/>
      <c r="BE354" s="276"/>
      <c r="BG354" s="283"/>
      <c r="BH354" s="276"/>
      <c r="BI354" s="283"/>
      <c r="BJ354" s="276"/>
      <c r="BK354" s="283"/>
      <c r="BL354" s="276"/>
      <c r="BM354" s="283"/>
      <c r="BN354" s="276"/>
      <c r="BO354" s="283"/>
      <c r="BP354" s="276"/>
      <c r="BQ354" s="283"/>
      <c r="BR354" s="283"/>
      <c r="BS354" s="276"/>
    </row>
    <row r="355" spans="12:71" ht="12" customHeight="1">
      <c r="L355" s="283"/>
      <c r="M355" s="276"/>
      <c r="N355" s="283"/>
      <c r="O355" s="276"/>
      <c r="P355" s="283"/>
      <c r="Q355" s="276"/>
      <c r="S355" s="283"/>
      <c r="T355" s="276"/>
      <c r="W355" s="283"/>
      <c r="X355" s="276"/>
      <c r="Y355" s="283"/>
      <c r="Z355" s="276"/>
      <c r="AA355" s="283"/>
      <c r="AB355" s="276"/>
      <c r="AC355" s="283"/>
      <c r="AE355" s="283"/>
      <c r="AF355" s="276"/>
      <c r="AI355" s="283"/>
      <c r="AJ355" s="276"/>
      <c r="AK355" s="283"/>
      <c r="AL355" s="276"/>
      <c r="AM355" s="283"/>
      <c r="AN355" s="276"/>
      <c r="AO355" s="283"/>
      <c r="AP355" s="276"/>
      <c r="AQ355" s="283"/>
      <c r="AR355" s="276"/>
      <c r="AT355" s="283"/>
      <c r="AU355" s="276"/>
      <c r="AV355" s="283"/>
      <c r="AW355" s="276"/>
      <c r="AX355" s="283"/>
      <c r="AY355" s="276"/>
      <c r="AZ355" s="283"/>
      <c r="BA355" s="276"/>
      <c r="BB355" s="283"/>
      <c r="BC355" s="276"/>
      <c r="BD355" s="283"/>
      <c r="BE355" s="276"/>
      <c r="BG355" s="283"/>
      <c r="BH355" s="276"/>
      <c r="BI355" s="283"/>
      <c r="BJ355" s="276"/>
      <c r="BK355" s="283"/>
      <c r="BL355" s="276"/>
      <c r="BM355" s="283"/>
      <c r="BN355" s="276"/>
      <c r="BO355" s="283"/>
      <c r="BP355" s="276"/>
      <c r="BQ355" s="283"/>
      <c r="BR355" s="283"/>
      <c r="BS355" s="276"/>
    </row>
    <row r="356" spans="12:71" ht="12" customHeight="1">
      <c r="L356" s="283"/>
      <c r="M356" s="276"/>
      <c r="N356" s="283"/>
      <c r="O356" s="276"/>
      <c r="P356" s="283"/>
      <c r="Q356" s="276"/>
      <c r="S356" s="283"/>
      <c r="T356" s="276"/>
      <c r="W356" s="283"/>
      <c r="X356" s="276"/>
      <c r="Y356" s="283"/>
      <c r="Z356" s="276"/>
      <c r="AA356" s="283"/>
      <c r="AB356" s="276"/>
      <c r="AC356" s="283"/>
      <c r="AE356" s="283"/>
      <c r="AF356" s="276"/>
      <c r="AI356" s="283"/>
      <c r="AJ356" s="276"/>
      <c r="AK356" s="283"/>
      <c r="AL356" s="276"/>
      <c r="AM356" s="283"/>
      <c r="AN356" s="276"/>
      <c r="AO356" s="283"/>
      <c r="AP356" s="276"/>
      <c r="AQ356" s="283"/>
      <c r="AR356" s="276"/>
      <c r="AT356" s="283"/>
      <c r="AU356" s="276"/>
      <c r="AV356" s="283"/>
      <c r="AW356" s="276"/>
      <c r="AX356" s="283"/>
      <c r="AY356" s="276"/>
      <c r="AZ356" s="283"/>
      <c r="BA356" s="276"/>
      <c r="BB356" s="283"/>
      <c r="BC356" s="276"/>
      <c r="BD356" s="283"/>
      <c r="BE356" s="276"/>
      <c r="BG356" s="283"/>
      <c r="BH356" s="276"/>
      <c r="BI356" s="283"/>
      <c r="BJ356" s="276"/>
      <c r="BK356" s="283"/>
      <c r="BL356" s="276"/>
      <c r="BM356" s="283"/>
      <c r="BN356" s="276"/>
      <c r="BO356" s="283"/>
      <c r="BP356" s="276"/>
      <c r="BQ356" s="283"/>
      <c r="BR356" s="283"/>
      <c r="BS356" s="276"/>
    </row>
    <row r="357" spans="12:71" ht="12" customHeight="1">
      <c r="L357" s="283"/>
      <c r="M357" s="276"/>
      <c r="N357" s="283"/>
      <c r="O357" s="276"/>
      <c r="P357" s="283"/>
      <c r="Q357" s="276"/>
      <c r="S357" s="283"/>
      <c r="T357" s="276"/>
      <c r="W357" s="283"/>
      <c r="X357" s="276"/>
      <c r="Y357" s="283"/>
      <c r="Z357" s="276"/>
      <c r="AA357" s="283"/>
      <c r="AB357" s="276"/>
      <c r="AC357" s="283"/>
      <c r="AE357" s="283"/>
      <c r="AF357" s="276"/>
      <c r="AI357" s="283"/>
      <c r="AJ357" s="276"/>
      <c r="AK357" s="283"/>
      <c r="AL357" s="276"/>
      <c r="AM357" s="283"/>
      <c r="AN357" s="276"/>
      <c r="AO357" s="283"/>
      <c r="AP357" s="276"/>
      <c r="AQ357" s="283"/>
      <c r="AR357" s="276"/>
      <c r="AT357" s="283"/>
      <c r="AU357" s="276"/>
      <c r="AV357" s="283"/>
      <c r="AW357" s="276"/>
      <c r="AX357" s="283"/>
      <c r="AY357" s="276"/>
      <c r="AZ357" s="283"/>
      <c r="BA357" s="276"/>
      <c r="BB357" s="283"/>
      <c r="BC357" s="276"/>
      <c r="BD357" s="283"/>
      <c r="BE357" s="276"/>
      <c r="BG357" s="283"/>
      <c r="BH357" s="276"/>
      <c r="BI357" s="283"/>
      <c r="BJ357" s="276"/>
      <c r="BK357" s="283"/>
      <c r="BL357" s="276"/>
      <c r="BM357" s="283"/>
      <c r="BN357" s="276"/>
      <c r="BO357" s="283"/>
      <c r="BP357" s="276"/>
      <c r="BQ357" s="283"/>
      <c r="BR357" s="283"/>
      <c r="BS357" s="276"/>
    </row>
    <row r="358" spans="12:71" ht="12" customHeight="1">
      <c r="L358" s="283"/>
      <c r="M358" s="276"/>
      <c r="N358" s="283"/>
      <c r="O358" s="276"/>
      <c r="P358" s="283"/>
      <c r="Q358" s="276"/>
      <c r="S358" s="283"/>
      <c r="T358" s="276"/>
      <c r="W358" s="283"/>
      <c r="X358" s="276"/>
      <c r="Y358" s="283"/>
      <c r="Z358" s="276"/>
      <c r="AA358" s="283"/>
      <c r="AB358" s="276"/>
      <c r="AC358" s="283"/>
      <c r="AE358" s="283"/>
      <c r="AF358" s="276"/>
      <c r="AI358" s="283"/>
      <c r="AJ358" s="276"/>
      <c r="AK358" s="283"/>
      <c r="AL358" s="276"/>
      <c r="AM358" s="283"/>
      <c r="AN358" s="276"/>
      <c r="AO358" s="283"/>
      <c r="AP358" s="276"/>
      <c r="AQ358" s="283"/>
      <c r="AR358" s="276"/>
      <c r="AT358" s="283"/>
      <c r="AU358" s="276"/>
      <c r="AV358" s="283"/>
      <c r="AW358" s="276"/>
      <c r="AX358" s="283"/>
      <c r="AY358" s="276"/>
      <c r="AZ358" s="283"/>
      <c r="BA358" s="276"/>
      <c r="BB358" s="283"/>
      <c r="BC358" s="276"/>
      <c r="BD358" s="283"/>
      <c r="BE358" s="276"/>
      <c r="BG358" s="283"/>
      <c r="BH358" s="276"/>
      <c r="BI358" s="283"/>
      <c r="BJ358" s="276"/>
      <c r="BK358" s="283"/>
      <c r="BL358" s="276"/>
      <c r="BM358" s="283"/>
      <c r="BN358" s="276"/>
      <c r="BO358" s="283"/>
      <c r="BP358" s="276"/>
      <c r="BQ358" s="283"/>
      <c r="BR358" s="283"/>
      <c r="BS358" s="276"/>
    </row>
    <row r="359" spans="12:71" ht="12" customHeight="1">
      <c r="L359" s="283"/>
      <c r="M359" s="276"/>
      <c r="N359" s="283"/>
      <c r="O359" s="276"/>
      <c r="P359" s="283"/>
      <c r="Q359" s="276"/>
      <c r="S359" s="283"/>
      <c r="T359" s="276"/>
      <c r="W359" s="283"/>
      <c r="X359" s="276"/>
      <c r="Y359" s="283"/>
      <c r="Z359" s="276"/>
      <c r="AA359" s="283"/>
      <c r="AB359" s="276"/>
      <c r="AC359" s="283"/>
      <c r="AE359" s="283"/>
      <c r="AF359" s="276"/>
      <c r="AI359" s="283"/>
      <c r="AJ359" s="276"/>
      <c r="AK359" s="283"/>
      <c r="AL359" s="276"/>
      <c r="AM359" s="283"/>
      <c r="AN359" s="276"/>
      <c r="AO359" s="283"/>
      <c r="AP359" s="276"/>
      <c r="AQ359" s="283"/>
      <c r="AR359" s="276"/>
      <c r="AT359" s="283"/>
      <c r="AU359" s="276"/>
      <c r="AV359" s="283"/>
      <c r="AW359" s="276"/>
      <c r="AX359" s="283"/>
      <c r="AY359" s="276"/>
      <c r="AZ359" s="283"/>
      <c r="BA359" s="276"/>
      <c r="BB359" s="283"/>
      <c r="BC359" s="276"/>
      <c r="BD359" s="283"/>
      <c r="BE359" s="276"/>
      <c r="BG359" s="283"/>
      <c r="BH359" s="276"/>
      <c r="BI359" s="283"/>
      <c r="BJ359" s="276"/>
      <c r="BK359" s="283"/>
      <c r="BL359" s="276"/>
      <c r="BM359" s="283"/>
      <c r="BN359" s="276"/>
      <c r="BO359" s="283"/>
      <c r="BP359" s="276"/>
      <c r="BQ359" s="283"/>
      <c r="BR359" s="283"/>
      <c r="BS359" s="276"/>
    </row>
    <row r="360" spans="12:71" ht="12" customHeight="1">
      <c r="L360" s="283"/>
      <c r="M360" s="276"/>
      <c r="N360" s="283"/>
      <c r="O360" s="276"/>
      <c r="P360" s="283"/>
      <c r="Q360" s="276"/>
      <c r="S360" s="283"/>
      <c r="T360" s="276"/>
      <c r="W360" s="283"/>
      <c r="X360" s="276"/>
      <c r="Y360" s="283"/>
      <c r="Z360" s="276"/>
      <c r="AA360" s="283"/>
      <c r="AB360" s="276"/>
      <c r="AC360" s="283"/>
      <c r="AE360" s="283"/>
      <c r="AF360" s="276"/>
      <c r="AI360" s="283"/>
      <c r="AJ360" s="276"/>
      <c r="AK360" s="283"/>
      <c r="AL360" s="276"/>
      <c r="AM360" s="283"/>
      <c r="AN360" s="276"/>
      <c r="AO360" s="283"/>
      <c r="AP360" s="276"/>
      <c r="AQ360" s="283"/>
      <c r="AR360" s="276"/>
      <c r="AT360" s="283"/>
      <c r="AU360" s="276"/>
      <c r="AV360" s="283"/>
      <c r="AW360" s="276"/>
      <c r="AX360" s="283"/>
      <c r="AY360" s="276"/>
      <c r="AZ360" s="283"/>
      <c r="BA360" s="276"/>
      <c r="BB360" s="283"/>
      <c r="BC360" s="276"/>
      <c r="BD360" s="283"/>
      <c r="BE360" s="276"/>
      <c r="BG360" s="283"/>
      <c r="BH360" s="276"/>
      <c r="BI360" s="283"/>
      <c r="BJ360" s="276"/>
      <c r="BK360" s="283"/>
      <c r="BL360" s="276"/>
      <c r="BM360" s="283"/>
      <c r="BN360" s="276"/>
      <c r="BO360" s="283"/>
      <c r="BP360" s="276"/>
      <c r="BQ360" s="283"/>
      <c r="BR360" s="283"/>
      <c r="BS360" s="276"/>
    </row>
    <row r="361" spans="12:71" ht="12" customHeight="1">
      <c r="L361" s="283"/>
      <c r="M361" s="276"/>
      <c r="N361" s="283"/>
      <c r="O361" s="276"/>
      <c r="P361" s="283"/>
      <c r="Q361" s="276"/>
      <c r="S361" s="283"/>
      <c r="T361" s="276"/>
      <c r="W361" s="283"/>
      <c r="X361" s="276"/>
      <c r="Y361" s="283"/>
      <c r="Z361" s="276"/>
      <c r="AA361" s="283"/>
      <c r="AB361" s="276"/>
      <c r="AC361" s="283"/>
      <c r="AE361" s="283"/>
      <c r="AF361" s="276"/>
      <c r="AI361" s="283"/>
      <c r="AJ361" s="276"/>
      <c r="AK361" s="283"/>
      <c r="AL361" s="276"/>
      <c r="AM361" s="283"/>
      <c r="AN361" s="276"/>
      <c r="AO361" s="283"/>
      <c r="AP361" s="276"/>
      <c r="AQ361" s="283"/>
      <c r="AR361" s="276"/>
      <c r="AT361" s="283"/>
      <c r="AU361" s="276"/>
      <c r="AV361" s="283"/>
      <c r="AW361" s="276"/>
      <c r="AX361" s="283"/>
      <c r="AY361" s="276"/>
      <c r="AZ361" s="283"/>
      <c r="BA361" s="276"/>
      <c r="BB361" s="283"/>
      <c r="BC361" s="276"/>
      <c r="BD361" s="283"/>
      <c r="BE361" s="276"/>
      <c r="BG361" s="283"/>
      <c r="BH361" s="276"/>
      <c r="BI361" s="283"/>
      <c r="BJ361" s="276"/>
      <c r="BK361" s="283"/>
      <c r="BL361" s="276"/>
      <c r="BM361" s="283"/>
      <c r="BN361" s="276"/>
      <c r="BO361" s="283"/>
      <c r="BP361" s="276"/>
      <c r="BQ361" s="283"/>
      <c r="BR361" s="283"/>
      <c r="BS361" s="276"/>
    </row>
    <row r="362" spans="12:71" ht="12" customHeight="1">
      <c r="L362" s="283"/>
      <c r="M362" s="276"/>
      <c r="N362" s="283"/>
      <c r="O362" s="276"/>
      <c r="P362" s="283"/>
      <c r="Q362" s="276"/>
      <c r="S362" s="283"/>
      <c r="T362" s="276"/>
      <c r="W362" s="283"/>
      <c r="X362" s="276"/>
      <c r="Y362" s="283"/>
      <c r="Z362" s="276"/>
      <c r="AA362" s="283"/>
      <c r="AB362" s="276"/>
      <c r="AC362" s="283"/>
      <c r="AE362" s="283"/>
      <c r="AF362" s="276"/>
      <c r="AI362" s="283"/>
      <c r="AJ362" s="276"/>
      <c r="AK362" s="283"/>
      <c r="AL362" s="276"/>
      <c r="AM362" s="283"/>
      <c r="AN362" s="276"/>
      <c r="AO362" s="283"/>
      <c r="AP362" s="276"/>
      <c r="AQ362" s="283"/>
      <c r="AR362" s="276"/>
      <c r="AT362" s="283"/>
      <c r="AU362" s="276"/>
      <c r="AV362" s="283"/>
      <c r="AW362" s="276"/>
      <c r="AX362" s="283"/>
      <c r="AY362" s="276"/>
      <c r="AZ362" s="283"/>
      <c r="BA362" s="276"/>
      <c r="BB362" s="283"/>
      <c r="BC362" s="276"/>
      <c r="BD362" s="283"/>
      <c r="BE362" s="276"/>
      <c r="BG362" s="283"/>
      <c r="BH362" s="276"/>
      <c r="BI362" s="283"/>
      <c r="BJ362" s="276"/>
      <c r="BK362" s="283"/>
      <c r="BL362" s="276"/>
      <c r="BM362" s="283"/>
      <c r="BN362" s="276"/>
      <c r="BO362" s="283"/>
      <c r="BP362" s="276"/>
      <c r="BQ362" s="283"/>
      <c r="BR362" s="283"/>
      <c r="BS362" s="276"/>
    </row>
    <row r="363" spans="12:71" ht="12" customHeight="1">
      <c r="L363" s="283"/>
      <c r="M363" s="276"/>
      <c r="N363" s="283"/>
      <c r="O363" s="276"/>
      <c r="P363" s="283"/>
      <c r="Q363" s="276"/>
      <c r="S363" s="283"/>
      <c r="T363" s="276"/>
      <c r="W363" s="283"/>
      <c r="X363" s="276"/>
      <c r="Y363" s="283"/>
      <c r="Z363" s="276"/>
      <c r="AA363" s="283"/>
      <c r="AB363" s="276"/>
      <c r="AC363" s="283"/>
      <c r="AE363" s="283"/>
      <c r="AF363" s="276"/>
      <c r="AI363" s="283"/>
      <c r="AJ363" s="276"/>
      <c r="AK363" s="283"/>
      <c r="AL363" s="276"/>
      <c r="AM363" s="283"/>
      <c r="AN363" s="276"/>
      <c r="AO363" s="283"/>
      <c r="AP363" s="276"/>
      <c r="AQ363" s="283"/>
      <c r="AR363" s="276"/>
      <c r="AT363" s="283"/>
      <c r="AU363" s="276"/>
      <c r="AV363" s="283"/>
      <c r="AW363" s="276"/>
      <c r="AX363" s="283"/>
      <c r="AY363" s="276"/>
      <c r="AZ363" s="283"/>
      <c r="BA363" s="276"/>
      <c r="BB363" s="283"/>
      <c r="BC363" s="276"/>
      <c r="BD363" s="283"/>
      <c r="BE363" s="276"/>
      <c r="BG363" s="283"/>
      <c r="BH363" s="276"/>
      <c r="BI363" s="283"/>
      <c r="BJ363" s="276"/>
      <c r="BK363" s="283"/>
      <c r="BL363" s="276"/>
      <c r="BM363" s="283"/>
      <c r="BN363" s="276"/>
      <c r="BO363" s="283"/>
      <c r="BP363" s="276"/>
      <c r="BQ363" s="283"/>
      <c r="BR363" s="283"/>
      <c r="BS363" s="276"/>
    </row>
    <row r="364" spans="12:71" ht="12" customHeight="1">
      <c r="L364" s="283"/>
      <c r="M364" s="276"/>
      <c r="N364" s="283"/>
      <c r="O364" s="276"/>
      <c r="P364" s="283"/>
      <c r="Q364" s="276"/>
      <c r="S364" s="283"/>
      <c r="T364" s="276"/>
      <c r="W364" s="283"/>
      <c r="X364" s="276"/>
      <c r="Y364" s="283"/>
      <c r="Z364" s="276"/>
      <c r="AA364" s="283"/>
      <c r="AB364" s="276"/>
      <c r="AC364" s="283"/>
      <c r="AE364" s="283"/>
      <c r="AF364" s="276"/>
      <c r="AI364" s="283"/>
      <c r="AJ364" s="276"/>
      <c r="AK364" s="283"/>
      <c r="AL364" s="276"/>
      <c r="AM364" s="283"/>
      <c r="AN364" s="276"/>
      <c r="AO364" s="283"/>
      <c r="AP364" s="276"/>
      <c r="AQ364" s="283"/>
      <c r="AR364" s="276"/>
      <c r="AT364" s="283"/>
      <c r="AU364" s="276"/>
      <c r="AV364" s="283"/>
      <c r="AW364" s="276"/>
      <c r="AX364" s="283"/>
      <c r="AY364" s="276"/>
      <c r="AZ364" s="283"/>
      <c r="BA364" s="276"/>
      <c r="BB364" s="283"/>
      <c r="BC364" s="276"/>
      <c r="BD364" s="283"/>
      <c r="BE364" s="276"/>
      <c r="BG364" s="283"/>
      <c r="BH364" s="276"/>
      <c r="BI364" s="283"/>
      <c r="BJ364" s="276"/>
      <c r="BK364" s="283"/>
      <c r="BL364" s="276"/>
      <c r="BM364" s="283"/>
      <c r="BN364" s="276"/>
      <c r="BO364" s="283"/>
      <c r="BP364" s="276"/>
      <c r="BQ364" s="283"/>
      <c r="BR364" s="283"/>
      <c r="BS364" s="276"/>
    </row>
    <row r="365" spans="12:71" ht="12" customHeight="1">
      <c r="L365" s="283"/>
      <c r="M365" s="276"/>
      <c r="N365" s="283"/>
      <c r="O365" s="276"/>
      <c r="P365" s="283"/>
      <c r="Q365" s="276"/>
      <c r="S365" s="283"/>
      <c r="T365" s="276"/>
      <c r="W365" s="283"/>
      <c r="X365" s="276"/>
      <c r="Y365" s="283"/>
      <c r="Z365" s="276"/>
      <c r="AA365" s="283"/>
      <c r="AB365" s="276"/>
      <c r="AC365" s="283"/>
      <c r="AE365" s="283"/>
      <c r="AF365" s="276"/>
      <c r="AI365" s="283"/>
      <c r="AJ365" s="276"/>
      <c r="AK365" s="283"/>
      <c r="AL365" s="276"/>
      <c r="AM365" s="283"/>
      <c r="AN365" s="276"/>
      <c r="AO365" s="283"/>
      <c r="AP365" s="276"/>
      <c r="AQ365" s="283"/>
      <c r="AR365" s="276"/>
      <c r="AT365" s="283"/>
      <c r="AU365" s="276"/>
      <c r="AV365" s="283"/>
      <c r="AW365" s="276"/>
      <c r="AX365" s="283"/>
      <c r="AY365" s="276"/>
      <c r="AZ365" s="283"/>
      <c r="BA365" s="276"/>
      <c r="BB365" s="283"/>
      <c r="BC365" s="276"/>
      <c r="BD365" s="283"/>
      <c r="BE365" s="276"/>
      <c r="BG365" s="283"/>
      <c r="BH365" s="276"/>
      <c r="BI365" s="283"/>
      <c r="BJ365" s="276"/>
      <c r="BK365" s="283"/>
      <c r="BL365" s="276"/>
      <c r="BM365" s="283"/>
      <c r="BN365" s="276"/>
      <c r="BO365" s="283"/>
      <c r="BP365" s="276"/>
      <c r="BQ365" s="283"/>
      <c r="BR365" s="283"/>
      <c r="BS365" s="276"/>
    </row>
    <row r="366" spans="12:71" ht="12" customHeight="1">
      <c r="L366" s="283"/>
      <c r="M366" s="276"/>
      <c r="N366" s="283"/>
      <c r="O366" s="276"/>
      <c r="P366" s="283"/>
      <c r="Q366" s="276"/>
      <c r="S366" s="283"/>
      <c r="T366" s="276"/>
      <c r="W366" s="283"/>
      <c r="X366" s="276"/>
      <c r="Y366" s="283"/>
      <c r="Z366" s="276"/>
      <c r="AA366" s="283"/>
      <c r="AB366" s="276"/>
      <c r="AC366" s="283"/>
      <c r="AE366" s="283"/>
      <c r="AF366" s="276"/>
      <c r="AI366" s="283"/>
      <c r="AJ366" s="276"/>
      <c r="AK366" s="283"/>
      <c r="AL366" s="276"/>
      <c r="AM366" s="283"/>
      <c r="AN366" s="276"/>
      <c r="AO366" s="283"/>
      <c r="AP366" s="276"/>
      <c r="AQ366" s="283"/>
      <c r="AR366" s="276"/>
      <c r="AT366" s="283"/>
      <c r="AU366" s="276"/>
      <c r="AV366" s="283"/>
      <c r="AW366" s="276"/>
      <c r="AX366" s="283"/>
      <c r="AY366" s="276"/>
      <c r="AZ366" s="283"/>
      <c r="BA366" s="276"/>
      <c r="BB366" s="283"/>
      <c r="BC366" s="276"/>
      <c r="BD366" s="283"/>
      <c r="BE366" s="276"/>
      <c r="BG366" s="283"/>
      <c r="BH366" s="276"/>
      <c r="BI366" s="283"/>
      <c r="BJ366" s="276"/>
      <c r="BK366" s="283"/>
      <c r="BL366" s="276"/>
      <c r="BM366" s="283"/>
      <c r="BN366" s="276"/>
      <c r="BO366" s="283"/>
      <c r="BP366" s="276"/>
      <c r="BQ366" s="283"/>
      <c r="BR366" s="283"/>
      <c r="BS366" s="276"/>
    </row>
    <row r="367" spans="12:71" ht="12" customHeight="1">
      <c r="L367" s="283"/>
      <c r="M367" s="276"/>
      <c r="N367" s="283"/>
      <c r="O367" s="276"/>
      <c r="P367" s="283"/>
      <c r="Q367" s="276"/>
      <c r="S367" s="283"/>
      <c r="T367" s="276"/>
      <c r="W367" s="283"/>
      <c r="X367" s="276"/>
      <c r="Y367" s="283"/>
      <c r="Z367" s="276"/>
      <c r="AA367" s="283"/>
      <c r="AB367" s="276"/>
      <c r="AC367" s="283"/>
      <c r="AE367" s="283"/>
      <c r="AF367" s="276"/>
      <c r="AI367" s="283"/>
      <c r="AJ367" s="276"/>
      <c r="AK367" s="283"/>
      <c r="AL367" s="276"/>
      <c r="AM367" s="283"/>
      <c r="AN367" s="276"/>
      <c r="AO367" s="283"/>
      <c r="AP367" s="276"/>
      <c r="AQ367" s="283"/>
      <c r="AR367" s="276"/>
      <c r="AT367" s="283"/>
      <c r="AU367" s="276"/>
      <c r="AV367" s="283"/>
      <c r="AW367" s="276"/>
      <c r="AX367" s="283"/>
      <c r="AY367" s="276"/>
      <c r="AZ367" s="283"/>
      <c r="BA367" s="276"/>
      <c r="BB367" s="283"/>
      <c r="BC367" s="276"/>
      <c r="BD367" s="283"/>
      <c r="BE367" s="276"/>
      <c r="BG367" s="283"/>
      <c r="BH367" s="276"/>
      <c r="BI367" s="283"/>
      <c r="BJ367" s="276"/>
      <c r="BK367" s="283"/>
      <c r="BL367" s="276"/>
      <c r="BM367" s="283"/>
      <c r="BN367" s="276"/>
      <c r="BO367" s="283"/>
      <c r="BP367" s="276"/>
      <c r="BQ367" s="283"/>
      <c r="BR367" s="283"/>
      <c r="BS367" s="276"/>
    </row>
    <row r="368" spans="12:71" ht="12" customHeight="1">
      <c r="L368" s="283"/>
      <c r="M368" s="276"/>
      <c r="N368" s="283"/>
      <c r="O368" s="276"/>
      <c r="P368" s="283"/>
      <c r="Q368" s="276"/>
      <c r="S368" s="283"/>
      <c r="T368" s="276"/>
      <c r="W368" s="283"/>
      <c r="X368" s="276"/>
      <c r="Y368" s="283"/>
      <c r="Z368" s="276"/>
      <c r="AA368" s="283"/>
      <c r="AB368" s="276"/>
      <c r="AC368" s="283"/>
      <c r="AE368" s="283"/>
      <c r="AF368" s="276"/>
      <c r="AI368" s="283"/>
      <c r="AJ368" s="276"/>
      <c r="AK368" s="283"/>
      <c r="AL368" s="276"/>
      <c r="AM368" s="283"/>
      <c r="AN368" s="276"/>
      <c r="AO368" s="283"/>
      <c r="AP368" s="276"/>
      <c r="AQ368" s="283"/>
      <c r="AR368" s="276"/>
      <c r="AT368" s="283"/>
      <c r="AU368" s="276"/>
      <c r="AV368" s="283"/>
      <c r="AW368" s="276"/>
      <c r="AX368" s="283"/>
      <c r="AY368" s="276"/>
      <c r="AZ368" s="283"/>
      <c r="BA368" s="276"/>
      <c r="BB368" s="283"/>
      <c r="BC368" s="276"/>
      <c r="BD368" s="283"/>
      <c r="BE368" s="276"/>
      <c r="BG368" s="283"/>
      <c r="BH368" s="276"/>
      <c r="BI368" s="283"/>
      <c r="BJ368" s="276"/>
      <c r="BK368" s="283"/>
      <c r="BL368" s="276"/>
      <c r="BM368" s="283"/>
      <c r="BN368" s="276"/>
      <c r="BO368" s="283"/>
      <c r="BP368" s="276"/>
      <c r="BQ368" s="283"/>
      <c r="BR368" s="283"/>
      <c r="BS368" s="276"/>
    </row>
    <row r="369" spans="12:71" ht="12" customHeight="1">
      <c r="L369" s="283"/>
      <c r="M369" s="276"/>
      <c r="N369" s="283"/>
      <c r="O369" s="276"/>
      <c r="P369" s="283"/>
      <c r="Q369" s="276"/>
      <c r="S369" s="283"/>
      <c r="T369" s="276"/>
      <c r="W369" s="283"/>
      <c r="X369" s="276"/>
      <c r="Y369" s="283"/>
      <c r="Z369" s="276"/>
      <c r="AA369" s="283"/>
      <c r="AB369" s="276"/>
      <c r="AC369" s="283"/>
      <c r="AE369" s="283"/>
      <c r="AF369" s="276"/>
      <c r="AI369" s="283"/>
      <c r="AJ369" s="276"/>
      <c r="AK369" s="283"/>
      <c r="AL369" s="276"/>
      <c r="AM369" s="283"/>
      <c r="AN369" s="276"/>
      <c r="AO369" s="283"/>
      <c r="AP369" s="276"/>
      <c r="AQ369" s="283"/>
      <c r="AR369" s="276"/>
      <c r="AT369" s="283"/>
      <c r="AU369" s="276"/>
      <c r="AV369" s="283"/>
      <c r="AW369" s="276"/>
      <c r="AX369" s="283"/>
      <c r="AY369" s="276"/>
      <c r="AZ369" s="283"/>
      <c r="BA369" s="276"/>
      <c r="BB369" s="283"/>
      <c r="BC369" s="276"/>
      <c r="BD369" s="283"/>
      <c r="BE369" s="276"/>
      <c r="BG369" s="283"/>
      <c r="BH369" s="276"/>
      <c r="BI369" s="283"/>
      <c r="BJ369" s="276"/>
      <c r="BK369" s="283"/>
      <c r="BL369" s="276"/>
      <c r="BM369" s="283"/>
      <c r="BN369" s="276"/>
      <c r="BO369" s="283"/>
      <c r="BP369" s="276"/>
      <c r="BQ369" s="283"/>
      <c r="BR369" s="283"/>
      <c r="BS369" s="276"/>
    </row>
    <row r="370" spans="12:71" ht="12" customHeight="1">
      <c r="L370" s="283"/>
      <c r="M370" s="276"/>
      <c r="N370" s="283"/>
      <c r="O370" s="276"/>
      <c r="P370" s="283"/>
      <c r="Q370" s="276"/>
      <c r="S370" s="283"/>
      <c r="T370" s="276"/>
      <c r="W370" s="283"/>
      <c r="X370" s="276"/>
      <c r="Y370" s="283"/>
      <c r="Z370" s="276"/>
      <c r="AA370" s="283"/>
      <c r="AB370" s="276"/>
      <c r="AC370" s="283"/>
      <c r="AE370" s="283"/>
      <c r="AF370" s="276"/>
      <c r="AI370" s="283"/>
      <c r="AJ370" s="276"/>
      <c r="AK370" s="283"/>
      <c r="AL370" s="276"/>
      <c r="AM370" s="283"/>
      <c r="AN370" s="276"/>
      <c r="AO370" s="283"/>
      <c r="AP370" s="276"/>
      <c r="AQ370" s="283"/>
      <c r="AR370" s="276"/>
      <c r="AT370" s="283"/>
      <c r="AU370" s="276"/>
      <c r="AV370" s="283"/>
      <c r="AW370" s="276"/>
      <c r="AX370" s="283"/>
      <c r="AY370" s="276"/>
      <c r="AZ370" s="283"/>
      <c r="BA370" s="276"/>
      <c r="BB370" s="283"/>
      <c r="BC370" s="276"/>
      <c r="BD370" s="283"/>
      <c r="BE370" s="276"/>
      <c r="BG370" s="283"/>
      <c r="BH370" s="276"/>
      <c r="BI370" s="283"/>
      <c r="BJ370" s="276"/>
      <c r="BK370" s="283"/>
      <c r="BL370" s="276"/>
      <c r="BM370" s="283"/>
      <c r="BN370" s="276"/>
      <c r="BO370" s="283"/>
      <c r="BP370" s="276"/>
      <c r="BQ370" s="283"/>
      <c r="BR370" s="283"/>
      <c r="BS370" s="276"/>
    </row>
    <row r="371" spans="12:71" ht="12" customHeight="1">
      <c r="L371" s="283"/>
      <c r="M371" s="276"/>
      <c r="N371" s="283"/>
      <c r="O371" s="276"/>
      <c r="P371" s="283"/>
      <c r="Q371" s="276"/>
      <c r="S371" s="283"/>
      <c r="T371" s="276"/>
      <c r="W371" s="283"/>
      <c r="X371" s="276"/>
      <c r="Y371" s="283"/>
      <c r="Z371" s="276"/>
      <c r="AA371" s="283"/>
      <c r="AB371" s="276"/>
      <c r="AC371" s="283"/>
      <c r="AE371" s="283"/>
      <c r="AF371" s="276"/>
      <c r="AI371" s="283"/>
      <c r="AJ371" s="276"/>
      <c r="AK371" s="283"/>
      <c r="AL371" s="276"/>
      <c r="AM371" s="283"/>
      <c r="AN371" s="276"/>
      <c r="AO371" s="283"/>
      <c r="AP371" s="276"/>
      <c r="AQ371" s="283"/>
      <c r="AR371" s="276"/>
      <c r="AT371" s="283"/>
      <c r="AU371" s="276"/>
      <c r="AV371" s="283"/>
      <c r="AW371" s="276"/>
      <c r="AX371" s="283"/>
      <c r="AY371" s="276"/>
      <c r="AZ371" s="283"/>
      <c r="BA371" s="276"/>
      <c r="BB371" s="283"/>
      <c r="BC371" s="276"/>
      <c r="BD371" s="283"/>
      <c r="BE371" s="276"/>
      <c r="BG371" s="283"/>
      <c r="BH371" s="276"/>
      <c r="BI371" s="283"/>
      <c r="BJ371" s="276"/>
      <c r="BK371" s="283"/>
      <c r="BL371" s="276"/>
      <c r="BM371" s="283"/>
      <c r="BN371" s="276"/>
      <c r="BO371" s="283"/>
      <c r="BP371" s="276"/>
      <c r="BQ371" s="283"/>
      <c r="BR371" s="283"/>
      <c r="BS371" s="276"/>
    </row>
    <row r="372" spans="12:71" ht="12" customHeight="1">
      <c r="L372" s="283"/>
      <c r="M372" s="276"/>
      <c r="N372" s="283"/>
      <c r="O372" s="276"/>
      <c r="P372" s="283"/>
      <c r="Q372" s="276"/>
      <c r="S372" s="283"/>
      <c r="T372" s="276"/>
      <c r="W372" s="283"/>
      <c r="X372" s="276"/>
      <c r="Y372" s="283"/>
      <c r="Z372" s="276"/>
      <c r="AA372" s="283"/>
      <c r="AB372" s="276"/>
      <c r="AC372" s="283"/>
      <c r="AE372" s="283"/>
      <c r="AF372" s="276"/>
      <c r="AI372" s="283"/>
      <c r="AJ372" s="276"/>
      <c r="AK372" s="283"/>
      <c r="AL372" s="276"/>
      <c r="AM372" s="283"/>
      <c r="AN372" s="276"/>
      <c r="AO372" s="283"/>
      <c r="AP372" s="276"/>
      <c r="AQ372" s="283"/>
      <c r="AR372" s="276"/>
      <c r="AT372" s="283"/>
      <c r="AU372" s="276"/>
      <c r="AV372" s="283"/>
      <c r="AW372" s="276"/>
      <c r="AX372" s="283"/>
      <c r="AY372" s="276"/>
      <c r="AZ372" s="283"/>
      <c r="BA372" s="276"/>
      <c r="BB372" s="283"/>
      <c r="BC372" s="276"/>
      <c r="BD372" s="283"/>
      <c r="BE372" s="276"/>
      <c r="BG372" s="283"/>
      <c r="BH372" s="276"/>
      <c r="BI372" s="283"/>
      <c r="BJ372" s="276"/>
      <c r="BK372" s="283"/>
      <c r="BL372" s="276"/>
      <c r="BM372" s="283"/>
      <c r="BN372" s="276"/>
      <c r="BO372" s="283"/>
      <c r="BP372" s="276"/>
      <c r="BQ372" s="283"/>
      <c r="BR372" s="283"/>
      <c r="BS372" s="276"/>
    </row>
    <row r="373" spans="12:71" ht="12" customHeight="1">
      <c r="L373" s="283"/>
      <c r="M373" s="276"/>
      <c r="N373" s="283"/>
      <c r="O373" s="276"/>
      <c r="P373" s="283"/>
      <c r="Q373" s="276"/>
      <c r="S373" s="283"/>
      <c r="T373" s="276"/>
      <c r="W373" s="283"/>
      <c r="X373" s="276"/>
      <c r="Y373" s="283"/>
      <c r="Z373" s="276"/>
      <c r="AA373" s="283"/>
      <c r="AB373" s="276"/>
      <c r="AC373" s="283"/>
      <c r="AE373" s="283"/>
      <c r="AF373" s="276"/>
      <c r="AI373" s="283"/>
      <c r="AJ373" s="276"/>
      <c r="AK373" s="283"/>
      <c r="AL373" s="276"/>
      <c r="AM373" s="283"/>
      <c r="AN373" s="276"/>
      <c r="AO373" s="283"/>
      <c r="AP373" s="276"/>
      <c r="AQ373" s="283"/>
      <c r="AR373" s="276"/>
      <c r="AT373" s="283"/>
      <c r="AU373" s="276"/>
      <c r="AV373" s="283"/>
      <c r="AW373" s="276"/>
      <c r="AX373" s="283"/>
      <c r="AY373" s="276"/>
      <c r="AZ373" s="283"/>
      <c r="BA373" s="276"/>
      <c r="BB373" s="283"/>
      <c r="BC373" s="276"/>
      <c r="BD373" s="283"/>
      <c r="BE373" s="276"/>
      <c r="BG373" s="283"/>
      <c r="BH373" s="276"/>
      <c r="BI373" s="283"/>
      <c r="BJ373" s="276"/>
      <c r="BK373" s="283"/>
      <c r="BL373" s="276"/>
      <c r="BM373" s="283"/>
      <c r="BN373" s="276"/>
      <c r="BO373" s="283"/>
      <c r="BP373" s="276"/>
      <c r="BQ373" s="283"/>
      <c r="BR373" s="283"/>
      <c r="BS373" s="276"/>
    </row>
    <row r="374" spans="12:71" ht="12" customHeight="1">
      <c r="L374" s="283"/>
      <c r="M374" s="276"/>
      <c r="N374" s="283"/>
      <c r="O374" s="276"/>
      <c r="P374" s="283"/>
      <c r="Q374" s="276"/>
      <c r="S374" s="283"/>
      <c r="T374" s="276"/>
      <c r="W374" s="283"/>
      <c r="X374" s="276"/>
      <c r="Y374" s="283"/>
      <c r="Z374" s="276"/>
      <c r="AA374" s="283"/>
      <c r="AB374" s="276"/>
      <c r="AC374" s="283"/>
      <c r="AE374" s="283"/>
      <c r="AF374" s="276"/>
      <c r="AI374" s="283"/>
      <c r="AJ374" s="276"/>
      <c r="AK374" s="283"/>
      <c r="AL374" s="276"/>
      <c r="AM374" s="283"/>
      <c r="AN374" s="276"/>
      <c r="AO374" s="283"/>
      <c r="AP374" s="276"/>
      <c r="AQ374" s="283"/>
      <c r="AR374" s="276"/>
      <c r="AT374" s="283"/>
      <c r="AU374" s="276"/>
      <c r="AV374" s="283"/>
      <c r="AW374" s="276"/>
      <c r="AX374" s="283"/>
      <c r="AY374" s="276"/>
      <c r="AZ374" s="283"/>
      <c r="BA374" s="276"/>
      <c r="BB374" s="283"/>
      <c r="BC374" s="276"/>
      <c r="BD374" s="283"/>
      <c r="BE374" s="276"/>
      <c r="BG374" s="283"/>
      <c r="BH374" s="276"/>
      <c r="BI374" s="283"/>
      <c r="BJ374" s="276"/>
      <c r="BK374" s="283"/>
      <c r="BL374" s="276"/>
      <c r="BM374" s="283"/>
      <c r="BN374" s="276"/>
      <c r="BO374" s="283"/>
      <c r="BP374" s="276"/>
      <c r="BQ374" s="283"/>
      <c r="BR374" s="283"/>
      <c r="BS374" s="276"/>
    </row>
    <row r="375" spans="12:71" ht="12" customHeight="1">
      <c r="L375" s="283"/>
      <c r="M375" s="276"/>
      <c r="N375" s="283"/>
      <c r="O375" s="276"/>
      <c r="P375" s="283"/>
      <c r="Q375" s="276"/>
      <c r="S375" s="283"/>
      <c r="T375" s="276"/>
      <c r="W375" s="283"/>
      <c r="X375" s="276"/>
      <c r="Y375" s="283"/>
      <c r="Z375" s="276"/>
      <c r="AA375" s="283"/>
      <c r="AB375" s="276"/>
      <c r="AC375" s="283"/>
      <c r="AE375" s="283"/>
      <c r="AF375" s="276"/>
      <c r="AI375" s="283"/>
      <c r="AJ375" s="276"/>
      <c r="AK375" s="283"/>
      <c r="AL375" s="276"/>
      <c r="AM375" s="283"/>
      <c r="AN375" s="276"/>
      <c r="AO375" s="283"/>
      <c r="AP375" s="276"/>
      <c r="AQ375" s="283"/>
      <c r="AR375" s="276"/>
      <c r="AT375" s="283"/>
      <c r="AU375" s="276"/>
      <c r="AV375" s="283"/>
      <c r="AW375" s="276"/>
      <c r="AX375" s="283"/>
      <c r="AY375" s="276"/>
      <c r="AZ375" s="283"/>
      <c r="BA375" s="276"/>
      <c r="BB375" s="283"/>
      <c r="BC375" s="276"/>
      <c r="BD375" s="283"/>
      <c r="BE375" s="276"/>
      <c r="BG375" s="283"/>
      <c r="BH375" s="276"/>
      <c r="BI375" s="283"/>
      <c r="BJ375" s="276"/>
      <c r="BK375" s="283"/>
      <c r="BL375" s="276"/>
      <c r="BM375" s="283"/>
      <c r="BN375" s="276"/>
      <c r="BO375" s="283"/>
      <c r="BP375" s="276"/>
      <c r="BQ375" s="283"/>
      <c r="BR375" s="283"/>
      <c r="BS375" s="276"/>
    </row>
    <row r="376" spans="12:71" ht="12" customHeight="1">
      <c r="L376" s="283"/>
      <c r="M376" s="276"/>
      <c r="N376" s="283"/>
      <c r="O376" s="276"/>
      <c r="P376" s="283"/>
      <c r="Q376" s="276"/>
      <c r="S376" s="283"/>
      <c r="T376" s="276"/>
      <c r="W376" s="283"/>
      <c r="X376" s="276"/>
      <c r="Y376" s="283"/>
      <c r="Z376" s="276"/>
      <c r="AA376" s="283"/>
      <c r="AB376" s="276"/>
      <c r="AC376" s="283"/>
      <c r="AE376" s="283"/>
      <c r="AF376" s="276"/>
      <c r="AI376" s="283"/>
      <c r="AJ376" s="276"/>
      <c r="AK376" s="283"/>
      <c r="AL376" s="276"/>
      <c r="AM376" s="283"/>
      <c r="AN376" s="276"/>
      <c r="AO376" s="283"/>
      <c r="AP376" s="276"/>
      <c r="AQ376" s="283"/>
      <c r="AR376" s="276"/>
      <c r="AT376" s="283"/>
      <c r="AU376" s="276"/>
      <c r="AV376" s="283"/>
      <c r="AW376" s="276"/>
      <c r="AX376" s="283"/>
      <c r="AY376" s="276"/>
      <c r="AZ376" s="283"/>
      <c r="BA376" s="276"/>
      <c r="BB376" s="283"/>
      <c r="BC376" s="276"/>
      <c r="BD376" s="283"/>
      <c r="BE376" s="276"/>
      <c r="BG376" s="283"/>
      <c r="BH376" s="276"/>
      <c r="BI376" s="283"/>
      <c r="BJ376" s="276"/>
      <c r="BK376" s="283"/>
      <c r="BL376" s="276"/>
      <c r="BM376" s="283"/>
      <c r="BN376" s="276"/>
      <c r="BO376" s="283"/>
      <c r="BP376" s="276"/>
      <c r="BQ376" s="283"/>
      <c r="BR376" s="283"/>
      <c r="BS376" s="276"/>
    </row>
    <row r="377" spans="12:71" ht="12" customHeight="1">
      <c r="L377" s="283"/>
      <c r="M377" s="276"/>
      <c r="N377" s="283"/>
      <c r="O377" s="276"/>
      <c r="P377" s="283"/>
      <c r="Q377" s="276"/>
      <c r="S377" s="283"/>
      <c r="T377" s="276"/>
      <c r="W377" s="283"/>
      <c r="X377" s="276"/>
      <c r="Y377" s="283"/>
      <c r="Z377" s="276"/>
      <c r="AA377" s="283"/>
      <c r="AB377" s="276"/>
      <c r="AC377" s="283"/>
      <c r="AE377" s="283"/>
      <c r="AF377" s="276"/>
      <c r="AI377" s="283"/>
      <c r="AJ377" s="276"/>
      <c r="AK377" s="283"/>
      <c r="AL377" s="276"/>
      <c r="AM377" s="283"/>
      <c r="AN377" s="276"/>
      <c r="AO377" s="283"/>
      <c r="AP377" s="276"/>
      <c r="AQ377" s="283"/>
      <c r="AR377" s="276"/>
      <c r="AT377" s="283"/>
      <c r="AU377" s="276"/>
      <c r="AV377" s="283"/>
      <c r="AW377" s="276"/>
      <c r="AX377" s="283"/>
      <c r="AY377" s="276"/>
      <c r="AZ377" s="283"/>
      <c r="BA377" s="276"/>
      <c r="BB377" s="283"/>
      <c r="BC377" s="276"/>
      <c r="BD377" s="283"/>
      <c r="BE377" s="276"/>
      <c r="BG377" s="283"/>
      <c r="BH377" s="276"/>
      <c r="BI377" s="283"/>
      <c r="BJ377" s="276"/>
      <c r="BK377" s="283"/>
      <c r="BL377" s="276"/>
      <c r="BM377" s="283"/>
      <c r="BN377" s="276"/>
      <c r="BO377" s="283"/>
      <c r="BP377" s="276"/>
      <c r="BQ377" s="283"/>
      <c r="BR377" s="283"/>
      <c r="BS377" s="276"/>
    </row>
    <row r="378" spans="12:71" ht="12" customHeight="1">
      <c r="L378" s="283"/>
      <c r="M378" s="276"/>
      <c r="N378" s="283"/>
      <c r="O378" s="276"/>
      <c r="P378" s="283"/>
      <c r="Q378" s="276"/>
      <c r="S378" s="283"/>
      <c r="T378" s="276"/>
      <c r="W378" s="283"/>
      <c r="X378" s="276"/>
      <c r="Y378" s="283"/>
      <c r="Z378" s="276"/>
      <c r="AA378" s="283"/>
      <c r="AB378" s="276"/>
      <c r="AC378" s="283"/>
      <c r="AE378" s="283"/>
      <c r="AF378" s="276"/>
      <c r="AI378" s="283"/>
      <c r="AJ378" s="276"/>
      <c r="AK378" s="283"/>
      <c r="AL378" s="276"/>
      <c r="AM378" s="283"/>
      <c r="AN378" s="276"/>
      <c r="AO378" s="283"/>
      <c r="AP378" s="276"/>
      <c r="AQ378" s="283"/>
      <c r="AR378" s="276"/>
      <c r="AT378" s="283"/>
      <c r="AU378" s="276"/>
      <c r="AV378" s="283"/>
      <c r="AW378" s="276"/>
      <c r="AX378" s="283"/>
      <c r="AY378" s="276"/>
      <c r="AZ378" s="283"/>
      <c r="BA378" s="276"/>
      <c r="BB378" s="283"/>
      <c r="BC378" s="276"/>
      <c r="BD378" s="283"/>
      <c r="BE378" s="276"/>
      <c r="BG378" s="283"/>
      <c r="BH378" s="276"/>
      <c r="BI378" s="283"/>
      <c r="BJ378" s="276"/>
      <c r="BK378" s="283"/>
      <c r="BL378" s="276"/>
      <c r="BM378" s="283"/>
      <c r="BN378" s="276"/>
      <c r="BO378" s="283"/>
      <c r="BP378" s="276"/>
      <c r="BQ378" s="283"/>
      <c r="BR378" s="283"/>
      <c r="BS378" s="276"/>
    </row>
    <row r="379" spans="12:71" ht="12" customHeight="1">
      <c r="L379" s="283"/>
      <c r="M379" s="276"/>
      <c r="N379" s="283"/>
      <c r="O379" s="276"/>
      <c r="P379" s="283"/>
      <c r="Q379" s="276"/>
      <c r="S379" s="283"/>
      <c r="T379" s="276"/>
      <c r="W379" s="283"/>
      <c r="X379" s="276"/>
      <c r="Y379" s="283"/>
      <c r="Z379" s="276"/>
      <c r="AA379" s="283"/>
      <c r="AB379" s="276"/>
      <c r="AC379" s="283"/>
      <c r="AE379" s="283"/>
      <c r="AF379" s="276"/>
      <c r="AI379" s="283"/>
      <c r="AJ379" s="276"/>
      <c r="AK379" s="283"/>
      <c r="AL379" s="276"/>
      <c r="AM379" s="283"/>
      <c r="AN379" s="276"/>
      <c r="AO379" s="283"/>
      <c r="AP379" s="276"/>
      <c r="AQ379" s="283"/>
      <c r="AR379" s="276"/>
      <c r="AT379" s="283"/>
      <c r="AU379" s="276"/>
      <c r="AV379" s="283"/>
      <c r="AW379" s="276"/>
      <c r="AX379" s="283"/>
      <c r="AY379" s="276"/>
      <c r="AZ379" s="283"/>
      <c r="BA379" s="276"/>
      <c r="BB379" s="283"/>
      <c r="BC379" s="276"/>
      <c r="BD379" s="283"/>
      <c r="BE379" s="276"/>
      <c r="BG379" s="283"/>
      <c r="BH379" s="276"/>
      <c r="BI379" s="283"/>
      <c r="BJ379" s="276"/>
      <c r="BK379" s="283"/>
      <c r="BL379" s="276"/>
      <c r="BM379" s="283"/>
      <c r="BN379" s="276"/>
      <c r="BO379" s="283"/>
      <c r="BP379" s="276"/>
      <c r="BQ379" s="283"/>
      <c r="BR379" s="283"/>
      <c r="BS379" s="276"/>
    </row>
    <row r="380" spans="12:71" ht="12" customHeight="1">
      <c r="L380" s="283"/>
      <c r="M380" s="276"/>
      <c r="N380" s="283"/>
      <c r="O380" s="276"/>
      <c r="P380" s="283"/>
      <c r="Q380" s="276"/>
      <c r="S380" s="283"/>
      <c r="T380" s="276"/>
      <c r="W380" s="283"/>
      <c r="X380" s="276"/>
      <c r="Y380" s="283"/>
      <c r="Z380" s="276"/>
      <c r="AA380" s="283"/>
      <c r="AB380" s="276"/>
      <c r="AC380" s="283"/>
      <c r="AE380" s="283"/>
      <c r="AF380" s="276"/>
      <c r="AI380" s="283"/>
      <c r="AJ380" s="276"/>
      <c r="AK380" s="283"/>
      <c r="AL380" s="276"/>
      <c r="AM380" s="283"/>
      <c r="AN380" s="276"/>
      <c r="AO380" s="283"/>
      <c r="AP380" s="276"/>
      <c r="AQ380" s="283"/>
      <c r="AR380" s="276"/>
      <c r="AT380" s="283"/>
      <c r="AU380" s="276"/>
      <c r="AV380" s="283"/>
      <c r="AW380" s="276"/>
      <c r="AX380" s="283"/>
      <c r="AY380" s="276"/>
      <c r="AZ380" s="283"/>
      <c r="BA380" s="276"/>
      <c r="BB380" s="283"/>
      <c r="BC380" s="276"/>
      <c r="BD380" s="283"/>
      <c r="BE380" s="276"/>
      <c r="BG380" s="283"/>
      <c r="BH380" s="276"/>
      <c r="BI380" s="283"/>
      <c r="BJ380" s="276"/>
      <c r="BK380" s="283"/>
      <c r="BL380" s="276"/>
      <c r="BM380" s="283"/>
      <c r="BN380" s="276"/>
      <c r="BO380" s="283"/>
      <c r="BP380" s="276"/>
      <c r="BQ380" s="283"/>
      <c r="BR380" s="283"/>
      <c r="BS380" s="276"/>
    </row>
    <row r="381" spans="12:71" ht="12" customHeight="1">
      <c r="L381" s="283"/>
      <c r="M381" s="276"/>
      <c r="N381" s="283"/>
      <c r="O381" s="276"/>
      <c r="P381" s="283"/>
      <c r="Q381" s="276"/>
      <c r="S381" s="283"/>
      <c r="T381" s="276"/>
      <c r="W381" s="283"/>
      <c r="X381" s="276"/>
      <c r="Y381" s="283"/>
      <c r="Z381" s="276"/>
      <c r="AA381" s="283"/>
      <c r="AB381" s="276"/>
      <c r="AC381" s="283"/>
      <c r="AE381" s="283"/>
      <c r="AF381" s="276"/>
      <c r="AI381" s="283"/>
      <c r="AJ381" s="276"/>
      <c r="AK381" s="283"/>
      <c r="AL381" s="276"/>
      <c r="AM381" s="283"/>
      <c r="AN381" s="276"/>
      <c r="AO381" s="283"/>
      <c r="AP381" s="276"/>
      <c r="AQ381" s="283"/>
      <c r="AR381" s="276"/>
      <c r="AT381" s="283"/>
      <c r="AU381" s="276"/>
      <c r="AV381" s="283"/>
      <c r="AW381" s="276"/>
      <c r="AX381" s="283"/>
      <c r="AY381" s="276"/>
      <c r="AZ381" s="283"/>
      <c r="BA381" s="276"/>
      <c r="BB381" s="283"/>
      <c r="BC381" s="276"/>
      <c r="BD381" s="283"/>
      <c r="BE381" s="276"/>
      <c r="BG381" s="283"/>
      <c r="BH381" s="276"/>
      <c r="BI381" s="283"/>
      <c r="BJ381" s="276"/>
      <c r="BK381" s="283"/>
      <c r="BL381" s="276"/>
      <c r="BM381" s="283"/>
      <c r="BN381" s="276"/>
      <c r="BO381" s="283"/>
      <c r="BP381" s="276"/>
      <c r="BQ381" s="283"/>
      <c r="BR381" s="283"/>
      <c r="BS381" s="276"/>
    </row>
    <row r="382" spans="12:71" ht="12" customHeight="1">
      <c r="L382" s="283"/>
      <c r="M382" s="276"/>
      <c r="N382" s="283"/>
      <c r="O382" s="276"/>
      <c r="P382" s="283"/>
      <c r="Q382" s="276"/>
      <c r="S382" s="283"/>
      <c r="T382" s="276"/>
      <c r="W382" s="283"/>
      <c r="X382" s="276"/>
      <c r="Y382" s="283"/>
      <c r="Z382" s="276"/>
      <c r="AA382" s="283"/>
      <c r="AB382" s="276"/>
      <c r="AC382" s="283"/>
      <c r="AE382" s="283"/>
      <c r="AF382" s="276"/>
      <c r="AI382" s="283"/>
      <c r="AJ382" s="276"/>
      <c r="AK382" s="283"/>
      <c r="AL382" s="276"/>
      <c r="AM382" s="283"/>
      <c r="AN382" s="276"/>
      <c r="AO382" s="283"/>
      <c r="AP382" s="276"/>
      <c r="AQ382" s="283"/>
      <c r="AR382" s="276"/>
      <c r="AT382" s="283"/>
      <c r="AU382" s="276"/>
      <c r="AV382" s="283"/>
      <c r="AW382" s="276"/>
      <c r="AX382" s="283"/>
      <c r="AY382" s="276"/>
      <c r="AZ382" s="283"/>
      <c r="BA382" s="276"/>
      <c r="BB382" s="283"/>
      <c r="BC382" s="276"/>
      <c r="BD382" s="283"/>
      <c r="BE382" s="276"/>
      <c r="BG382" s="283"/>
      <c r="BH382" s="276"/>
      <c r="BI382" s="283"/>
      <c r="BJ382" s="276"/>
      <c r="BK382" s="283"/>
      <c r="BL382" s="276"/>
      <c r="BM382" s="283"/>
      <c r="BN382" s="276"/>
      <c r="BO382" s="283"/>
      <c r="BP382" s="276"/>
      <c r="BQ382" s="283"/>
      <c r="BR382" s="283"/>
      <c r="BS382" s="276"/>
    </row>
    <row r="383" spans="12:71" ht="12" customHeight="1">
      <c r="L383" s="283"/>
      <c r="M383" s="276"/>
      <c r="N383" s="283"/>
      <c r="O383" s="276"/>
      <c r="P383" s="283"/>
      <c r="Q383" s="276"/>
      <c r="S383" s="283"/>
      <c r="T383" s="276"/>
      <c r="W383" s="283"/>
      <c r="X383" s="276"/>
      <c r="Y383" s="283"/>
      <c r="Z383" s="276"/>
      <c r="AA383" s="283"/>
      <c r="AB383" s="276"/>
      <c r="AC383" s="283"/>
      <c r="AE383" s="283"/>
      <c r="AF383" s="276"/>
      <c r="AI383" s="283"/>
      <c r="AJ383" s="276"/>
      <c r="AK383" s="283"/>
      <c r="AL383" s="276"/>
      <c r="AM383" s="283"/>
      <c r="AN383" s="276"/>
      <c r="AO383" s="283"/>
      <c r="AP383" s="276"/>
      <c r="AQ383" s="283"/>
      <c r="AR383" s="276"/>
      <c r="AT383" s="283"/>
      <c r="AU383" s="276"/>
      <c r="AV383" s="283"/>
      <c r="AW383" s="276"/>
      <c r="AX383" s="283"/>
      <c r="AY383" s="276"/>
      <c r="AZ383" s="283"/>
      <c r="BA383" s="276"/>
      <c r="BB383" s="283"/>
      <c r="BC383" s="276"/>
      <c r="BD383" s="283"/>
      <c r="BE383" s="276"/>
      <c r="BG383" s="283"/>
      <c r="BH383" s="276"/>
      <c r="BI383" s="283"/>
      <c r="BJ383" s="276"/>
      <c r="BK383" s="283"/>
      <c r="BL383" s="276"/>
      <c r="BM383" s="283"/>
      <c r="BN383" s="276"/>
      <c r="BO383" s="283"/>
      <c r="BP383" s="276"/>
      <c r="BQ383" s="283"/>
      <c r="BR383" s="283"/>
      <c r="BS383" s="276"/>
    </row>
    <row r="384" spans="12:71" ht="12" customHeight="1">
      <c r="L384" s="283"/>
      <c r="M384" s="276"/>
      <c r="N384" s="283"/>
      <c r="O384" s="276"/>
      <c r="P384" s="283"/>
      <c r="Q384" s="276"/>
      <c r="S384" s="283"/>
      <c r="T384" s="276"/>
      <c r="W384" s="283"/>
      <c r="X384" s="276"/>
      <c r="Y384" s="283"/>
      <c r="Z384" s="276"/>
      <c r="AA384" s="283"/>
      <c r="AB384" s="276"/>
      <c r="AC384" s="283"/>
      <c r="AE384" s="283"/>
      <c r="AF384" s="276"/>
      <c r="AI384" s="283"/>
      <c r="AJ384" s="276"/>
      <c r="AK384" s="283"/>
      <c r="AL384" s="276"/>
      <c r="AM384" s="283"/>
      <c r="AN384" s="276"/>
      <c r="AO384" s="283"/>
      <c r="AP384" s="276"/>
      <c r="AQ384" s="283"/>
      <c r="AR384" s="276"/>
      <c r="AT384" s="283"/>
      <c r="AU384" s="276"/>
      <c r="AV384" s="283"/>
      <c r="AW384" s="276"/>
      <c r="AX384" s="283"/>
      <c r="AY384" s="276"/>
      <c r="AZ384" s="283"/>
      <c r="BA384" s="276"/>
      <c r="BB384" s="283"/>
      <c r="BC384" s="276"/>
      <c r="BD384" s="283"/>
      <c r="BE384" s="276"/>
      <c r="BG384" s="283"/>
      <c r="BH384" s="276"/>
      <c r="BI384" s="283"/>
      <c r="BJ384" s="276"/>
      <c r="BK384" s="283"/>
      <c r="BL384" s="276"/>
      <c r="BM384" s="283"/>
      <c r="BN384" s="276"/>
      <c r="BO384" s="283"/>
      <c r="BP384" s="276"/>
      <c r="BQ384" s="283"/>
      <c r="BR384" s="283"/>
      <c r="BS384" s="276"/>
    </row>
    <row r="385" spans="12:71" ht="12" customHeight="1">
      <c r="L385" s="283"/>
      <c r="M385" s="276"/>
      <c r="N385" s="283"/>
      <c r="O385" s="276"/>
      <c r="P385" s="283"/>
      <c r="Q385" s="276"/>
      <c r="S385" s="283"/>
      <c r="T385" s="276"/>
      <c r="W385" s="283"/>
      <c r="X385" s="276"/>
      <c r="Y385" s="283"/>
      <c r="Z385" s="276"/>
      <c r="AA385" s="283"/>
      <c r="AB385" s="276"/>
      <c r="AC385" s="283"/>
      <c r="AE385" s="283"/>
      <c r="AF385" s="276"/>
      <c r="AI385" s="283"/>
      <c r="AJ385" s="276"/>
      <c r="AK385" s="283"/>
      <c r="AL385" s="276"/>
      <c r="AM385" s="283"/>
      <c r="AN385" s="276"/>
      <c r="AO385" s="283"/>
      <c r="AP385" s="276"/>
      <c r="AQ385" s="283"/>
      <c r="AR385" s="276"/>
      <c r="AT385" s="283"/>
      <c r="AU385" s="276"/>
      <c r="AV385" s="283"/>
      <c r="AW385" s="276"/>
      <c r="AX385" s="283"/>
      <c r="AY385" s="276"/>
      <c r="AZ385" s="283"/>
      <c r="BA385" s="276"/>
      <c r="BB385" s="283"/>
      <c r="BC385" s="276"/>
      <c r="BD385" s="283"/>
      <c r="BE385" s="276"/>
      <c r="BG385" s="283"/>
      <c r="BH385" s="276"/>
      <c r="BI385" s="283"/>
      <c r="BJ385" s="276"/>
      <c r="BK385" s="283"/>
      <c r="BL385" s="276"/>
      <c r="BM385" s="283"/>
      <c r="BN385" s="276"/>
      <c r="BO385" s="283"/>
      <c r="BP385" s="276"/>
      <c r="BQ385" s="283"/>
      <c r="BR385" s="283"/>
      <c r="BS385" s="276"/>
    </row>
    <row r="386" spans="12:71" ht="12" customHeight="1">
      <c r="L386" s="283"/>
      <c r="M386" s="276"/>
      <c r="N386" s="283"/>
      <c r="O386" s="276"/>
      <c r="P386" s="283"/>
      <c r="Q386" s="276"/>
      <c r="S386" s="283"/>
      <c r="T386" s="276"/>
      <c r="W386" s="283"/>
      <c r="X386" s="276"/>
      <c r="Y386" s="283"/>
      <c r="Z386" s="276"/>
      <c r="AA386" s="283"/>
      <c r="AB386" s="276"/>
      <c r="AC386" s="283"/>
      <c r="AE386" s="283"/>
      <c r="AF386" s="276"/>
      <c r="AI386" s="283"/>
      <c r="AJ386" s="276"/>
      <c r="AK386" s="283"/>
      <c r="AL386" s="276"/>
      <c r="AM386" s="283"/>
      <c r="AN386" s="276"/>
      <c r="AO386" s="283"/>
      <c r="AP386" s="276"/>
      <c r="AQ386" s="283"/>
      <c r="AR386" s="276"/>
      <c r="AT386" s="283"/>
      <c r="AU386" s="276"/>
      <c r="AV386" s="283"/>
      <c r="AW386" s="276"/>
      <c r="AX386" s="283"/>
      <c r="AY386" s="276"/>
      <c r="AZ386" s="283"/>
      <c r="BA386" s="276"/>
      <c r="BB386" s="283"/>
      <c r="BC386" s="276"/>
      <c r="BD386" s="283"/>
      <c r="BE386" s="276"/>
      <c r="BG386" s="283"/>
      <c r="BH386" s="276"/>
      <c r="BI386" s="283"/>
      <c r="BJ386" s="276"/>
      <c r="BK386" s="283"/>
      <c r="BL386" s="276"/>
      <c r="BM386" s="283"/>
      <c r="BN386" s="276"/>
      <c r="BO386" s="283"/>
      <c r="BP386" s="276"/>
      <c r="BQ386" s="283"/>
      <c r="BR386" s="283"/>
      <c r="BS386" s="276"/>
    </row>
    <row r="387" spans="12:71" ht="12" customHeight="1">
      <c r="L387" s="283"/>
      <c r="M387" s="276"/>
      <c r="N387" s="283"/>
      <c r="O387" s="276"/>
      <c r="P387" s="283"/>
      <c r="Q387" s="276"/>
      <c r="S387" s="283"/>
      <c r="T387" s="276"/>
      <c r="W387" s="283"/>
      <c r="X387" s="276"/>
      <c r="Y387" s="283"/>
      <c r="Z387" s="276"/>
      <c r="AA387" s="283"/>
      <c r="AB387" s="276"/>
      <c r="AC387" s="283"/>
      <c r="AE387" s="283"/>
      <c r="AF387" s="276"/>
      <c r="AI387" s="283"/>
      <c r="AJ387" s="276"/>
      <c r="AK387" s="283"/>
      <c r="AL387" s="276"/>
      <c r="AM387" s="283"/>
      <c r="AN387" s="276"/>
      <c r="AO387" s="283"/>
      <c r="AP387" s="276"/>
      <c r="AQ387" s="283"/>
      <c r="AR387" s="276"/>
      <c r="AT387" s="283"/>
      <c r="AU387" s="276"/>
      <c r="AV387" s="283"/>
      <c r="AW387" s="276"/>
      <c r="AX387" s="283"/>
      <c r="AY387" s="276"/>
      <c r="AZ387" s="283"/>
      <c r="BA387" s="276"/>
      <c r="BB387" s="283"/>
      <c r="BC387" s="276"/>
      <c r="BD387" s="283"/>
      <c r="BE387" s="276"/>
      <c r="BG387" s="283"/>
      <c r="BH387" s="276"/>
      <c r="BI387" s="283"/>
      <c r="BJ387" s="276"/>
      <c r="BK387" s="283"/>
      <c r="BL387" s="276"/>
      <c r="BM387" s="283"/>
      <c r="BN387" s="276"/>
      <c r="BO387" s="283"/>
      <c r="BP387" s="276"/>
      <c r="BQ387" s="283"/>
      <c r="BR387" s="283"/>
      <c r="BS387" s="276"/>
    </row>
    <row r="388" spans="12:71" ht="12" customHeight="1">
      <c r="L388" s="283"/>
      <c r="M388" s="276"/>
      <c r="N388" s="283"/>
      <c r="O388" s="276"/>
      <c r="P388" s="283"/>
      <c r="Q388" s="276"/>
      <c r="S388" s="283"/>
      <c r="T388" s="276"/>
      <c r="W388" s="283"/>
      <c r="X388" s="276"/>
      <c r="Y388" s="283"/>
      <c r="Z388" s="276"/>
      <c r="AA388" s="283"/>
      <c r="AB388" s="276"/>
      <c r="AC388" s="283"/>
      <c r="AE388" s="283"/>
      <c r="AF388" s="276"/>
      <c r="AI388" s="283"/>
      <c r="AJ388" s="276"/>
      <c r="AK388" s="283"/>
      <c r="AL388" s="276"/>
      <c r="AM388" s="283"/>
      <c r="AN388" s="276"/>
      <c r="AO388" s="283"/>
      <c r="AP388" s="276"/>
      <c r="AQ388" s="283"/>
      <c r="AR388" s="276"/>
      <c r="AT388" s="283"/>
      <c r="AU388" s="276"/>
      <c r="AV388" s="283"/>
      <c r="AW388" s="276"/>
      <c r="AX388" s="283"/>
      <c r="AY388" s="276"/>
      <c r="AZ388" s="283"/>
      <c r="BA388" s="276"/>
      <c r="BB388" s="283"/>
      <c r="BC388" s="276"/>
      <c r="BD388" s="283"/>
      <c r="BE388" s="276"/>
      <c r="BG388" s="283"/>
      <c r="BH388" s="276"/>
      <c r="BI388" s="283"/>
      <c r="BJ388" s="276"/>
      <c r="BK388" s="283"/>
      <c r="BL388" s="276"/>
      <c r="BM388" s="283"/>
      <c r="BN388" s="276"/>
      <c r="BO388" s="283"/>
      <c r="BP388" s="276"/>
      <c r="BQ388" s="283"/>
      <c r="BR388" s="283"/>
      <c r="BS388" s="276"/>
    </row>
    <row r="389" spans="12:71" ht="12" customHeight="1">
      <c r="L389" s="283"/>
      <c r="M389" s="276"/>
      <c r="N389" s="283"/>
      <c r="O389" s="276"/>
      <c r="P389" s="283"/>
      <c r="Q389" s="276"/>
      <c r="S389" s="283"/>
      <c r="T389" s="276"/>
      <c r="W389" s="283"/>
      <c r="X389" s="276"/>
      <c r="Y389" s="283"/>
      <c r="Z389" s="276"/>
      <c r="AA389" s="283"/>
      <c r="AB389" s="276"/>
      <c r="AC389" s="283"/>
      <c r="AE389" s="283"/>
      <c r="AF389" s="276"/>
      <c r="AI389" s="283"/>
      <c r="AJ389" s="276"/>
      <c r="AK389" s="283"/>
      <c r="AL389" s="276"/>
      <c r="AM389" s="283"/>
      <c r="AN389" s="276"/>
      <c r="AO389" s="283"/>
      <c r="AP389" s="276"/>
      <c r="AQ389" s="283"/>
      <c r="AR389" s="276"/>
      <c r="AT389" s="283"/>
      <c r="AU389" s="276"/>
      <c r="AV389" s="283"/>
      <c r="AW389" s="276"/>
      <c r="AX389" s="283"/>
      <c r="AY389" s="276"/>
      <c r="AZ389" s="283"/>
      <c r="BA389" s="276"/>
      <c r="BB389" s="283"/>
      <c r="BC389" s="276"/>
      <c r="BD389" s="283"/>
      <c r="BE389" s="276"/>
      <c r="BG389" s="283"/>
      <c r="BH389" s="276"/>
      <c r="BI389" s="283"/>
      <c r="BJ389" s="276"/>
      <c r="BK389" s="283"/>
      <c r="BL389" s="276"/>
      <c r="BM389" s="283"/>
      <c r="BN389" s="276"/>
      <c r="BO389" s="283"/>
      <c r="BP389" s="276"/>
      <c r="BQ389" s="283"/>
      <c r="BR389" s="283"/>
      <c r="BS389" s="276"/>
    </row>
    <row r="390" spans="12:71" ht="12" customHeight="1">
      <c r="L390" s="283"/>
      <c r="M390" s="276"/>
      <c r="N390" s="283"/>
      <c r="O390" s="276"/>
      <c r="P390" s="283"/>
      <c r="Q390" s="276"/>
      <c r="S390" s="283"/>
      <c r="T390" s="276"/>
      <c r="W390" s="283"/>
      <c r="X390" s="276"/>
      <c r="Y390" s="283"/>
      <c r="Z390" s="276"/>
      <c r="AA390" s="283"/>
      <c r="AB390" s="276"/>
      <c r="AC390" s="283"/>
      <c r="AE390" s="283"/>
      <c r="AF390" s="276"/>
      <c r="AI390" s="283"/>
      <c r="AJ390" s="276"/>
      <c r="AK390" s="283"/>
      <c r="AL390" s="276"/>
      <c r="AM390" s="283"/>
      <c r="AN390" s="276"/>
      <c r="AO390" s="283"/>
      <c r="AP390" s="276"/>
      <c r="AQ390" s="283"/>
      <c r="AR390" s="276"/>
      <c r="AT390" s="283"/>
      <c r="AU390" s="276"/>
      <c r="AV390" s="283"/>
      <c r="AW390" s="276"/>
      <c r="AX390" s="283"/>
      <c r="AY390" s="276"/>
      <c r="AZ390" s="283"/>
      <c r="BA390" s="276"/>
      <c r="BB390" s="283"/>
      <c r="BC390" s="276"/>
      <c r="BD390" s="283"/>
      <c r="BE390" s="276"/>
      <c r="BG390" s="283"/>
      <c r="BH390" s="276"/>
      <c r="BI390" s="283"/>
      <c r="BJ390" s="276"/>
      <c r="BK390" s="283"/>
      <c r="BL390" s="276"/>
      <c r="BM390" s="283"/>
      <c r="BN390" s="276"/>
      <c r="BO390" s="283"/>
      <c r="BP390" s="276"/>
      <c r="BQ390" s="283"/>
      <c r="BR390" s="283"/>
      <c r="BS390" s="276"/>
    </row>
    <row r="391" spans="12:71" ht="12" customHeight="1">
      <c r="L391" s="283"/>
      <c r="M391" s="276"/>
      <c r="N391" s="283"/>
      <c r="O391" s="276"/>
      <c r="P391" s="283"/>
      <c r="Q391" s="276"/>
      <c r="S391" s="283"/>
      <c r="T391" s="276"/>
      <c r="W391" s="283"/>
      <c r="X391" s="276"/>
      <c r="Y391" s="283"/>
      <c r="Z391" s="276"/>
      <c r="AA391" s="283"/>
      <c r="AB391" s="276"/>
      <c r="AC391" s="283"/>
      <c r="AE391" s="283"/>
      <c r="AF391" s="276"/>
      <c r="AI391" s="283"/>
      <c r="AJ391" s="276"/>
      <c r="AK391" s="283"/>
      <c r="AL391" s="276"/>
      <c r="AM391" s="283"/>
      <c r="AN391" s="276"/>
      <c r="AO391" s="283"/>
      <c r="AP391" s="276"/>
      <c r="AQ391" s="283"/>
      <c r="AR391" s="276"/>
      <c r="AT391" s="283"/>
      <c r="AU391" s="276"/>
      <c r="AV391" s="283"/>
      <c r="AW391" s="276"/>
      <c r="AX391" s="283"/>
      <c r="AY391" s="276"/>
      <c r="AZ391" s="283"/>
      <c r="BA391" s="276"/>
      <c r="BB391" s="283"/>
      <c r="BC391" s="276"/>
      <c r="BD391" s="283"/>
      <c r="BE391" s="276"/>
      <c r="BG391" s="283"/>
      <c r="BH391" s="276"/>
      <c r="BI391" s="283"/>
      <c r="BJ391" s="276"/>
      <c r="BK391" s="283"/>
      <c r="BL391" s="276"/>
      <c r="BM391" s="283"/>
      <c r="BN391" s="276"/>
      <c r="BO391" s="283"/>
      <c r="BP391" s="276"/>
      <c r="BQ391" s="283"/>
      <c r="BR391" s="283"/>
      <c r="BS391" s="276"/>
    </row>
    <row r="392" spans="12:71" ht="12" customHeight="1">
      <c r="L392" s="283"/>
      <c r="M392" s="276"/>
      <c r="N392" s="283"/>
      <c r="O392" s="276"/>
      <c r="P392" s="283"/>
      <c r="Q392" s="276"/>
      <c r="S392" s="283"/>
      <c r="T392" s="276"/>
      <c r="W392" s="283"/>
      <c r="X392" s="276"/>
      <c r="Y392" s="283"/>
      <c r="Z392" s="276"/>
      <c r="AA392" s="283"/>
      <c r="AB392" s="276"/>
      <c r="AC392" s="283"/>
      <c r="AE392" s="283"/>
      <c r="AF392" s="276"/>
      <c r="AI392" s="283"/>
      <c r="AJ392" s="276"/>
      <c r="AK392" s="283"/>
      <c r="AL392" s="276"/>
      <c r="AM392" s="283"/>
      <c r="AN392" s="276"/>
      <c r="AO392" s="283"/>
      <c r="AP392" s="276"/>
      <c r="AQ392" s="283"/>
      <c r="AR392" s="276"/>
      <c r="AT392" s="283"/>
      <c r="AU392" s="276"/>
      <c r="AV392" s="283"/>
      <c r="AW392" s="276"/>
      <c r="AX392" s="283"/>
      <c r="AY392" s="276"/>
      <c r="AZ392" s="283"/>
      <c r="BA392" s="276"/>
      <c r="BB392" s="283"/>
      <c r="BC392" s="276"/>
      <c r="BD392" s="283"/>
      <c r="BE392" s="276"/>
      <c r="BG392" s="283"/>
      <c r="BH392" s="276"/>
      <c r="BI392" s="283"/>
      <c r="BJ392" s="276"/>
      <c r="BK392" s="283"/>
      <c r="BL392" s="276"/>
      <c r="BM392" s="283"/>
      <c r="BN392" s="276"/>
      <c r="BO392" s="283"/>
      <c r="BP392" s="276"/>
      <c r="BQ392" s="283"/>
      <c r="BR392" s="283"/>
      <c r="BS392" s="276"/>
    </row>
    <row r="393" spans="12:71" ht="12" customHeight="1">
      <c r="L393" s="283"/>
      <c r="M393" s="276"/>
      <c r="N393" s="283"/>
      <c r="O393" s="276"/>
      <c r="P393" s="283"/>
      <c r="Q393" s="276"/>
      <c r="S393" s="283"/>
      <c r="T393" s="276"/>
      <c r="W393" s="283"/>
      <c r="X393" s="276"/>
      <c r="Y393" s="283"/>
      <c r="Z393" s="276"/>
      <c r="AA393" s="283"/>
      <c r="AB393" s="276"/>
      <c r="AC393" s="283"/>
      <c r="AE393" s="283"/>
      <c r="AF393" s="276"/>
      <c r="AI393" s="283"/>
      <c r="AJ393" s="276"/>
      <c r="AK393" s="283"/>
      <c r="AL393" s="276"/>
      <c r="AM393" s="283"/>
      <c r="AN393" s="276"/>
      <c r="AO393" s="283"/>
      <c r="AP393" s="276"/>
      <c r="AQ393" s="283"/>
      <c r="AR393" s="276"/>
      <c r="AT393" s="283"/>
      <c r="AU393" s="276"/>
      <c r="AV393" s="283"/>
      <c r="AW393" s="276"/>
      <c r="AX393" s="283"/>
      <c r="AY393" s="276"/>
      <c r="AZ393" s="283"/>
      <c r="BA393" s="276"/>
      <c r="BB393" s="283"/>
      <c r="BC393" s="276"/>
      <c r="BD393" s="283"/>
      <c r="BE393" s="276"/>
      <c r="BG393" s="283"/>
      <c r="BH393" s="276"/>
      <c r="BI393" s="283"/>
      <c r="BJ393" s="276"/>
      <c r="BK393" s="283"/>
      <c r="BL393" s="276"/>
      <c r="BM393" s="283"/>
      <c r="BN393" s="276"/>
      <c r="BO393" s="283"/>
      <c r="BP393" s="276"/>
      <c r="BQ393" s="283"/>
      <c r="BR393" s="283"/>
      <c r="BS393" s="276"/>
    </row>
    <row r="394" spans="12:71" ht="12" customHeight="1">
      <c r="L394" s="283"/>
      <c r="M394" s="276"/>
      <c r="N394" s="283"/>
      <c r="O394" s="276"/>
      <c r="P394" s="283"/>
      <c r="Q394" s="276"/>
      <c r="S394" s="283"/>
      <c r="T394" s="276"/>
      <c r="W394" s="283"/>
      <c r="X394" s="276"/>
      <c r="Y394" s="283"/>
      <c r="Z394" s="276"/>
      <c r="AA394" s="283"/>
      <c r="AB394" s="276"/>
      <c r="AC394" s="283"/>
      <c r="AE394" s="283"/>
      <c r="AF394" s="276"/>
      <c r="AI394" s="283"/>
      <c r="AJ394" s="276"/>
      <c r="AK394" s="283"/>
      <c r="AL394" s="276"/>
      <c r="AM394" s="283"/>
      <c r="AN394" s="276"/>
      <c r="AO394" s="283"/>
      <c r="AP394" s="276"/>
      <c r="AQ394" s="283"/>
      <c r="AR394" s="276"/>
      <c r="AT394" s="283"/>
      <c r="AU394" s="276"/>
      <c r="AV394" s="283"/>
      <c r="AW394" s="276"/>
      <c r="AX394" s="283"/>
      <c r="AY394" s="276"/>
      <c r="AZ394" s="283"/>
      <c r="BA394" s="276"/>
      <c r="BB394" s="283"/>
      <c r="BC394" s="276"/>
      <c r="BD394" s="283"/>
      <c r="BE394" s="276"/>
      <c r="BG394" s="283"/>
      <c r="BH394" s="276"/>
      <c r="BI394" s="283"/>
      <c r="BJ394" s="276"/>
      <c r="BK394" s="283"/>
      <c r="BL394" s="276"/>
      <c r="BM394" s="283"/>
      <c r="BN394" s="276"/>
      <c r="BO394" s="283"/>
      <c r="BP394" s="276"/>
      <c r="BQ394" s="283"/>
      <c r="BR394" s="283"/>
      <c r="BS394" s="276"/>
    </row>
    <row r="395" spans="12:71" ht="12" customHeight="1">
      <c r="L395" s="283"/>
      <c r="M395" s="276"/>
      <c r="N395" s="283"/>
      <c r="O395" s="276"/>
      <c r="P395" s="283"/>
      <c r="Q395" s="276"/>
      <c r="S395" s="283"/>
      <c r="T395" s="276"/>
      <c r="W395" s="283"/>
      <c r="X395" s="276"/>
      <c r="Y395" s="283"/>
      <c r="Z395" s="276"/>
      <c r="AA395" s="283"/>
      <c r="AB395" s="276"/>
      <c r="AC395" s="283"/>
      <c r="AE395" s="283"/>
      <c r="AF395" s="276"/>
      <c r="AI395" s="283"/>
      <c r="AJ395" s="276"/>
      <c r="AK395" s="283"/>
      <c r="AL395" s="276"/>
      <c r="AM395" s="283"/>
      <c r="AN395" s="276"/>
      <c r="AO395" s="283"/>
      <c r="AP395" s="276"/>
      <c r="AQ395" s="283"/>
      <c r="AR395" s="276"/>
      <c r="AT395" s="283"/>
      <c r="AU395" s="276"/>
      <c r="AV395" s="283"/>
      <c r="AW395" s="276"/>
      <c r="AX395" s="283"/>
      <c r="AY395" s="276"/>
      <c r="AZ395" s="283"/>
      <c r="BA395" s="276"/>
      <c r="BB395" s="283"/>
      <c r="BC395" s="276"/>
      <c r="BD395" s="283"/>
      <c r="BE395" s="276"/>
      <c r="BG395" s="283"/>
      <c r="BH395" s="276"/>
      <c r="BI395" s="283"/>
      <c r="BJ395" s="276"/>
      <c r="BK395" s="283"/>
      <c r="BL395" s="276"/>
      <c r="BM395" s="283"/>
      <c r="BN395" s="276"/>
      <c r="BO395" s="283"/>
      <c r="BP395" s="276"/>
      <c r="BQ395" s="283"/>
      <c r="BR395" s="283"/>
      <c r="BS395" s="276"/>
    </row>
    <row r="396" spans="12:71" ht="12" customHeight="1">
      <c r="L396" s="283"/>
      <c r="M396" s="276"/>
      <c r="N396" s="283"/>
      <c r="O396" s="276"/>
      <c r="P396" s="283"/>
      <c r="Q396" s="276"/>
      <c r="S396" s="283"/>
      <c r="T396" s="276"/>
      <c r="W396" s="283"/>
      <c r="X396" s="276"/>
      <c r="Y396" s="283"/>
      <c r="Z396" s="276"/>
      <c r="AA396" s="283"/>
      <c r="AB396" s="276"/>
      <c r="AC396" s="283"/>
      <c r="AE396" s="283"/>
      <c r="AF396" s="276"/>
      <c r="AI396" s="283"/>
      <c r="AJ396" s="276"/>
      <c r="AK396" s="283"/>
      <c r="AL396" s="276"/>
      <c r="AM396" s="283"/>
      <c r="AN396" s="276"/>
      <c r="AO396" s="283"/>
      <c r="AP396" s="276"/>
      <c r="AQ396" s="283"/>
      <c r="AR396" s="276"/>
      <c r="AT396" s="283"/>
      <c r="AU396" s="276"/>
      <c r="AV396" s="283"/>
      <c r="AW396" s="276"/>
      <c r="AX396" s="283"/>
      <c r="AY396" s="276"/>
      <c r="AZ396" s="283"/>
      <c r="BA396" s="276"/>
      <c r="BB396" s="283"/>
      <c r="BC396" s="276"/>
      <c r="BD396" s="283"/>
      <c r="BE396" s="276"/>
      <c r="BG396" s="283"/>
      <c r="BH396" s="276"/>
      <c r="BI396" s="283"/>
      <c r="BJ396" s="276"/>
      <c r="BK396" s="283"/>
      <c r="BL396" s="276"/>
      <c r="BM396" s="283"/>
      <c r="BN396" s="276"/>
      <c r="BO396" s="283"/>
      <c r="BP396" s="276"/>
      <c r="BQ396" s="283"/>
      <c r="BR396" s="283"/>
      <c r="BS396" s="276"/>
    </row>
    <row r="397" spans="12:71" ht="12" customHeight="1">
      <c r="L397" s="283"/>
      <c r="M397" s="276"/>
      <c r="N397" s="283"/>
      <c r="O397" s="276"/>
      <c r="P397" s="283"/>
      <c r="Q397" s="276"/>
      <c r="S397" s="283"/>
      <c r="T397" s="276"/>
      <c r="W397" s="283"/>
      <c r="X397" s="276"/>
      <c r="Y397" s="283"/>
      <c r="Z397" s="276"/>
      <c r="AA397" s="283"/>
      <c r="AB397" s="276"/>
      <c r="AC397" s="283"/>
      <c r="AE397" s="283"/>
      <c r="AF397" s="276"/>
      <c r="AI397" s="283"/>
      <c r="AJ397" s="276"/>
      <c r="AK397" s="283"/>
      <c r="AL397" s="276"/>
      <c r="AM397" s="283"/>
      <c r="AN397" s="276"/>
      <c r="AO397" s="283"/>
      <c r="AP397" s="276"/>
      <c r="AQ397" s="283"/>
      <c r="AR397" s="276"/>
      <c r="AT397" s="283"/>
      <c r="AU397" s="276"/>
      <c r="AV397" s="283"/>
      <c r="AW397" s="276"/>
      <c r="AX397" s="283"/>
      <c r="AY397" s="276"/>
      <c r="AZ397" s="283"/>
      <c r="BA397" s="276"/>
      <c r="BB397" s="283"/>
      <c r="BC397" s="276"/>
      <c r="BD397" s="283"/>
      <c r="BE397" s="276"/>
      <c r="BG397" s="283"/>
      <c r="BH397" s="276"/>
      <c r="BI397" s="283"/>
      <c r="BJ397" s="276"/>
      <c r="BK397" s="283"/>
      <c r="BL397" s="276"/>
      <c r="BM397" s="283"/>
      <c r="BN397" s="276"/>
      <c r="BO397" s="283"/>
      <c r="BP397" s="276"/>
      <c r="BQ397" s="283"/>
      <c r="BR397" s="283"/>
      <c r="BS397" s="276"/>
    </row>
    <row r="398" spans="12:71" ht="12" customHeight="1">
      <c r="L398" s="283"/>
      <c r="M398" s="276"/>
      <c r="N398" s="283"/>
      <c r="O398" s="276"/>
      <c r="P398" s="283"/>
      <c r="Q398" s="276"/>
      <c r="S398" s="283"/>
      <c r="T398" s="276"/>
      <c r="W398" s="283"/>
      <c r="X398" s="276"/>
      <c r="Y398" s="283"/>
      <c r="Z398" s="276"/>
      <c r="AA398" s="283"/>
      <c r="AB398" s="276"/>
      <c r="AC398" s="283"/>
      <c r="AE398" s="283"/>
      <c r="AF398" s="276"/>
      <c r="AI398" s="283"/>
      <c r="AJ398" s="276"/>
      <c r="AK398" s="283"/>
      <c r="AL398" s="276"/>
      <c r="AM398" s="283"/>
      <c r="AN398" s="276"/>
      <c r="AO398" s="283"/>
      <c r="AP398" s="276"/>
      <c r="AQ398" s="283"/>
      <c r="AR398" s="276"/>
      <c r="AT398" s="283"/>
      <c r="AU398" s="276"/>
      <c r="AV398" s="283"/>
      <c r="AW398" s="276"/>
      <c r="AX398" s="283"/>
      <c r="AY398" s="276"/>
      <c r="AZ398" s="283"/>
      <c r="BA398" s="276"/>
      <c r="BB398" s="283"/>
      <c r="BC398" s="276"/>
      <c r="BD398" s="283"/>
      <c r="BE398" s="276"/>
      <c r="BG398" s="283"/>
      <c r="BH398" s="276"/>
      <c r="BI398" s="283"/>
      <c r="BJ398" s="276"/>
      <c r="BK398" s="283"/>
      <c r="BL398" s="276"/>
      <c r="BM398" s="283"/>
      <c r="BN398" s="276"/>
      <c r="BO398" s="283"/>
      <c r="BP398" s="276"/>
      <c r="BQ398" s="283"/>
      <c r="BR398" s="283"/>
      <c r="BS398" s="276"/>
    </row>
    <row r="399" spans="12:71" ht="12" customHeight="1">
      <c r="L399" s="283"/>
      <c r="M399" s="276"/>
      <c r="N399" s="283"/>
      <c r="O399" s="276"/>
      <c r="P399" s="283"/>
      <c r="Q399" s="276"/>
      <c r="S399" s="283"/>
      <c r="T399" s="276"/>
      <c r="W399" s="283"/>
      <c r="X399" s="276"/>
      <c r="Y399" s="283"/>
      <c r="Z399" s="276"/>
      <c r="AA399" s="283"/>
      <c r="AB399" s="276"/>
      <c r="AC399" s="283"/>
      <c r="AE399" s="283"/>
      <c r="AF399" s="276"/>
      <c r="AI399" s="283"/>
      <c r="AJ399" s="276"/>
      <c r="AK399" s="283"/>
      <c r="AL399" s="276"/>
      <c r="AM399" s="283"/>
      <c r="AN399" s="276"/>
      <c r="AO399" s="283"/>
      <c r="AP399" s="276"/>
      <c r="AQ399" s="283"/>
      <c r="AR399" s="276"/>
      <c r="AT399" s="283"/>
      <c r="AU399" s="276"/>
      <c r="AV399" s="283"/>
      <c r="AW399" s="276"/>
      <c r="AX399" s="283"/>
      <c r="AY399" s="276"/>
      <c r="AZ399" s="283"/>
      <c r="BA399" s="276"/>
      <c r="BB399" s="283"/>
      <c r="BC399" s="276"/>
      <c r="BD399" s="283"/>
      <c r="BE399" s="276"/>
      <c r="BG399" s="283"/>
      <c r="BH399" s="276"/>
      <c r="BI399" s="283"/>
      <c r="BJ399" s="276"/>
      <c r="BK399" s="283"/>
      <c r="BL399" s="276"/>
      <c r="BM399" s="283"/>
      <c r="BN399" s="276"/>
      <c r="BO399" s="283"/>
      <c r="BP399" s="276"/>
      <c r="BQ399" s="283"/>
      <c r="BR399" s="283"/>
      <c r="BS399" s="276"/>
    </row>
    <row r="400" spans="12:71" ht="12" customHeight="1">
      <c r="L400" s="283"/>
      <c r="M400" s="276"/>
      <c r="N400" s="283"/>
      <c r="O400" s="276"/>
      <c r="P400" s="283"/>
      <c r="Q400" s="276"/>
      <c r="S400" s="283"/>
      <c r="T400" s="276"/>
      <c r="W400" s="283"/>
      <c r="X400" s="276"/>
      <c r="Y400" s="283"/>
      <c r="Z400" s="276"/>
      <c r="AA400" s="283"/>
      <c r="AB400" s="276"/>
      <c r="AC400" s="283"/>
      <c r="AE400" s="283"/>
      <c r="AF400" s="276"/>
      <c r="AI400" s="283"/>
      <c r="AJ400" s="276"/>
      <c r="AK400" s="283"/>
      <c r="AL400" s="276"/>
      <c r="AM400" s="283"/>
      <c r="AN400" s="276"/>
      <c r="AO400" s="283"/>
      <c r="AP400" s="276"/>
      <c r="AQ400" s="283"/>
      <c r="AR400" s="276"/>
      <c r="AT400" s="283"/>
      <c r="AU400" s="276"/>
      <c r="AV400" s="283"/>
      <c r="AW400" s="276"/>
      <c r="AX400" s="283"/>
      <c r="AY400" s="276"/>
      <c r="AZ400" s="283"/>
      <c r="BA400" s="276"/>
      <c r="BB400" s="283"/>
      <c r="BC400" s="276"/>
      <c r="BD400" s="283"/>
      <c r="BE400" s="276"/>
      <c r="BG400" s="283"/>
      <c r="BH400" s="276"/>
      <c r="BI400" s="283"/>
      <c r="BJ400" s="276"/>
      <c r="BK400" s="283"/>
      <c r="BL400" s="276"/>
      <c r="BM400" s="283"/>
      <c r="BN400" s="276"/>
      <c r="BO400" s="283"/>
      <c r="BP400" s="276"/>
      <c r="BQ400" s="283"/>
      <c r="BR400" s="283"/>
      <c r="BS400" s="276"/>
    </row>
    <row r="401" spans="12:71" ht="12" customHeight="1">
      <c r="L401" s="283"/>
      <c r="M401" s="276"/>
      <c r="N401" s="283"/>
      <c r="O401" s="276"/>
      <c r="P401" s="283"/>
      <c r="Q401" s="276"/>
      <c r="S401" s="283"/>
      <c r="T401" s="276"/>
      <c r="W401" s="283"/>
      <c r="X401" s="276"/>
      <c r="Y401" s="283"/>
      <c r="Z401" s="276"/>
      <c r="AA401" s="283"/>
      <c r="AB401" s="276"/>
      <c r="AC401" s="283"/>
      <c r="AE401" s="283"/>
      <c r="AF401" s="276"/>
      <c r="AI401" s="283"/>
      <c r="AJ401" s="276"/>
      <c r="AK401" s="283"/>
      <c r="AL401" s="276"/>
      <c r="AM401" s="283"/>
      <c r="AN401" s="276"/>
      <c r="AO401" s="283"/>
      <c r="AP401" s="276"/>
      <c r="AQ401" s="283"/>
      <c r="AR401" s="276"/>
      <c r="AT401" s="283"/>
      <c r="AU401" s="276"/>
      <c r="AV401" s="283"/>
      <c r="AW401" s="276"/>
      <c r="AX401" s="283"/>
      <c r="AY401" s="276"/>
      <c r="AZ401" s="283"/>
      <c r="BA401" s="276"/>
      <c r="BB401" s="283"/>
      <c r="BC401" s="276"/>
      <c r="BD401" s="283"/>
      <c r="BE401" s="276"/>
      <c r="BG401" s="283"/>
      <c r="BH401" s="276"/>
      <c r="BI401" s="283"/>
      <c r="BJ401" s="276"/>
      <c r="BK401" s="283"/>
      <c r="BL401" s="276"/>
      <c r="BM401" s="283"/>
      <c r="BN401" s="276"/>
      <c r="BO401" s="283"/>
      <c r="BP401" s="276"/>
      <c r="BQ401" s="283"/>
      <c r="BR401" s="283"/>
      <c r="BS401" s="276"/>
    </row>
    <row r="402" spans="12:71" ht="12" customHeight="1">
      <c r="L402" s="283"/>
      <c r="M402" s="276"/>
      <c r="N402" s="283"/>
      <c r="O402" s="276"/>
      <c r="P402" s="283"/>
      <c r="Q402" s="276"/>
      <c r="S402" s="283"/>
      <c r="T402" s="276"/>
      <c r="W402" s="283"/>
      <c r="X402" s="276"/>
      <c r="Y402" s="283"/>
      <c r="Z402" s="276"/>
      <c r="AA402" s="283"/>
      <c r="AB402" s="276"/>
      <c r="AC402" s="283"/>
      <c r="AE402" s="283"/>
      <c r="AF402" s="276"/>
      <c r="AI402" s="283"/>
      <c r="AJ402" s="276"/>
      <c r="AK402" s="283"/>
      <c r="AL402" s="276"/>
      <c r="AM402" s="283"/>
      <c r="AN402" s="276"/>
      <c r="AO402" s="283"/>
      <c r="AP402" s="276"/>
      <c r="AQ402" s="283"/>
      <c r="AR402" s="276"/>
      <c r="AT402" s="283"/>
      <c r="AU402" s="276"/>
      <c r="AV402" s="283"/>
      <c r="AW402" s="276"/>
      <c r="AX402" s="283"/>
      <c r="AY402" s="276"/>
      <c r="AZ402" s="283"/>
      <c r="BA402" s="276"/>
      <c r="BB402" s="283"/>
      <c r="BC402" s="276"/>
      <c r="BD402" s="283"/>
      <c r="BE402" s="276"/>
      <c r="BG402" s="283"/>
      <c r="BH402" s="276"/>
      <c r="BI402" s="283"/>
      <c r="BJ402" s="276"/>
      <c r="BK402" s="283"/>
      <c r="BL402" s="276"/>
      <c r="BM402" s="283"/>
      <c r="BN402" s="276"/>
      <c r="BO402" s="283"/>
      <c r="BP402" s="276"/>
      <c r="BQ402" s="283"/>
      <c r="BR402" s="283"/>
      <c r="BS402" s="276"/>
    </row>
    <row r="403" spans="12:71" ht="12" customHeight="1">
      <c r="L403" s="283"/>
      <c r="M403" s="276"/>
      <c r="N403" s="283"/>
      <c r="O403" s="276"/>
      <c r="P403" s="283"/>
      <c r="Q403" s="276"/>
      <c r="S403" s="283"/>
      <c r="T403" s="276"/>
      <c r="W403" s="283"/>
      <c r="X403" s="276"/>
      <c r="Y403" s="283"/>
      <c r="Z403" s="276"/>
      <c r="AA403" s="283"/>
      <c r="AB403" s="276"/>
      <c r="AC403" s="283"/>
      <c r="AE403" s="283"/>
      <c r="AF403" s="276"/>
      <c r="AI403" s="283"/>
      <c r="AJ403" s="276"/>
      <c r="AK403" s="283"/>
      <c r="AL403" s="276"/>
      <c r="AM403" s="283"/>
      <c r="AN403" s="276"/>
      <c r="AO403" s="283"/>
      <c r="AP403" s="276"/>
      <c r="AQ403" s="283"/>
      <c r="AR403" s="276"/>
      <c r="AT403" s="283"/>
      <c r="AU403" s="276"/>
      <c r="AV403" s="283"/>
      <c r="AW403" s="276"/>
      <c r="AX403" s="283"/>
      <c r="AY403" s="276"/>
      <c r="AZ403" s="283"/>
      <c r="BA403" s="276"/>
      <c r="BB403" s="283"/>
      <c r="BC403" s="276"/>
      <c r="BD403" s="283"/>
      <c r="BE403" s="276"/>
      <c r="BG403" s="283"/>
      <c r="BH403" s="276"/>
      <c r="BI403" s="283"/>
      <c r="BJ403" s="276"/>
      <c r="BK403" s="283"/>
      <c r="BL403" s="276"/>
      <c r="BM403" s="283"/>
      <c r="BN403" s="276"/>
      <c r="BO403" s="283"/>
      <c r="BP403" s="276"/>
      <c r="BQ403" s="283"/>
      <c r="BR403" s="283"/>
      <c r="BS403" s="276"/>
    </row>
    <row r="404" spans="12:71" ht="12" customHeight="1">
      <c r="L404" s="283"/>
      <c r="M404" s="276"/>
      <c r="N404" s="283"/>
      <c r="O404" s="276"/>
      <c r="P404" s="283"/>
      <c r="Q404" s="276"/>
      <c r="S404" s="283"/>
      <c r="T404" s="276"/>
      <c r="W404" s="283"/>
      <c r="X404" s="276"/>
      <c r="Y404" s="283"/>
      <c r="Z404" s="276"/>
      <c r="AA404" s="283"/>
      <c r="AB404" s="276"/>
      <c r="AC404" s="283"/>
      <c r="AE404" s="283"/>
      <c r="AF404" s="276"/>
      <c r="AI404" s="283"/>
      <c r="AJ404" s="276"/>
      <c r="AK404" s="283"/>
      <c r="AL404" s="276"/>
      <c r="AM404" s="283"/>
      <c r="AN404" s="276"/>
      <c r="AO404" s="283"/>
      <c r="AP404" s="276"/>
      <c r="AQ404" s="283"/>
      <c r="AR404" s="276"/>
      <c r="AT404" s="283"/>
      <c r="AU404" s="276"/>
      <c r="AV404" s="283"/>
      <c r="AW404" s="276"/>
      <c r="AX404" s="283"/>
      <c r="AY404" s="276"/>
      <c r="AZ404" s="283"/>
      <c r="BA404" s="276"/>
      <c r="BB404" s="283"/>
      <c r="BC404" s="276"/>
      <c r="BD404" s="283"/>
      <c r="BE404" s="276"/>
      <c r="BG404" s="283"/>
      <c r="BH404" s="276"/>
      <c r="BI404" s="283"/>
      <c r="BJ404" s="276"/>
      <c r="BK404" s="283"/>
      <c r="BL404" s="276"/>
      <c r="BM404" s="283"/>
      <c r="BN404" s="276"/>
      <c r="BO404" s="283"/>
      <c r="BP404" s="276"/>
      <c r="BQ404" s="283"/>
      <c r="BR404" s="283"/>
      <c r="BS404" s="276"/>
    </row>
    <row r="405" spans="12:71" ht="12" customHeight="1">
      <c r="L405" s="283"/>
      <c r="M405" s="276"/>
      <c r="N405" s="283"/>
      <c r="O405" s="276"/>
      <c r="P405" s="283"/>
      <c r="Q405" s="276"/>
      <c r="S405" s="283"/>
      <c r="T405" s="276"/>
      <c r="W405" s="283"/>
      <c r="X405" s="276"/>
      <c r="Y405" s="283"/>
      <c r="Z405" s="276"/>
      <c r="AA405" s="283"/>
      <c r="AB405" s="276"/>
      <c r="AC405" s="283"/>
      <c r="AE405" s="283"/>
      <c r="AF405" s="276"/>
      <c r="AI405" s="283"/>
      <c r="AJ405" s="276"/>
      <c r="AK405" s="283"/>
      <c r="AL405" s="276"/>
      <c r="AM405" s="283"/>
      <c r="AN405" s="276"/>
      <c r="AO405" s="283"/>
      <c r="AP405" s="276"/>
      <c r="AQ405" s="283"/>
      <c r="AR405" s="276"/>
      <c r="AT405" s="283"/>
      <c r="AU405" s="276"/>
      <c r="AV405" s="283"/>
      <c r="AW405" s="276"/>
      <c r="AX405" s="283"/>
      <c r="AY405" s="276"/>
      <c r="AZ405" s="283"/>
      <c r="BA405" s="276"/>
      <c r="BB405" s="283"/>
      <c r="BC405" s="276"/>
      <c r="BD405" s="283"/>
      <c r="BE405" s="276"/>
      <c r="BG405" s="283"/>
      <c r="BH405" s="276"/>
      <c r="BI405" s="283"/>
      <c r="BJ405" s="276"/>
      <c r="BK405" s="283"/>
      <c r="BL405" s="276"/>
      <c r="BM405" s="283"/>
      <c r="BN405" s="276"/>
      <c r="BO405" s="283"/>
      <c r="BP405" s="276"/>
      <c r="BQ405" s="283"/>
      <c r="BR405" s="283"/>
      <c r="BS405" s="276"/>
    </row>
    <row r="406" spans="12:71" ht="12" customHeight="1">
      <c r="L406" s="283"/>
      <c r="M406" s="276"/>
      <c r="N406" s="283"/>
      <c r="O406" s="276"/>
      <c r="P406" s="283"/>
      <c r="Q406" s="276"/>
      <c r="S406" s="283"/>
      <c r="T406" s="276"/>
      <c r="W406" s="283"/>
      <c r="X406" s="276"/>
      <c r="Y406" s="283"/>
      <c r="Z406" s="276"/>
      <c r="AA406" s="283"/>
      <c r="AB406" s="276"/>
      <c r="AC406" s="283"/>
      <c r="AE406" s="283"/>
      <c r="AF406" s="276"/>
      <c r="AI406" s="283"/>
      <c r="AJ406" s="276"/>
      <c r="AK406" s="283"/>
      <c r="AL406" s="276"/>
      <c r="AM406" s="283"/>
      <c r="AN406" s="276"/>
      <c r="AO406" s="283"/>
      <c r="AP406" s="276"/>
      <c r="AQ406" s="283"/>
      <c r="AR406" s="276"/>
      <c r="AT406" s="283"/>
      <c r="AU406" s="276"/>
      <c r="AV406" s="283"/>
      <c r="AW406" s="276"/>
      <c r="AX406" s="283"/>
      <c r="AY406" s="276"/>
      <c r="AZ406" s="283"/>
      <c r="BA406" s="276"/>
      <c r="BB406" s="283"/>
      <c r="BC406" s="276"/>
      <c r="BD406" s="283"/>
      <c r="BE406" s="276"/>
      <c r="BG406" s="283"/>
      <c r="BH406" s="276"/>
      <c r="BI406" s="283"/>
      <c r="BJ406" s="276"/>
      <c r="BK406" s="283"/>
      <c r="BL406" s="276"/>
      <c r="BM406" s="283"/>
      <c r="BN406" s="276"/>
      <c r="BO406" s="283"/>
      <c r="BP406" s="276"/>
      <c r="BQ406" s="283"/>
      <c r="BR406" s="283"/>
      <c r="BS406" s="276"/>
    </row>
    <row r="407" spans="12:71" ht="12" customHeight="1">
      <c r="L407" s="283"/>
      <c r="M407" s="276"/>
      <c r="N407" s="283"/>
      <c r="O407" s="276"/>
      <c r="P407" s="283"/>
      <c r="Q407" s="276"/>
      <c r="S407" s="283"/>
      <c r="T407" s="276"/>
      <c r="W407" s="283"/>
      <c r="X407" s="276"/>
      <c r="Y407" s="283"/>
      <c r="Z407" s="276"/>
      <c r="AA407" s="283"/>
      <c r="AB407" s="276"/>
      <c r="AC407" s="283"/>
      <c r="AE407" s="283"/>
      <c r="AF407" s="276"/>
      <c r="AI407" s="283"/>
      <c r="AJ407" s="276"/>
      <c r="AK407" s="283"/>
      <c r="AL407" s="276"/>
      <c r="AM407" s="283"/>
      <c r="AN407" s="276"/>
      <c r="AO407" s="283"/>
      <c r="AP407" s="276"/>
      <c r="AQ407" s="283"/>
      <c r="AR407" s="276"/>
      <c r="AT407" s="283"/>
      <c r="AU407" s="276"/>
      <c r="AV407" s="283"/>
      <c r="AW407" s="276"/>
      <c r="AX407" s="283"/>
      <c r="AY407" s="276"/>
      <c r="AZ407" s="283"/>
      <c r="BA407" s="276"/>
      <c r="BB407" s="283"/>
      <c r="BC407" s="276"/>
      <c r="BD407" s="283"/>
      <c r="BE407" s="276"/>
      <c r="BG407" s="283"/>
      <c r="BH407" s="276"/>
      <c r="BI407" s="283"/>
      <c r="BJ407" s="276"/>
      <c r="BK407" s="283"/>
      <c r="BL407" s="276"/>
      <c r="BM407" s="283"/>
      <c r="BN407" s="276"/>
      <c r="BO407" s="283"/>
      <c r="BP407" s="276"/>
      <c r="BQ407" s="283"/>
      <c r="BR407" s="283"/>
      <c r="BS407" s="276"/>
    </row>
    <row r="408" spans="12:71" ht="12" customHeight="1">
      <c r="L408" s="283"/>
      <c r="M408" s="276"/>
      <c r="N408" s="283"/>
      <c r="O408" s="276"/>
      <c r="P408" s="283"/>
      <c r="Q408" s="276"/>
      <c r="S408" s="283"/>
      <c r="T408" s="276"/>
      <c r="W408" s="283"/>
      <c r="X408" s="276"/>
      <c r="Y408" s="283"/>
      <c r="Z408" s="276"/>
      <c r="AA408" s="283"/>
      <c r="AB408" s="276"/>
      <c r="AC408" s="283"/>
      <c r="AE408" s="283"/>
      <c r="AF408" s="276"/>
      <c r="AI408" s="283"/>
      <c r="AJ408" s="276"/>
      <c r="AK408" s="283"/>
      <c r="AL408" s="276"/>
      <c r="AM408" s="283"/>
      <c r="AN408" s="276"/>
      <c r="AO408" s="283"/>
      <c r="AP408" s="276"/>
      <c r="AQ408" s="283"/>
      <c r="AR408" s="276"/>
      <c r="AT408" s="283"/>
      <c r="AU408" s="276"/>
      <c r="AV408" s="283"/>
      <c r="AW408" s="276"/>
      <c r="AX408" s="283"/>
      <c r="AY408" s="276"/>
      <c r="AZ408" s="283"/>
      <c r="BA408" s="276"/>
      <c r="BB408" s="283"/>
      <c r="BC408" s="276"/>
      <c r="BD408" s="283"/>
      <c r="BE408" s="276"/>
      <c r="BG408" s="283"/>
      <c r="BH408" s="276"/>
      <c r="BI408" s="283"/>
      <c r="BJ408" s="276"/>
      <c r="BK408" s="283"/>
      <c r="BL408" s="276"/>
      <c r="BM408" s="283"/>
      <c r="BN408" s="276"/>
      <c r="BO408" s="283"/>
      <c r="BP408" s="276"/>
      <c r="BQ408" s="283"/>
      <c r="BR408" s="283"/>
      <c r="BS408" s="276"/>
    </row>
    <row r="409" spans="12:71" ht="12" customHeight="1">
      <c r="L409" s="283"/>
      <c r="M409" s="276"/>
      <c r="N409" s="283"/>
      <c r="O409" s="276"/>
      <c r="P409" s="283"/>
      <c r="Q409" s="276"/>
      <c r="S409" s="283"/>
      <c r="T409" s="276"/>
      <c r="W409" s="283"/>
      <c r="X409" s="276"/>
      <c r="Y409" s="283"/>
      <c r="Z409" s="276"/>
      <c r="AA409" s="283"/>
      <c r="AB409" s="276"/>
      <c r="AC409" s="283"/>
      <c r="AE409" s="283"/>
      <c r="AF409" s="276"/>
      <c r="AI409" s="283"/>
      <c r="AJ409" s="276"/>
      <c r="AK409" s="283"/>
      <c r="AL409" s="276"/>
      <c r="AM409" s="283"/>
      <c r="AN409" s="276"/>
      <c r="AO409" s="283"/>
      <c r="AP409" s="276"/>
      <c r="AQ409" s="283"/>
      <c r="AR409" s="276"/>
      <c r="AT409" s="283"/>
      <c r="AU409" s="276"/>
      <c r="AV409" s="283"/>
      <c r="AW409" s="276"/>
      <c r="AX409" s="283"/>
      <c r="AY409" s="276"/>
      <c r="AZ409" s="283"/>
      <c r="BA409" s="276"/>
      <c r="BB409" s="283"/>
      <c r="BC409" s="276"/>
      <c r="BD409" s="283"/>
      <c r="BE409" s="276"/>
      <c r="BG409" s="283"/>
      <c r="BH409" s="276"/>
      <c r="BI409" s="283"/>
      <c r="BJ409" s="276"/>
      <c r="BK409" s="283"/>
      <c r="BL409" s="276"/>
      <c r="BM409" s="283"/>
      <c r="BN409" s="276"/>
      <c r="BO409" s="283"/>
      <c r="BP409" s="276"/>
      <c r="BQ409" s="283"/>
      <c r="BR409" s="283"/>
      <c r="BS409" s="276"/>
    </row>
    <row r="410" spans="12:71" ht="12" customHeight="1">
      <c r="L410" s="283"/>
      <c r="M410" s="276"/>
      <c r="N410" s="283"/>
      <c r="O410" s="276"/>
      <c r="P410" s="283"/>
      <c r="Q410" s="276"/>
      <c r="S410" s="283"/>
      <c r="T410" s="276"/>
      <c r="W410" s="283"/>
      <c r="X410" s="276"/>
      <c r="Y410" s="283"/>
      <c r="Z410" s="276"/>
      <c r="AA410" s="283"/>
      <c r="AB410" s="276"/>
      <c r="AC410" s="283"/>
      <c r="AE410" s="283"/>
      <c r="AF410" s="276"/>
      <c r="AI410" s="283"/>
      <c r="AJ410" s="276"/>
      <c r="AK410" s="283"/>
      <c r="AL410" s="276"/>
      <c r="AM410" s="283"/>
      <c r="AN410" s="276"/>
      <c r="AO410" s="283"/>
      <c r="AP410" s="276"/>
      <c r="AQ410" s="283"/>
      <c r="AR410" s="276"/>
      <c r="AT410" s="283"/>
      <c r="AU410" s="276"/>
      <c r="AV410" s="283"/>
      <c r="AW410" s="276"/>
      <c r="AX410" s="283"/>
      <c r="AY410" s="276"/>
      <c r="AZ410" s="283"/>
      <c r="BA410" s="276"/>
      <c r="BB410" s="283"/>
      <c r="BC410" s="276"/>
      <c r="BD410" s="283"/>
      <c r="BE410" s="276"/>
      <c r="BG410" s="283"/>
      <c r="BH410" s="276"/>
      <c r="BI410" s="283"/>
      <c r="BJ410" s="276"/>
      <c r="BK410" s="283"/>
      <c r="BL410" s="276"/>
      <c r="BM410" s="283"/>
      <c r="BN410" s="276"/>
      <c r="BO410" s="283"/>
      <c r="BP410" s="276"/>
      <c r="BQ410" s="283"/>
      <c r="BR410" s="283"/>
      <c r="BS410" s="276"/>
    </row>
    <row r="411" spans="12:71" ht="12" customHeight="1">
      <c r="L411" s="283"/>
      <c r="M411" s="276"/>
      <c r="N411" s="283"/>
      <c r="O411" s="276"/>
      <c r="P411" s="283"/>
      <c r="Q411" s="276"/>
      <c r="S411" s="283"/>
      <c r="T411" s="276"/>
      <c r="W411" s="283"/>
      <c r="X411" s="276"/>
      <c r="Y411" s="283"/>
      <c r="Z411" s="276"/>
      <c r="AA411" s="283"/>
      <c r="AB411" s="276"/>
      <c r="AC411" s="283"/>
      <c r="AE411" s="283"/>
      <c r="AF411" s="276"/>
      <c r="AI411" s="283"/>
      <c r="AJ411" s="276"/>
      <c r="AK411" s="283"/>
      <c r="AL411" s="276"/>
      <c r="AM411" s="283"/>
      <c r="AN411" s="276"/>
      <c r="AO411" s="283"/>
      <c r="AP411" s="276"/>
      <c r="AQ411" s="283"/>
      <c r="AR411" s="276"/>
      <c r="AT411" s="283"/>
      <c r="AU411" s="276"/>
      <c r="AV411" s="283"/>
      <c r="AW411" s="276"/>
      <c r="AX411" s="283"/>
      <c r="AY411" s="276"/>
      <c r="AZ411" s="283"/>
      <c r="BA411" s="276"/>
      <c r="BB411" s="283"/>
      <c r="BC411" s="276"/>
      <c r="BD411" s="283"/>
      <c r="BE411" s="276"/>
      <c r="BG411" s="283"/>
      <c r="BH411" s="276"/>
      <c r="BI411" s="283"/>
      <c r="BJ411" s="276"/>
      <c r="BK411" s="283"/>
      <c r="BL411" s="276"/>
      <c r="BM411" s="283"/>
      <c r="BN411" s="276"/>
      <c r="BO411" s="283"/>
      <c r="BP411" s="276"/>
      <c r="BQ411" s="283"/>
      <c r="BR411" s="283"/>
      <c r="BS411" s="276"/>
    </row>
    <row r="412" spans="12:71" ht="12" customHeight="1">
      <c r="L412" s="283"/>
      <c r="M412" s="276"/>
      <c r="N412" s="283"/>
      <c r="O412" s="276"/>
      <c r="P412" s="283"/>
      <c r="Q412" s="276"/>
      <c r="S412" s="283"/>
      <c r="T412" s="276"/>
      <c r="W412" s="283"/>
      <c r="X412" s="276"/>
      <c r="Y412" s="283"/>
      <c r="Z412" s="276"/>
      <c r="AA412" s="283"/>
      <c r="AB412" s="276"/>
      <c r="AC412" s="283"/>
      <c r="AE412" s="283"/>
      <c r="AF412" s="276"/>
      <c r="AI412" s="283"/>
      <c r="AJ412" s="276"/>
      <c r="AK412" s="283"/>
      <c r="AL412" s="276"/>
      <c r="AM412" s="283"/>
      <c r="AN412" s="276"/>
      <c r="AO412" s="283"/>
      <c r="AP412" s="276"/>
      <c r="AQ412" s="283"/>
      <c r="AR412" s="276"/>
      <c r="AT412" s="283"/>
      <c r="AU412" s="276"/>
      <c r="AV412" s="283"/>
      <c r="AW412" s="276"/>
      <c r="AX412" s="283"/>
      <c r="AY412" s="276"/>
      <c r="AZ412" s="283"/>
      <c r="BA412" s="276"/>
      <c r="BB412" s="283"/>
      <c r="BC412" s="276"/>
      <c r="BD412" s="283"/>
      <c r="BE412" s="276"/>
      <c r="BG412" s="283"/>
      <c r="BH412" s="276"/>
      <c r="BI412" s="283"/>
      <c r="BJ412" s="276"/>
      <c r="BK412" s="283"/>
      <c r="BL412" s="276"/>
      <c r="BM412" s="283"/>
      <c r="BN412" s="276"/>
      <c r="BO412" s="283"/>
      <c r="BP412" s="276"/>
      <c r="BQ412" s="283"/>
      <c r="BR412" s="283"/>
      <c r="BS412" s="276"/>
    </row>
    <row r="413" spans="12:71" ht="12" customHeight="1">
      <c r="L413" s="283"/>
      <c r="M413" s="276"/>
      <c r="N413" s="283"/>
      <c r="O413" s="276"/>
      <c r="P413" s="283"/>
      <c r="Q413" s="276"/>
      <c r="S413" s="283"/>
      <c r="T413" s="276"/>
      <c r="W413" s="283"/>
      <c r="X413" s="276"/>
      <c r="Y413" s="283"/>
      <c r="Z413" s="276"/>
      <c r="AA413" s="283"/>
      <c r="AB413" s="276"/>
      <c r="AC413" s="283"/>
      <c r="AE413" s="283"/>
      <c r="AF413" s="276"/>
      <c r="AI413" s="283"/>
      <c r="AJ413" s="276"/>
      <c r="AK413" s="283"/>
      <c r="AL413" s="276"/>
      <c r="AM413" s="283"/>
      <c r="AN413" s="276"/>
      <c r="AO413" s="283"/>
      <c r="AP413" s="276"/>
      <c r="AQ413" s="283"/>
      <c r="AR413" s="276"/>
      <c r="AT413" s="283"/>
      <c r="AU413" s="276"/>
      <c r="AV413" s="283"/>
      <c r="AW413" s="276"/>
      <c r="AX413" s="283"/>
      <c r="AY413" s="276"/>
      <c r="AZ413" s="283"/>
      <c r="BA413" s="276"/>
      <c r="BB413" s="283"/>
      <c r="BC413" s="276"/>
      <c r="BD413" s="283"/>
      <c r="BE413" s="276"/>
      <c r="BG413" s="283"/>
      <c r="BH413" s="276"/>
      <c r="BI413" s="283"/>
      <c r="BJ413" s="276"/>
      <c r="BK413" s="283"/>
      <c r="BL413" s="276"/>
      <c r="BM413" s="283"/>
      <c r="BN413" s="276"/>
      <c r="BO413" s="283"/>
      <c r="BP413" s="276"/>
      <c r="BQ413" s="283"/>
      <c r="BR413" s="283"/>
      <c r="BS413" s="276"/>
    </row>
    <row r="414" spans="12:71" ht="12" customHeight="1">
      <c r="L414" s="283"/>
      <c r="M414" s="276"/>
      <c r="N414" s="283"/>
      <c r="O414" s="276"/>
      <c r="P414" s="283"/>
      <c r="Q414" s="276"/>
      <c r="S414" s="283"/>
      <c r="T414" s="276"/>
      <c r="W414" s="283"/>
      <c r="X414" s="276"/>
      <c r="Y414" s="283"/>
      <c r="Z414" s="276"/>
      <c r="AA414" s="283"/>
      <c r="AB414" s="276"/>
      <c r="AC414" s="283"/>
      <c r="AE414" s="283"/>
      <c r="AF414" s="276"/>
      <c r="AI414" s="283"/>
      <c r="AJ414" s="276"/>
      <c r="AK414" s="283"/>
      <c r="AL414" s="276"/>
      <c r="AM414" s="283"/>
      <c r="AN414" s="276"/>
      <c r="AO414" s="283"/>
      <c r="AP414" s="276"/>
      <c r="AQ414" s="283"/>
      <c r="AR414" s="276"/>
      <c r="AT414" s="283"/>
      <c r="AU414" s="276"/>
      <c r="AV414" s="283"/>
      <c r="AW414" s="276"/>
      <c r="AX414" s="283"/>
      <c r="AY414" s="276"/>
      <c r="AZ414" s="283"/>
      <c r="BA414" s="276"/>
      <c r="BB414" s="283"/>
      <c r="BC414" s="276"/>
      <c r="BD414" s="283"/>
      <c r="BE414" s="276"/>
      <c r="BG414" s="283"/>
      <c r="BH414" s="276"/>
      <c r="BI414" s="283"/>
      <c r="BJ414" s="276"/>
      <c r="BK414" s="283"/>
      <c r="BL414" s="276"/>
      <c r="BM414" s="283"/>
      <c r="BN414" s="276"/>
      <c r="BO414" s="283"/>
      <c r="BP414" s="276"/>
      <c r="BQ414" s="283"/>
      <c r="BR414" s="283"/>
      <c r="BS414" s="276"/>
    </row>
    <row r="415" spans="12:71" ht="12" customHeight="1">
      <c r="L415" s="283"/>
      <c r="M415" s="276"/>
      <c r="N415" s="283"/>
      <c r="O415" s="276"/>
      <c r="P415" s="283"/>
      <c r="Q415" s="276"/>
      <c r="S415" s="283"/>
      <c r="T415" s="276"/>
      <c r="W415" s="283"/>
      <c r="X415" s="276"/>
      <c r="Y415" s="283"/>
      <c r="Z415" s="276"/>
      <c r="AA415" s="283"/>
      <c r="AB415" s="276"/>
      <c r="AC415" s="283"/>
      <c r="AE415" s="283"/>
      <c r="AF415" s="276"/>
      <c r="AI415" s="283"/>
      <c r="AJ415" s="276"/>
      <c r="AK415" s="283"/>
      <c r="AL415" s="276"/>
      <c r="AM415" s="283"/>
      <c r="AN415" s="276"/>
      <c r="AO415" s="283"/>
      <c r="AP415" s="276"/>
      <c r="AQ415" s="283"/>
      <c r="AR415" s="276"/>
      <c r="AT415" s="283"/>
      <c r="AU415" s="276"/>
      <c r="AV415" s="283"/>
      <c r="AW415" s="276"/>
      <c r="AX415" s="283"/>
      <c r="AY415" s="276"/>
      <c r="AZ415" s="283"/>
      <c r="BA415" s="276"/>
      <c r="BB415" s="283"/>
      <c r="BC415" s="276"/>
      <c r="BD415" s="283"/>
      <c r="BE415" s="276"/>
      <c r="BG415" s="283"/>
      <c r="BH415" s="276"/>
      <c r="BI415" s="283"/>
      <c r="BJ415" s="276"/>
      <c r="BK415" s="283"/>
      <c r="BL415" s="276"/>
      <c r="BM415" s="283"/>
      <c r="BN415" s="276"/>
      <c r="BO415" s="283"/>
      <c r="BP415" s="276"/>
      <c r="BQ415" s="283"/>
      <c r="BR415" s="283"/>
      <c r="BS415" s="276"/>
    </row>
    <row r="416" spans="12:71" ht="12" customHeight="1">
      <c r="L416" s="283"/>
      <c r="M416" s="276"/>
      <c r="N416" s="283"/>
      <c r="O416" s="276"/>
      <c r="P416" s="283"/>
      <c r="Q416" s="276"/>
      <c r="S416" s="283"/>
      <c r="T416" s="276"/>
      <c r="W416" s="283"/>
      <c r="X416" s="276"/>
      <c r="Y416" s="283"/>
      <c r="Z416" s="276"/>
      <c r="AA416" s="283"/>
      <c r="AB416" s="276"/>
      <c r="AC416" s="283"/>
      <c r="AE416" s="283"/>
      <c r="AF416" s="276"/>
      <c r="AI416" s="283"/>
      <c r="AJ416" s="276"/>
      <c r="AK416" s="283"/>
      <c r="AL416" s="276"/>
      <c r="AM416" s="283"/>
      <c r="AN416" s="276"/>
      <c r="AO416" s="283"/>
      <c r="AP416" s="276"/>
      <c r="AQ416" s="283"/>
      <c r="AR416" s="276"/>
      <c r="AT416" s="283"/>
      <c r="AU416" s="276"/>
      <c r="AV416" s="283"/>
      <c r="AW416" s="276"/>
      <c r="AX416" s="283"/>
      <c r="AY416" s="276"/>
      <c r="AZ416" s="283"/>
      <c r="BA416" s="276"/>
      <c r="BB416" s="283"/>
      <c r="BC416" s="276"/>
      <c r="BD416" s="283"/>
      <c r="BE416" s="276"/>
      <c r="BG416" s="283"/>
      <c r="BH416" s="276"/>
      <c r="BI416" s="283"/>
      <c r="BJ416" s="276"/>
      <c r="BK416" s="283"/>
      <c r="BL416" s="276"/>
      <c r="BM416" s="283"/>
      <c r="BN416" s="276"/>
      <c r="BO416" s="283"/>
      <c r="BP416" s="276"/>
      <c r="BQ416" s="283"/>
      <c r="BR416" s="283"/>
      <c r="BS416" s="276"/>
    </row>
    <row r="417" spans="12:71" ht="12" customHeight="1">
      <c r="L417" s="283"/>
      <c r="M417" s="276"/>
      <c r="N417" s="283"/>
      <c r="O417" s="276"/>
      <c r="P417" s="283"/>
      <c r="Q417" s="276"/>
      <c r="S417" s="283"/>
      <c r="T417" s="276"/>
      <c r="W417" s="283"/>
      <c r="X417" s="276"/>
      <c r="Y417" s="283"/>
      <c r="Z417" s="276"/>
      <c r="AA417" s="283"/>
      <c r="AB417" s="276"/>
      <c r="AC417" s="283"/>
      <c r="AE417" s="283"/>
      <c r="AF417" s="276"/>
      <c r="AI417" s="283"/>
      <c r="AJ417" s="276"/>
      <c r="AK417" s="283"/>
      <c r="AL417" s="276"/>
      <c r="AM417" s="283"/>
      <c r="AN417" s="276"/>
      <c r="AO417" s="283"/>
      <c r="AP417" s="276"/>
      <c r="AQ417" s="283"/>
      <c r="AR417" s="276"/>
      <c r="AT417" s="283"/>
      <c r="AU417" s="276"/>
      <c r="AV417" s="283"/>
      <c r="AW417" s="276"/>
      <c r="AX417" s="283"/>
      <c r="AY417" s="276"/>
      <c r="AZ417" s="283"/>
      <c r="BA417" s="276"/>
      <c r="BB417" s="283"/>
      <c r="BC417" s="276"/>
      <c r="BD417" s="283"/>
      <c r="BE417" s="276"/>
      <c r="BG417" s="283"/>
      <c r="BH417" s="276"/>
      <c r="BI417" s="283"/>
      <c r="BJ417" s="276"/>
      <c r="BK417" s="283"/>
      <c r="BL417" s="276"/>
      <c r="BM417" s="283"/>
      <c r="BN417" s="276"/>
      <c r="BO417" s="283"/>
      <c r="BP417" s="276"/>
      <c r="BQ417" s="283"/>
      <c r="BR417" s="283"/>
      <c r="BS417" s="276"/>
    </row>
    <row r="418" spans="12:71" ht="12" customHeight="1">
      <c r="L418" s="283"/>
      <c r="M418" s="276"/>
      <c r="N418" s="283"/>
      <c r="O418" s="276"/>
      <c r="P418" s="283"/>
      <c r="Q418" s="276"/>
      <c r="S418" s="283"/>
      <c r="T418" s="276"/>
      <c r="W418" s="283"/>
      <c r="X418" s="276"/>
      <c r="Y418" s="283"/>
      <c r="Z418" s="276"/>
      <c r="AA418" s="283"/>
      <c r="AB418" s="276"/>
      <c r="AC418" s="283"/>
      <c r="AE418" s="283"/>
      <c r="AF418" s="276"/>
      <c r="AI418" s="283"/>
      <c r="AJ418" s="276"/>
      <c r="AK418" s="283"/>
      <c r="AL418" s="276"/>
      <c r="AM418" s="283"/>
      <c r="AN418" s="276"/>
      <c r="AO418" s="283"/>
      <c r="AP418" s="276"/>
      <c r="AQ418" s="283"/>
      <c r="AR418" s="276"/>
      <c r="AT418" s="283"/>
      <c r="AU418" s="276"/>
      <c r="AV418" s="283"/>
      <c r="AW418" s="276"/>
      <c r="AX418" s="283"/>
      <c r="AY418" s="276"/>
      <c r="AZ418" s="283"/>
      <c r="BA418" s="276"/>
      <c r="BB418" s="283"/>
      <c r="BC418" s="276"/>
      <c r="BD418" s="283"/>
      <c r="BE418" s="276"/>
      <c r="BG418" s="283"/>
      <c r="BH418" s="276"/>
      <c r="BI418" s="283"/>
      <c r="BJ418" s="276"/>
      <c r="BK418" s="283"/>
      <c r="BL418" s="276"/>
      <c r="BM418" s="283"/>
      <c r="BN418" s="276"/>
      <c r="BO418" s="283"/>
      <c r="BP418" s="276"/>
      <c r="BQ418" s="283"/>
      <c r="BR418" s="283"/>
      <c r="BS418" s="276"/>
    </row>
    <row r="419" spans="12:71" ht="12" customHeight="1">
      <c r="L419" s="283"/>
      <c r="M419" s="276"/>
      <c r="N419" s="283"/>
      <c r="O419" s="276"/>
      <c r="P419" s="283"/>
      <c r="Q419" s="276"/>
      <c r="S419" s="283"/>
      <c r="T419" s="276"/>
      <c r="W419" s="283"/>
      <c r="X419" s="276"/>
      <c r="Y419" s="283"/>
      <c r="Z419" s="276"/>
      <c r="AA419" s="283"/>
      <c r="AB419" s="276"/>
      <c r="AC419" s="283"/>
      <c r="AE419" s="283"/>
      <c r="AF419" s="276"/>
      <c r="AI419" s="283"/>
      <c r="AJ419" s="276"/>
      <c r="AK419" s="283"/>
      <c r="AL419" s="276"/>
      <c r="AM419" s="283"/>
      <c r="AN419" s="276"/>
      <c r="AO419" s="283"/>
      <c r="AP419" s="276"/>
      <c r="AQ419" s="283"/>
      <c r="AR419" s="276"/>
      <c r="AT419" s="283"/>
      <c r="AU419" s="276"/>
      <c r="AV419" s="283"/>
      <c r="AW419" s="276"/>
      <c r="AX419" s="283"/>
      <c r="AY419" s="276"/>
      <c r="AZ419" s="283"/>
      <c r="BA419" s="276"/>
      <c r="BB419" s="283"/>
      <c r="BC419" s="276"/>
      <c r="BD419" s="283"/>
      <c r="BE419" s="276"/>
      <c r="BG419" s="283"/>
      <c r="BH419" s="276"/>
      <c r="BI419" s="283"/>
      <c r="BJ419" s="276"/>
      <c r="BK419" s="283"/>
      <c r="BL419" s="276"/>
      <c r="BM419" s="283"/>
      <c r="BN419" s="276"/>
      <c r="BO419" s="283"/>
      <c r="BP419" s="276"/>
      <c r="BQ419" s="283"/>
      <c r="BR419" s="283"/>
      <c r="BS419" s="276"/>
    </row>
    <row r="420" spans="12:71" ht="12" customHeight="1">
      <c r="L420" s="283"/>
      <c r="M420" s="276"/>
      <c r="N420" s="283"/>
      <c r="O420" s="276"/>
      <c r="P420" s="283"/>
      <c r="Q420" s="276"/>
      <c r="S420" s="283"/>
      <c r="T420" s="276"/>
      <c r="W420" s="283"/>
      <c r="X420" s="276"/>
      <c r="Y420" s="283"/>
      <c r="Z420" s="276"/>
      <c r="AA420" s="283"/>
      <c r="AB420" s="276"/>
      <c r="AC420" s="283"/>
      <c r="AE420" s="283"/>
      <c r="AF420" s="276"/>
      <c r="AI420" s="283"/>
      <c r="AJ420" s="276"/>
      <c r="AK420" s="283"/>
      <c r="AL420" s="276"/>
      <c r="AM420" s="283"/>
      <c r="AN420" s="276"/>
      <c r="AO420" s="283"/>
      <c r="AP420" s="276"/>
      <c r="AQ420" s="283"/>
      <c r="AR420" s="276"/>
      <c r="AT420" s="283"/>
      <c r="AU420" s="276"/>
      <c r="AV420" s="283"/>
      <c r="AW420" s="276"/>
      <c r="AX420" s="283"/>
      <c r="AY420" s="276"/>
      <c r="AZ420" s="283"/>
      <c r="BA420" s="276"/>
      <c r="BB420" s="283"/>
      <c r="BC420" s="276"/>
      <c r="BD420" s="283"/>
      <c r="BE420" s="276"/>
      <c r="BG420" s="283"/>
      <c r="BH420" s="276"/>
      <c r="BI420" s="283"/>
      <c r="BJ420" s="276"/>
      <c r="BK420" s="283"/>
      <c r="BL420" s="276"/>
      <c r="BM420" s="283"/>
      <c r="BN420" s="276"/>
      <c r="BO420" s="283"/>
      <c r="BP420" s="276"/>
      <c r="BQ420" s="283"/>
      <c r="BR420" s="283"/>
      <c r="BS420" s="276"/>
    </row>
    <row r="421" spans="12:71" ht="12" customHeight="1">
      <c r="L421" s="283"/>
      <c r="M421" s="276"/>
      <c r="N421" s="283"/>
      <c r="O421" s="276"/>
      <c r="P421" s="283"/>
      <c r="Q421" s="276"/>
      <c r="S421" s="283"/>
      <c r="T421" s="276"/>
      <c r="W421" s="283"/>
      <c r="X421" s="276"/>
      <c r="Y421" s="283"/>
      <c r="Z421" s="276"/>
      <c r="AA421" s="283"/>
      <c r="AB421" s="276"/>
      <c r="AC421" s="283"/>
      <c r="AE421" s="283"/>
      <c r="AF421" s="276"/>
      <c r="AI421" s="283"/>
      <c r="AJ421" s="276"/>
      <c r="AK421" s="283"/>
      <c r="AL421" s="276"/>
      <c r="AM421" s="283"/>
      <c r="AN421" s="276"/>
      <c r="AO421" s="283"/>
      <c r="AP421" s="276"/>
      <c r="AQ421" s="283"/>
      <c r="AR421" s="276"/>
      <c r="AT421" s="283"/>
      <c r="AU421" s="276"/>
      <c r="AV421" s="283"/>
      <c r="AW421" s="276"/>
      <c r="AX421" s="283"/>
      <c r="AY421" s="276"/>
      <c r="AZ421" s="283"/>
      <c r="BA421" s="276"/>
      <c r="BB421" s="283"/>
      <c r="BC421" s="276"/>
      <c r="BD421" s="283"/>
      <c r="BE421" s="276"/>
      <c r="BG421" s="283"/>
      <c r="BH421" s="276"/>
      <c r="BI421" s="283"/>
      <c r="BJ421" s="276"/>
      <c r="BK421" s="283"/>
      <c r="BL421" s="276"/>
      <c r="BM421" s="283"/>
      <c r="BN421" s="276"/>
      <c r="BO421" s="283"/>
      <c r="BP421" s="276"/>
      <c r="BQ421" s="283"/>
      <c r="BR421" s="283"/>
      <c r="BS421" s="276"/>
    </row>
    <row r="422" spans="12:71" ht="12" customHeight="1">
      <c r="L422" s="283"/>
      <c r="M422" s="276"/>
      <c r="N422" s="283"/>
      <c r="O422" s="276"/>
      <c r="P422" s="283"/>
      <c r="Q422" s="276"/>
      <c r="S422" s="283"/>
      <c r="T422" s="276"/>
      <c r="W422" s="283"/>
      <c r="X422" s="276"/>
      <c r="Y422" s="283"/>
      <c r="Z422" s="276"/>
      <c r="AA422" s="283"/>
      <c r="AB422" s="276"/>
      <c r="AC422" s="283"/>
      <c r="AE422" s="283"/>
      <c r="AF422" s="276"/>
      <c r="AI422" s="283"/>
      <c r="AJ422" s="276"/>
      <c r="AK422" s="283"/>
      <c r="AL422" s="276"/>
      <c r="AM422" s="283"/>
      <c r="AN422" s="276"/>
      <c r="AO422" s="283"/>
      <c r="AP422" s="276"/>
      <c r="AQ422" s="283"/>
      <c r="AR422" s="276"/>
      <c r="AT422" s="283"/>
      <c r="AU422" s="276"/>
      <c r="AV422" s="283"/>
      <c r="AW422" s="276"/>
      <c r="AX422" s="283"/>
      <c r="AY422" s="276"/>
      <c r="AZ422" s="283"/>
      <c r="BA422" s="276"/>
      <c r="BB422" s="283"/>
      <c r="BC422" s="276"/>
      <c r="BD422" s="283"/>
      <c r="BE422" s="276"/>
      <c r="BG422" s="283"/>
      <c r="BH422" s="276"/>
      <c r="BI422" s="283"/>
      <c r="BJ422" s="276"/>
      <c r="BK422" s="283"/>
      <c r="BL422" s="276"/>
      <c r="BM422" s="283"/>
      <c r="BN422" s="276"/>
      <c r="BO422" s="283"/>
      <c r="BP422" s="276"/>
      <c r="BQ422" s="283"/>
      <c r="BR422" s="283"/>
      <c r="BS422" s="276"/>
    </row>
    <row r="423" spans="12:71" ht="12" customHeight="1">
      <c r="L423" s="283"/>
      <c r="M423" s="276"/>
      <c r="N423" s="283"/>
      <c r="O423" s="276"/>
      <c r="P423" s="283"/>
      <c r="Q423" s="276"/>
      <c r="S423" s="283"/>
      <c r="T423" s="276"/>
      <c r="W423" s="283"/>
      <c r="X423" s="276"/>
      <c r="Y423" s="283"/>
      <c r="Z423" s="276"/>
      <c r="AA423" s="283"/>
      <c r="AB423" s="276"/>
      <c r="AC423" s="283"/>
      <c r="AE423" s="283"/>
      <c r="AF423" s="276"/>
      <c r="AI423" s="283"/>
      <c r="AJ423" s="276"/>
      <c r="AK423" s="283"/>
      <c r="AL423" s="276"/>
      <c r="AM423" s="283"/>
      <c r="AN423" s="276"/>
      <c r="AO423" s="283"/>
      <c r="AP423" s="276"/>
      <c r="AQ423" s="283"/>
      <c r="AR423" s="276"/>
      <c r="AT423" s="283"/>
      <c r="AU423" s="276"/>
      <c r="AV423" s="283"/>
      <c r="AW423" s="276"/>
      <c r="AX423" s="283"/>
      <c r="AY423" s="276"/>
      <c r="AZ423" s="283"/>
      <c r="BA423" s="276"/>
      <c r="BB423" s="283"/>
      <c r="BC423" s="276"/>
      <c r="BD423" s="283"/>
      <c r="BE423" s="276"/>
      <c r="BG423" s="283"/>
      <c r="BH423" s="276"/>
      <c r="BI423" s="283"/>
      <c r="BJ423" s="276"/>
      <c r="BK423" s="283"/>
      <c r="BL423" s="276"/>
      <c r="BM423" s="283"/>
      <c r="BN423" s="276"/>
      <c r="BO423" s="283"/>
      <c r="BP423" s="276"/>
      <c r="BQ423" s="283"/>
      <c r="BR423" s="283"/>
      <c r="BS423" s="276"/>
    </row>
    <row r="424" spans="12:71" ht="12" customHeight="1">
      <c r="L424" s="283"/>
      <c r="M424" s="276"/>
      <c r="N424" s="283"/>
      <c r="O424" s="276"/>
      <c r="P424" s="283"/>
      <c r="Q424" s="276"/>
      <c r="S424" s="283"/>
      <c r="T424" s="276"/>
      <c r="W424" s="283"/>
      <c r="X424" s="276"/>
      <c r="Y424" s="283"/>
      <c r="Z424" s="276"/>
      <c r="AA424" s="283"/>
      <c r="AB424" s="276"/>
      <c r="AC424" s="283"/>
      <c r="AE424" s="283"/>
      <c r="AF424" s="276"/>
      <c r="AI424" s="283"/>
      <c r="AJ424" s="276"/>
      <c r="AK424" s="283"/>
      <c r="AL424" s="276"/>
      <c r="AM424" s="283"/>
      <c r="AN424" s="276"/>
      <c r="AO424" s="283"/>
      <c r="AP424" s="276"/>
      <c r="AQ424" s="283"/>
      <c r="AR424" s="276"/>
      <c r="AT424" s="283"/>
      <c r="AU424" s="276"/>
      <c r="AV424" s="283"/>
      <c r="AW424" s="276"/>
      <c r="AX424" s="283"/>
      <c r="AY424" s="276"/>
      <c r="AZ424" s="283"/>
      <c r="BA424" s="276"/>
      <c r="BB424" s="283"/>
      <c r="BC424" s="276"/>
      <c r="BD424" s="283"/>
      <c r="BE424" s="276"/>
      <c r="BG424" s="283"/>
      <c r="BH424" s="276"/>
      <c r="BI424" s="283"/>
      <c r="BJ424" s="276"/>
      <c r="BK424" s="283"/>
      <c r="BL424" s="276"/>
      <c r="BM424" s="283"/>
      <c r="BN424" s="276"/>
      <c r="BO424" s="283"/>
      <c r="BP424" s="276"/>
      <c r="BQ424" s="283"/>
      <c r="BR424" s="283"/>
      <c r="BS424" s="276"/>
    </row>
    <row r="425" spans="12:71" ht="12" customHeight="1">
      <c r="L425" s="283"/>
      <c r="M425" s="276"/>
      <c r="N425" s="283"/>
      <c r="O425" s="276"/>
      <c r="P425" s="283"/>
      <c r="Q425" s="276"/>
      <c r="S425" s="283"/>
      <c r="T425" s="276"/>
      <c r="W425" s="283"/>
      <c r="X425" s="276"/>
      <c r="Y425" s="283"/>
      <c r="Z425" s="276"/>
      <c r="AA425" s="283"/>
      <c r="AB425" s="276"/>
      <c r="AC425" s="283"/>
      <c r="AE425" s="283"/>
      <c r="AF425" s="276"/>
      <c r="AI425" s="283"/>
      <c r="AJ425" s="276"/>
      <c r="AK425" s="283"/>
      <c r="AL425" s="276"/>
      <c r="AM425" s="283"/>
      <c r="AN425" s="276"/>
      <c r="AO425" s="283"/>
      <c r="AP425" s="276"/>
      <c r="AQ425" s="283"/>
      <c r="AR425" s="276"/>
      <c r="AT425" s="283"/>
      <c r="AU425" s="276"/>
      <c r="AV425" s="283"/>
      <c r="AW425" s="276"/>
      <c r="AX425" s="283"/>
      <c r="AY425" s="276"/>
      <c r="AZ425" s="283"/>
      <c r="BA425" s="276"/>
      <c r="BB425" s="283"/>
      <c r="BC425" s="276"/>
      <c r="BD425" s="283"/>
      <c r="BE425" s="276"/>
      <c r="BG425" s="283"/>
      <c r="BH425" s="276"/>
      <c r="BI425" s="283"/>
      <c r="BJ425" s="276"/>
      <c r="BK425" s="283"/>
      <c r="BL425" s="276"/>
      <c r="BM425" s="283"/>
      <c r="BN425" s="276"/>
      <c r="BO425" s="283"/>
      <c r="BP425" s="276"/>
      <c r="BQ425" s="283"/>
      <c r="BR425" s="283"/>
      <c r="BS425" s="276"/>
    </row>
    <row r="426" spans="12:71" ht="12" customHeight="1">
      <c r="L426" s="283"/>
      <c r="M426" s="276"/>
      <c r="N426" s="283"/>
      <c r="O426" s="276"/>
      <c r="P426" s="283"/>
      <c r="Q426" s="276"/>
      <c r="S426" s="283"/>
      <c r="T426" s="276"/>
      <c r="W426" s="283"/>
      <c r="X426" s="276"/>
      <c r="Y426" s="283"/>
      <c r="Z426" s="276"/>
      <c r="AA426" s="283"/>
      <c r="AB426" s="276"/>
      <c r="AC426" s="283"/>
      <c r="AE426" s="283"/>
      <c r="AF426" s="276"/>
      <c r="AI426" s="283"/>
      <c r="AJ426" s="276"/>
      <c r="AK426" s="283"/>
      <c r="AL426" s="276"/>
      <c r="AM426" s="283"/>
      <c r="AN426" s="276"/>
      <c r="AO426" s="283"/>
      <c r="AP426" s="276"/>
      <c r="AQ426" s="283"/>
      <c r="AR426" s="276"/>
      <c r="AT426" s="283"/>
      <c r="AU426" s="276"/>
      <c r="AV426" s="283"/>
      <c r="AW426" s="276"/>
      <c r="AX426" s="283"/>
      <c r="AY426" s="276"/>
      <c r="AZ426" s="283"/>
      <c r="BA426" s="276"/>
      <c r="BB426" s="283"/>
      <c r="BC426" s="276"/>
      <c r="BD426" s="283"/>
      <c r="BE426" s="276"/>
      <c r="BG426" s="283"/>
      <c r="BH426" s="276"/>
      <c r="BI426" s="283"/>
      <c r="BJ426" s="276"/>
      <c r="BK426" s="283"/>
      <c r="BL426" s="276"/>
      <c r="BM426" s="283"/>
      <c r="BN426" s="276"/>
      <c r="BO426" s="283"/>
      <c r="BP426" s="276"/>
      <c r="BQ426" s="283"/>
      <c r="BR426" s="283"/>
      <c r="BS426" s="276"/>
    </row>
    <row r="427" spans="12:71" ht="12" customHeight="1">
      <c r="L427" s="283"/>
      <c r="M427" s="276"/>
      <c r="N427" s="283"/>
      <c r="O427" s="276"/>
      <c r="P427" s="283"/>
      <c r="Q427" s="276"/>
      <c r="S427" s="283"/>
      <c r="T427" s="276"/>
      <c r="W427" s="283"/>
      <c r="X427" s="276"/>
      <c r="Y427" s="283"/>
      <c r="Z427" s="276"/>
      <c r="AA427" s="283"/>
      <c r="AB427" s="276"/>
      <c r="AC427" s="283"/>
      <c r="AE427" s="283"/>
      <c r="AF427" s="276"/>
      <c r="AI427" s="283"/>
      <c r="AJ427" s="276"/>
      <c r="AK427" s="283"/>
      <c r="AL427" s="276"/>
      <c r="AM427" s="283"/>
      <c r="AN427" s="276"/>
      <c r="AO427" s="283"/>
      <c r="AP427" s="276"/>
      <c r="AQ427" s="283"/>
      <c r="AR427" s="276"/>
      <c r="AT427" s="283"/>
      <c r="AU427" s="276"/>
      <c r="AV427" s="283"/>
      <c r="AW427" s="276"/>
      <c r="AX427" s="283"/>
      <c r="AY427" s="276"/>
      <c r="AZ427" s="283"/>
      <c r="BA427" s="276"/>
      <c r="BB427" s="283"/>
      <c r="BC427" s="276"/>
      <c r="BD427" s="283"/>
      <c r="BE427" s="276"/>
      <c r="BG427" s="283"/>
      <c r="BH427" s="276"/>
      <c r="BI427" s="283"/>
      <c r="BJ427" s="276"/>
      <c r="BK427" s="283"/>
      <c r="BL427" s="276"/>
      <c r="BM427" s="283"/>
      <c r="BN427" s="276"/>
      <c r="BO427" s="283"/>
      <c r="BP427" s="276"/>
      <c r="BQ427" s="283"/>
      <c r="BR427" s="283"/>
      <c r="BS427" s="276"/>
    </row>
    <row r="428" spans="12:71" ht="12" customHeight="1">
      <c r="L428" s="283"/>
      <c r="M428" s="276"/>
      <c r="N428" s="283"/>
      <c r="O428" s="276"/>
      <c r="P428" s="283"/>
      <c r="Q428" s="276"/>
      <c r="S428" s="283"/>
      <c r="T428" s="276"/>
      <c r="W428" s="283"/>
      <c r="X428" s="276"/>
      <c r="Y428" s="283"/>
      <c r="Z428" s="276"/>
      <c r="AA428" s="283"/>
      <c r="AB428" s="276"/>
      <c r="AC428" s="283"/>
      <c r="AE428" s="283"/>
      <c r="AF428" s="276"/>
      <c r="AI428" s="283"/>
      <c r="AJ428" s="276"/>
      <c r="AK428" s="283"/>
      <c r="AL428" s="276"/>
      <c r="AM428" s="283"/>
      <c r="AN428" s="276"/>
      <c r="AO428" s="283"/>
      <c r="AP428" s="276"/>
      <c r="AQ428" s="283"/>
      <c r="AR428" s="276"/>
      <c r="AT428" s="283"/>
      <c r="AU428" s="276"/>
      <c r="AV428" s="283"/>
      <c r="AW428" s="276"/>
      <c r="AX428" s="283"/>
      <c r="AY428" s="276"/>
      <c r="AZ428" s="283"/>
      <c r="BA428" s="276"/>
      <c r="BB428" s="283"/>
      <c r="BC428" s="276"/>
      <c r="BD428" s="283"/>
      <c r="BE428" s="276"/>
      <c r="BG428" s="283"/>
      <c r="BH428" s="276"/>
      <c r="BI428" s="283"/>
      <c r="BJ428" s="276"/>
      <c r="BK428" s="283"/>
      <c r="BL428" s="276"/>
      <c r="BM428" s="283"/>
      <c r="BN428" s="276"/>
      <c r="BO428" s="283"/>
      <c r="BP428" s="276"/>
      <c r="BQ428" s="283"/>
      <c r="BR428" s="283"/>
      <c r="BS428" s="276"/>
    </row>
    <row r="429" spans="12:71" ht="12" customHeight="1">
      <c r="L429" s="283"/>
      <c r="M429" s="276"/>
      <c r="N429" s="283"/>
      <c r="O429" s="276"/>
      <c r="P429" s="283"/>
      <c r="Q429" s="276"/>
      <c r="S429" s="283"/>
      <c r="T429" s="276"/>
      <c r="W429" s="283"/>
      <c r="X429" s="276"/>
      <c r="Y429" s="283"/>
      <c r="Z429" s="276"/>
      <c r="AA429" s="283"/>
      <c r="AB429" s="276"/>
      <c r="AC429" s="283"/>
      <c r="AE429" s="283"/>
      <c r="AF429" s="276"/>
      <c r="AI429" s="283"/>
      <c r="AJ429" s="276"/>
      <c r="AK429" s="283"/>
      <c r="AL429" s="276"/>
      <c r="AM429" s="283"/>
      <c r="AN429" s="276"/>
      <c r="AO429" s="283"/>
      <c r="AP429" s="276"/>
      <c r="AQ429" s="283"/>
      <c r="AR429" s="276"/>
      <c r="AT429" s="283"/>
      <c r="AU429" s="276"/>
      <c r="AV429" s="283"/>
      <c r="AW429" s="276"/>
      <c r="AX429" s="283"/>
      <c r="AY429" s="276"/>
      <c r="AZ429" s="283"/>
      <c r="BA429" s="276"/>
      <c r="BB429" s="283"/>
      <c r="BC429" s="276"/>
      <c r="BD429" s="283"/>
      <c r="BE429" s="276"/>
      <c r="BG429" s="283"/>
      <c r="BH429" s="276"/>
      <c r="BI429" s="283"/>
      <c r="BJ429" s="276"/>
      <c r="BK429" s="283"/>
      <c r="BL429" s="276"/>
      <c r="BM429" s="283"/>
      <c r="BN429" s="276"/>
      <c r="BO429" s="283"/>
      <c r="BP429" s="276"/>
      <c r="BQ429" s="283"/>
      <c r="BR429" s="283"/>
      <c r="BS429" s="276"/>
    </row>
    <row r="430" spans="12:71" ht="12" customHeight="1">
      <c r="L430" s="283"/>
      <c r="M430" s="276"/>
      <c r="N430" s="283"/>
      <c r="O430" s="276"/>
      <c r="P430" s="283"/>
      <c r="Q430" s="276"/>
      <c r="S430" s="283"/>
      <c r="T430" s="276"/>
      <c r="W430" s="283"/>
      <c r="X430" s="276"/>
      <c r="Y430" s="283"/>
      <c r="Z430" s="276"/>
      <c r="AA430" s="283"/>
      <c r="AB430" s="276"/>
      <c r="AC430" s="283"/>
      <c r="AE430" s="283"/>
      <c r="AF430" s="276"/>
      <c r="AI430" s="283"/>
      <c r="AJ430" s="276"/>
      <c r="AK430" s="283"/>
      <c r="AL430" s="276"/>
      <c r="AM430" s="283"/>
      <c r="AN430" s="276"/>
      <c r="AO430" s="283"/>
      <c r="AP430" s="276"/>
      <c r="AQ430" s="283"/>
      <c r="AR430" s="276"/>
      <c r="AT430" s="283"/>
      <c r="AU430" s="276"/>
      <c r="AV430" s="283"/>
      <c r="AW430" s="276"/>
      <c r="AX430" s="283"/>
      <c r="AY430" s="276"/>
      <c r="AZ430" s="283"/>
      <c r="BA430" s="276"/>
      <c r="BB430" s="283"/>
      <c r="BC430" s="276"/>
      <c r="BD430" s="283"/>
      <c r="BE430" s="276"/>
      <c r="BG430" s="283"/>
      <c r="BH430" s="276"/>
      <c r="BI430" s="283"/>
      <c r="BJ430" s="276"/>
      <c r="BK430" s="283"/>
      <c r="BL430" s="276"/>
      <c r="BM430" s="283"/>
      <c r="BN430" s="276"/>
      <c r="BO430" s="283"/>
      <c r="BP430" s="276"/>
      <c r="BQ430" s="283"/>
      <c r="BR430" s="283"/>
      <c r="BS430" s="276"/>
    </row>
    <row r="431" spans="12:71" ht="12" customHeight="1">
      <c r="L431" s="283"/>
      <c r="M431" s="276"/>
      <c r="N431" s="283"/>
      <c r="O431" s="276"/>
      <c r="P431" s="283"/>
      <c r="Q431" s="276"/>
      <c r="S431" s="283"/>
      <c r="T431" s="276"/>
      <c r="W431" s="283"/>
      <c r="X431" s="276"/>
      <c r="Y431" s="283"/>
      <c r="Z431" s="276"/>
      <c r="AA431" s="283"/>
      <c r="AB431" s="276"/>
      <c r="AC431" s="283"/>
      <c r="AE431" s="283"/>
      <c r="AF431" s="276"/>
      <c r="AI431" s="283"/>
      <c r="AJ431" s="276"/>
      <c r="AK431" s="283"/>
      <c r="AL431" s="276"/>
      <c r="AM431" s="283"/>
      <c r="AN431" s="276"/>
      <c r="AO431" s="283"/>
      <c r="AP431" s="276"/>
      <c r="AQ431" s="283"/>
      <c r="AR431" s="276"/>
      <c r="AT431" s="283"/>
      <c r="AU431" s="276"/>
      <c r="AV431" s="283"/>
      <c r="AW431" s="276"/>
      <c r="AX431" s="283"/>
      <c r="AY431" s="276"/>
      <c r="AZ431" s="283"/>
      <c r="BA431" s="276"/>
      <c r="BB431" s="283"/>
      <c r="BC431" s="276"/>
      <c r="BD431" s="283"/>
      <c r="BE431" s="276"/>
      <c r="BG431" s="283"/>
      <c r="BH431" s="276"/>
      <c r="BI431" s="283"/>
      <c r="BJ431" s="276"/>
      <c r="BK431" s="283"/>
      <c r="BL431" s="276"/>
      <c r="BM431" s="283"/>
      <c r="BN431" s="276"/>
      <c r="BO431" s="283"/>
      <c r="BP431" s="276"/>
      <c r="BQ431" s="283"/>
      <c r="BR431" s="283"/>
      <c r="BS431" s="276"/>
    </row>
    <row r="432" spans="12:71" ht="12" customHeight="1">
      <c r="L432" s="283"/>
      <c r="M432" s="276"/>
      <c r="N432" s="283"/>
      <c r="O432" s="276"/>
      <c r="P432" s="283"/>
      <c r="Q432" s="276"/>
      <c r="S432" s="283"/>
      <c r="T432" s="276"/>
      <c r="W432" s="283"/>
      <c r="X432" s="276"/>
      <c r="Y432" s="283"/>
      <c r="Z432" s="276"/>
      <c r="AA432" s="283"/>
      <c r="AB432" s="276"/>
      <c r="AC432" s="283"/>
      <c r="AE432" s="283"/>
      <c r="AF432" s="276"/>
      <c r="AI432" s="283"/>
      <c r="AJ432" s="276"/>
      <c r="AK432" s="283"/>
      <c r="AL432" s="276"/>
      <c r="AM432" s="283"/>
      <c r="AN432" s="276"/>
      <c r="AO432" s="283"/>
      <c r="AP432" s="276"/>
      <c r="AQ432" s="283"/>
      <c r="AR432" s="276"/>
      <c r="AT432" s="283"/>
      <c r="AU432" s="276"/>
      <c r="AV432" s="283"/>
      <c r="AW432" s="276"/>
      <c r="AX432" s="283"/>
      <c r="AY432" s="276"/>
      <c r="AZ432" s="283"/>
      <c r="BA432" s="276"/>
      <c r="BB432" s="283"/>
      <c r="BC432" s="276"/>
      <c r="BD432" s="283"/>
      <c r="BE432" s="276"/>
      <c r="BG432" s="283"/>
      <c r="BH432" s="276"/>
      <c r="BI432" s="283"/>
      <c r="BJ432" s="276"/>
      <c r="BK432" s="283"/>
      <c r="BL432" s="276"/>
      <c r="BM432" s="283"/>
      <c r="BN432" s="276"/>
      <c r="BO432" s="283"/>
      <c r="BP432" s="276"/>
      <c r="BQ432" s="283"/>
      <c r="BR432" s="283"/>
      <c r="BS432" s="276"/>
    </row>
    <row r="433" spans="12:71" ht="12" customHeight="1">
      <c r="L433" s="283"/>
      <c r="M433" s="276"/>
      <c r="N433" s="283"/>
      <c r="O433" s="276"/>
      <c r="P433" s="283"/>
      <c r="Q433" s="276"/>
      <c r="S433" s="283"/>
      <c r="T433" s="276"/>
      <c r="W433" s="283"/>
      <c r="X433" s="276"/>
      <c r="Y433" s="283"/>
      <c r="Z433" s="276"/>
      <c r="AA433" s="283"/>
      <c r="AB433" s="276"/>
      <c r="AC433" s="283"/>
      <c r="AE433" s="283"/>
      <c r="AF433" s="276"/>
      <c r="AI433" s="283"/>
      <c r="AJ433" s="276"/>
      <c r="AK433" s="283"/>
      <c r="AL433" s="276"/>
      <c r="AM433" s="283"/>
      <c r="AN433" s="276"/>
      <c r="AO433" s="283"/>
      <c r="AP433" s="276"/>
      <c r="AQ433" s="283"/>
      <c r="AR433" s="276"/>
      <c r="AT433" s="283"/>
      <c r="AU433" s="276"/>
      <c r="AV433" s="283"/>
      <c r="AW433" s="276"/>
      <c r="AX433" s="283"/>
      <c r="AY433" s="276"/>
      <c r="AZ433" s="283"/>
      <c r="BA433" s="276"/>
      <c r="BB433" s="283"/>
      <c r="BC433" s="276"/>
      <c r="BD433" s="283"/>
      <c r="BE433" s="276"/>
      <c r="BG433" s="283"/>
      <c r="BH433" s="276"/>
      <c r="BI433" s="283"/>
      <c r="BJ433" s="276"/>
      <c r="BK433" s="283"/>
      <c r="BL433" s="276"/>
      <c r="BM433" s="283"/>
      <c r="BN433" s="276"/>
      <c r="BO433" s="283"/>
      <c r="BP433" s="276"/>
      <c r="BQ433" s="283"/>
      <c r="BR433" s="283"/>
      <c r="BS433" s="276"/>
    </row>
    <row r="434" spans="12:71" ht="12" customHeight="1">
      <c r="L434" s="283"/>
      <c r="M434" s="276"/>
      <c r="N434" s="283"/>
      <c r="O434" s="276"/>
      <c r="P434" s="283"/>
      <c r="Q434" s="276"/>
      <c r="S434" s="283"/>
      <c r="T434" s="276"/>
      <c r="W434" s="283"/>
      <c r="X434" s="276"/>
      <c r="Y434" s="283"/>
      <c r="Z434" s="276"/>
      <c r="AA434" s="283"/>
      <c r="AB434" s="276"/>
      <c r="AC434" s="283"/>
      <c r="AE434" s="283"/>
      <c r="AF434" s="276"/>
      <c r="AI434" s="283"/>
      <c r="AJ434" s="276"/>
      <c r="AK434" s="283"/>
      <c r="AL434" s="276"/>
      <c r="AM434" s="283"/>
      <c r="AN434" s="276"/>
      <c r="AO434" s="283"/>
      <c r="AP434" s="276"/>
      <c r="AQ434" s="283"/>
      <c r="AR434" s="276"/>
      <c r="AT434" s="283"/>
      <c r="AU434" s="276"/>
      <c r="AV434" s="283"/>
      <c r="AW434" s="276"/>
      <c r="AX434" s="283"/>
      <c r="AY434" s="276"/>
      <c r="AZ434" s="283"/>
      <c r="BA434" s="276"/>
      <c r="BB434" s="283"/>
      <c r="BC434" s="276"/>
      <c r="BD434" s="283"/>
      <c r="BE434" s="276"/>
      <c r="BG434" s="283"/>
      <c r="BH434" s="276"/>
      <c r="BI434" s="283"/>
      <c r="BJ434" s="276"/>
      <c r="BK434" s="283"/>
      <c r="BL434" s="276"/>
      <c r="BM434" s="283"/>
      <c r="BN434" s="276"/>
      <c r="BO434" s="283"/>
      <c r="BP434" s="276"/>
      <c r="BQ434" s="283"/>
      <c r="BR434" s="283"/>
      <c r="BS434" s="276"/>
    </row>
    <row r="435" spans="12:71" ht="12" customHeight="1">
      <c r="L435" s="283"/>
      <c r="M435" s="276"/>
      <c r="N435" s="283"/>
      <c r="O435" s="276"/>
      <c r="P435" s="283"/>
      <c r="Q435" s="276"/>
      <c r="S435" s="283"/>
      <c r="T435" s="276"/>
      <c r="W435" s="283"/>
      <c r="X435" s="276"/>
      <c r="Y435" s="283"/>
      <c r="Z435" s="276"/>
      <c r="AA435" s="283"/>
      <c r="AB435" s="276"/>
      <c r="AC435" s="283"/>
      <c r="AE435" s="283"/>
      <c r="AF435" s="276"/>
      <c r="AI435" s="283"/>
      <c r="AJ435" s="276"/>
      <c r="AK435" s="283"/>
      <c r="AL435" s="276"/>
      <c r="AM435" s="283"/>
      <c r="AN435" s="276"/>
      <c r="AO435" s="283"/>
      <c r="AP435" s="276"/>
      <c r="AQ435" s="283"/>
      <c r="AR435" s="276"/>
      <c r="AT435" s="283"/>
      <c r="AU435" s="276"/>
      <c r="AV435" s="283"/>
      <c r="AW435" s="276"/>
      <c r="AX435" s="283"/>
      <c r="AY435" s="276"/>
      <c r="AZ435" s="283"/>
      <c r="BA435" s="276"/>
      <c r="BB435" s="283"/>
      <c r="BC435" s="276"/>
      <c r="BD435" s="283"/>
      <c r="BE435" s="276"/>
      <c r="BG435" s="283"/>
      <c r="BH435" s="276"/>
      <c r="BI435" s="283"/>
      <c r="BJ435" s="276"/>
      <c r="BK435" s="283"/>
      <c r="BL435" s="276"/>
      <c r="BM435" s="283"/>
      <c r="BN435" s="276"/>
      <c r="BO435" s="283"/>
      <c r="BP435" s="276"/>
      <c r="BQ435" s="283"/>
      <c r="BR435" s="283"/>
      <c r="BS435" s="276"/>
    </row>
    <row r="436" spans="12:71" ht="12" customHeight="1">
      <c r="L436" s="283"/>
      <c r="M436" s="276"/>
      <c r="N436" s="283"/>
      <c r="O436" s="276"/>
      <c r="P436" s="283"/>
      <c r="Q436" s="276"/>
      <c r="S436" s="283"/>
      <c r="T436" s="276"/>
      <c r="W436" s="283"/>
      <c r="X436" s="276"/>
      <c r="Y436" s="283"/>
      <c r="Z436" s="276"/>
      <c r="AA436" s="283"/>
      <c r="AB436" s="276"/>
      <c r="AC436" s="283"/>
      <c r="AE436" s="283"/>
      <c r="AF436" s="276"/>
      <c r="AI436" s="283"/>
      <c r="AJ436" s="276"/>
      <c r="AK436" s="283"/>
      <c r="AL436" s="276"/>
      <c r="AM436" s="283"/>
      <c r="AN436" s="276"/>
      <c r="AO436" s="283"/>
      <c r="AP436" s="276"/>
      <c r="AQ436" s="283"/>
      <c r="AR436" s="276"/>
      <c r="AT436" s="283"/>
      <c r="AU436" s="276"/>
      <c r="AV436" s="283"/>
      <c r="AW436" s="276"/>
      <c r="AX436" s="283"/>
      <c r="AY436" s="276"/>
      <c r="AZ436" s="283"/>
      <c r="BA436" s="276"/>
      <c r="BB436" s="283"/>
      <c r="BC436" s="276"/>
      <c r="BD436" s="283"/>
      <c r="BE436" s="276"/>
      <c r="BG436" s="283"/>
      <c r="BH436" s="276"/>
      <c r="BI436" s="283"/>
      <c r="BJ436" s="276"/>
      <c r="BK436" s="283"/>
      <c r="BL436" s="276"/>
      <c r="BM436" s="283"/>
      <c r="BN436" s="276"/>
      <c r="BO436" s="283"/>
      <c r="BP436" s="276"/>
      <c r="BQ436" s="283"/>
      <c r="BR436" s="283"/>
      <c r="BS436" s="276"/>
    </row>
    <row r="437" spans="12:71" ht="12" customHeight="1">
      <c r="L437" s="283"/>
      <c r="M437" s="276"/>
      <c r="N437" s="283"/>
      <c r="O437" s="276"/>
      <c r="P437" s="283"/>
      <c r="Q437" s="276"/>
      <c r="S437" s="283"/>
      <c r="T437" s="276"/>
      <c r="W437" s="283"/>
      <c r="X437" s="276"/>
      <c r="Y437" s="283"/>
      <c r="Z437" s="276"/>
      <c r="AA437" s="283"/>
      <c r="AB437" s="276"/>
      <c r="AC437" s="283"/>
      <c r="AE437" s="283"/>
      <c r="AF437" s="276"/>
      <c r="AI437" s="283"/>
      <c r="AJ437" s="276"/>
      <c r="AK437" s="283"/>
      <c r="AL437" s="276"/>
      <c r="AM437" s="283"/>
      <c r="AN437" s="276"/>
      <c r="AO437" s="283"/>
      <c r="AP437" s="276"/>
      <c r="AQ437" s="283"/>
      <c r="AR437" s="276"/>
      <c r="AT437" s="283"/>
      <c r="AU437" s="276"/>
      <c r="AV437" s="283"/>
      <c r="AW437" s="276"/>
      <c r="AX437" s="283"/>
      <c r="AY437" s="276"/>
      <c r="AZ437" s="283"/>
      <c r="BA437" s="276"/>
      <c r="BB437" s="283"/>
      <c r="BC437" s="276"/>
      <c r="BD437" s="283"/>
      <c r="BE437" s="276"/>
      <c r="BG437" s="283"/>
      <c r="BH437" s="276"/>
      <c r="BI437" s="283"/>
      <c r="BJ437" s="276"/>
      <c r="BK437" s="283"/>
      <c r="BL437" s="276"/>
      <c r="BM437" s="283"/>
      <c r="BN437" s="276"/>
      <c r="BO437" s="283"/>
      <c r="BP437" s="276"/>
      <c r="BQ437" s="283"/>
      <c r="BR437" s="283"/>
      <c r="BS437" s="276"/>
    </row>
    <row r="438" spans="12:71" ht="12" customHeight="1">
      <c r="L438" s="283"/>
      <c r="M438" s="276"/>
      <c r="N438" s="283"/>
      <c r="O438" s="276"/>
      <c r="P438" s="283"/>
      <c r="Q438" s="276"/>
      <c r="S438" s="283"/>
      <c r="T438" s="276"/>
      <c r="W438" s="283"/>
      <c r="X438" s="276"/>
      <c r="Y438" s="283"/>
      <c r="Z438" s="276"/>
      <c r="AA438" s="283"/>
      <c r="AB438" s="276"/>
      <c r="AC438" s="283"/>
      <c r="AE438" s="283"/>
      <c r="AF438" s="276"/>
      <c r="AI438" s="283"/>
      <c r="AJ438" s="276"/>
      <c r="AK438" s="283"/>
      <c r="AL438" s="276"/>
      <c r="AM438" s="283"/>
      <c r="AN438" s="276"/>
      <c r="AO438" s="283"/>
      <c r="AP438" s="276"/>
      <c r="AQ438" s="283"/>
      <c r="AR438" s="276"/>
      <c r="AT438" s="283"/>
      <c r="AU438" s="276"/>
      <c r="AV438" s="283"/>
      <c r="AW438" s="276"/>
      <c r="AX438" s="283"/>
      <c r="AY438" s="276"/>
      <c r="AZ438" s="283"/>
      <c r="BA438" s="276"/>
      <c r="BB438" s="283"/>
      <c r="BC438" s="276"/>
      <c r="BD438" s="283"/>
      <c r="BE438" s="276"/>
      <c r="BG438" s="283"/>
      <c r="BH438" s="276"/>
      <c r="BI438" s="283"/>
      <c r="BJ438" s="276"/>
      <c r="BK438" s="283"/>
      <c r="BL438" s="276"/>
      <c r="BM438" s="283"/>
      <c r="BN438" s="276"/>
      <c r="BO438" s="283"/>
      <c r="BP438" s="276"/>
      <c r="BQ438" s="283"/>
      <c r="BR438" s="283"/>
      <c r="BS438" s="276"/>
    </row>
    <row r="439" spans="12:71" ht="12" customHeight="1">
      <c r="L439" s="283"/>
      <c r="M439" s="276"/>
      <c r="N439" s="283"/>
      <c r="O439" s="276"/>
      <c r="P439" s="283"/>
      <c r="Q439" s="276"/>
      <c r="S439" s="283"/>
      <c r="T439" s="276"/>
      <c r="W439" s="283"/>
      <c r="X439" s="276"/>
      <c r="Y439" s="283"/>
      <c r="Z439" s="276"/>
      <c r="AA439" s="283"/>
      <c r="AB439" s="276"/>
      <c r="AC439" s="283"/>
      <c r="AE439" s="283"/>
      <c r="AF439" s="276"/>
      <c r="AI439" s="283"/>
      <c r="AJ439" s="276"/>
      <c r="AK439" s="283"/>
      <c r="AL439" s="276"/>
      <c r="AM439" s="283"/>
      <c r="AN439" s="276"/>
      <c r="AO439" s="283"/>
      <c r="AP439" s="276"/>
      <c r="AQ439" s="283"/>
      <c r="AR439" s="276"/>
      <c r="AT439" s="283"/>
      <c r="AU439" s="276"/>
      <c r="AV439" s="283"/>
      <c r="AW439" s="276"/>
      <c r="AX439" s="283"/>
      <c r="AY439" s="276"/>
      <c r="AZ439" s="283"/>
      <c r="BA439" s="276"/>
      <c r="BB439" s="283"/>
      <c r="BC439" s="276"/>
      <c r="BD439" s="283"/>
      <c r="BE439" s="276"/>
      <c r="BG439" s="283"/>
      <c r="BH439" s="276"/>
      <c r="BI439" s="283"/>
      <c r="BJ439" s="276"/>
      <c r="BK439" s="283"/>
      <c r="BL439" s="276"/>
      <c r="BM439" s="283"/>
      <c r="BN439" s="276"/>
      <c r="BO439" s="283"/>
      <c r="BP439" s="276"/>
      <c r="BQ439" s="283"/>
      <c r="BR439" s="283"/>
      <c r="BS439" s="276"/>
    </row>
    <row r="440" spans="12:71" ht="12" customHeight="1">
      <c r="L440" s="283"/>
      <c r="M440" s="276"/>
      <c r="N440" s="283"/>
      <c r="O440" s="276"/>
      <c r="P440" s="283"/>
      <c r="Q440" s="276"/>
      <c r="S440" s="283"/>
      <c r="T440" s="276"/>
      <c r="W440" s="283"/>
      <c r="X440" s="276"/>
      <c r="Y440" s="283"/>
      <c r="Z440" s="276"/>
      <c r="AA440" s="283"/>
      <c r="AB440" s="276"/>
      <c r="AC440" s="283"/>
      <c r="AE440" s="283"/>
      <c r="AF440" s="276"/>
      <c r="AI440" s="283"/>
      <c r="AJ440" s="276"/>
      <c r="AK440" s="283"/>
      <c r="AL440" s="276"/>
      <c r="AM440" s="283"/>
      <c r="AN440" s="276"/>
      <c r="AO440" s="283"/>
      <c r="AP440" s="276"/>
      <c r="AQ440" s="283"/>
      <c r="AR440" s="276"/>
      <c r="AT440" s="283"/>
      <c r="AU440" s="276"/>
      <c r="AV440" s="283"/>
      <c r="AW440" s="276"/>
      <c r="AX440" s="283"/>
      <c r="AY440" s="276"/>
      <c r="AZ440" s="283"/>
      <c r="BA440" s="276"/>
      <c r="BB440" s="283"/>
      <c r="BC440" s="276"/>
      <c r="BD440" s="283"/>
      <c r="BE440" s="276"/>
      <c r="BG440" s="283"/>
      <c r="BH440" s="276"/>
      <c r="BI440" s="283"/>
      <c r="BJ440" s="276"/>
      <c r="BK440" s="283"/>
      <c r="BL440" s="276"/>
      <c r="BM440" s="283"/>
      <c r="BN440" s="276"/>
      <c r="BO440" s="283"/>
      <c r="BP440" s="276"/>
      <c r="BQ440" s="283"/>
      <c r="BR440" s="283"/>
      <c r="BS440" s="276"/>
    </row>
    <row r="441" spans="12:71" ht="12" customHeight="1">
      <c r="L441" s="283"/>
      <c r="M441" s="276"/>
      <c r="N441" s="283"/>
      <c r="O441" s="276"/>
      <c r="P441" s="283"/>
      <c r="Q441" s="276"/>
      <c r="S441" s="283"/>
      <c r="T441" s="276"/>
      <c r="W441" s="283"/>
      <c r="X441" s="276"/>
      <c r="Y441" s="283"/>
      <c r="Z441" s="276"/>
      <c r="AA441" s="283"/>
      <c r="AB441" s="276"/>
      <c r="AC441" s="283"/>
      <c r="AE441" s="283"/>
      <c r="AF441" s="276"/>
      <c r="AI441" s="283"/>
      <c r="AJ441" s="276"/>
      <c r="AK441" s="283"/>
      <c r="AL441" s="276"/>
      <c r="AM441" s="283"/>
      <c r="AN441" s="276"/>
      <c r="AO441" s="283"/>
      <c r="AP441" s="276"/>
      <c r="AQ441" s="283"/>
      <c r="AR441" s="276"/>
      <c r="AT441" s="283"/>
      <c r="AU441" s="276"/>
      <c r="AV441" s="283"/>
      <c r="AW441" s="276"/>
      <c r="AX441" s="283"/>
      <c r="AY441" s="276"/>
      <c r="AZ441" s="283"/>
      <c r="BA441" s="276"/>
      <c r="BB441" s="283"/>
      <c r="BC441" s="276"/>
      <c r="BD441" s="283"/>
      <c r="BE441" s="276"/>
      <c r="BG441" s="283"/>
      <c r="BH441" s="276"/>
      <c r="BI441" s="283"/>
      <c r="BJ441" s="276"/>
      <c r="BK441" s="283"/>
      <c r="BL441" s="276"/>
      <c r="BM441" s="283"/>
      <c r="BN441" s="276"/>
      <c r="BO441" s="283"/>
      <c r="BP441" s="276"/>
      <c r="BQ441" s="283"/>
      <c r="BR441" s="283"/>
      <c r="BS441" s="276"/>
    </row>
    <row r="442" spans="12:71" ht="12" customHeight="1">
      <c r="L442" s="283"/>
      <c r="M442" s="276"/>
      <c r="N442" s="283"/>
      <c r="O442" s="276"/>
      <c r="P442" s="283"/>
      <c r="Q442" s="276"/>
      <c r="S442" s="283"/>
      <c r="T442" s="276"/>
      <c r="W442" s="283"/>
      <c r="X442" s="276"/>
      <c r="Y442" s="283"/>
      <c r="Z442" s="276"/>
      <c r="AA442" s="283"/>
      <c r="AB442" s="276"/>
      <c r="AC442" s="283"/>
      <c r="AE442" s="283"/>
      <c r="AF442" s="276"/>
      <c r="AI442" s="283"/>
      <c r="AJ442" s="276"/>
      <c r="AK442" s="283"/>
      <c r="AL442" s="276"/>
      <c r="AM442" s="283"/>
      <c r="AN442" s="276"/>
      <c r="AO442" s="283"/>
      <c r="AP442" s="276"/>
      <c r="AQ442" s="283"/>
      <c r="AR442" s="276"/>
      <c r="AT442" s="283"/>
      <c r="AU442" s="276"/>
      <c r="AV442" s="283"/>
      <c r="AW442" s="276"/>
      <c r="AX442" s="283"/>
      <c r="AY442" s="276"/>
      <c r="AZ442" s="283"/>
      <c r="BA442" s="276"/>
      <c r="BB442" s="283"/>
      <c r="BC442" s="276"/>
      <c r="BD442" s="283"/>
      <c r="BE442" s="276"/>
      <c r="BG442" s="283"/>
      <c r="BH442" s="276"/>
      <c r="BI442" s="283"/>
      <c r="BJ442" s="276"/>
      <c r="BK442" s="283"/>
      <c r="BL442" s="276"/>
      <c r="BM442" s="283"/>
      <c r="BN442" s="276"/>
      <c r="BO442" s="283"/>
      <c r="BP442" s="276"/>
      <c r="BQ442" s="283"/>
      <c r="BR442" s="283"/>
      <c r="BS442" s="276"/>
    </row>
    <row r="443" spans="12:71" ht="12" customHeight="1">
      <c r="L443" s="283"/>
      <c r="M443" s="276"/>
      <c r="N443" s="283"/>
      <c r="O443" s="276"/>
      <c r="P443" s="283"/>
      <c r="Q443" s="276"/>
      <c r="S443" s="283"/>
      <c r="T443" s="276"/>
      <c r="W443" s="283"/>
      <c r="X443" s="276"/>
      <c r="Y443" s="283"/>
      <c r="Z443" s="276"/>
      <c r="AA443" s="283"/>
      <c r="AB443" s="276"/>
      <c r="AC443" s="283"/>
      <c r="AE443" s="283"/>
      <c r="AF443" s="276"/>
      <c r="AI443" s="283"/>
      <c r="AJ443" s="276"/>
      <c r="AK443" s="283"/>
      <c r="AL443" s="276"/>
      <c r="AM443" s="283"/>
      <c r="AN443" s="276"/>
      <c r="AO443" s="283"/>
      <c r="AP443" s="276"/>
      <c r="AQ443" s="283"/>
      <c r="AR443" s="276"/>
      <c r="AT443" s="283"/>
      <c r="AU443" s="276"/>
      <c r="AV443" s="283"/>
      <c r="AW443" s="276"/>
      <c r="AX443" s="283"/>
      <c r="AY443" s="276"/>
      <c r="AZ443" s="283"/>
      <c r="BA443" s="276"/>
      <c r="BB443" s="283"/>
      <c r="BC443" s="276"/>
      <c r="BD443" s="283"/>
      <c r="BE443" s="276"/>
      <c r="BG443" s="283"/>
      <c r="BH443" s="276"/>
      <c r="BI443" s="283"/>
      <c r="BJ443" s="276"/>
      <c r="BK443" s="283"/>
      <c r="BL443" s="276"/>
      <c r="BM443" s="283"/>
      <c r="BN443" s="276"/>
      <c r="BO443" s="283"/>
      <c r="BP443" s="276"/>
      <c r="BQ443" s="283"/>
      <c r="BR443" s="283"/>
      <c r="BS443" s="276"/>
    </row>
    <row r="444" spans="12:71" ht="12" customHeight="1">
      <c r="L444" s="283"/>
      <c r="M444" s="276"/>
      <c r="N444" s="283"/>
      <c r="O444" s="276"/>
      <c r="P444" s="283"/>
      <c r="Q444" s="276"/>
      <c r="S444" s="283"/>
      <c r="T444" s="276"/>
      <c r="W444" s="283"/>
      <c r="X444" s="276"/>
      <c r="Y444" s="283"/>
      <c r="Z444" s="276"/>
      <c r="AA444" s="283"/>
      <c r="AB444" s="276"/>
      <c r="AC444" s="283"/>
      <c r="AE444" s="283"/>
      <c r="AF444" s="276"/>
      <c r="AI444" s="283"/>
      <c r="AJ444" s="276"/>
      <c r="AK444" s="283"/>
      <c r="AL444" s="276"/>
      <c r="AM444" s="283"/>
      <c r="AN444" s="276"/>
      <c r="AO444" s="283"/>
      <c r="AP444" s="276"/>
      <c r="AQ444" s="283"/>
      <c r="AR444" s="276"/>
      <c r="AT444" s="283"/>
      <c r="AU444" s="276"/>
      <c r="AV444" s="283"/>
      <c r="AW444" s="276"/>
      <c r="AX444" s="283"/>
      <c r="AY444" s="276"/>
      <c r="AZ444" s="283"/>
      <c r="BA444" s="276"/>
      <c r="BB444" s="283"/>
      <c r="BC444" s="276"/>
      <c r="BD444" s="283"/>
      <c r="BE444" s="276"/>
      <c r="BG444" s="283"/>
      <c r="BH444" s="276"/>
      <c r="BI444" s="283"/>
      <c r="BJ444" s="276"/>
      <c r="BK444" s="283"/>
      <c r="BL444" s="276"/>
      <c r="BM444" s="283"/>
      <c r="BN444" s="276"/>
      <c r="BO444" s="283"/>
      <c r="BP444" s="276"/>
      <c r="BQ444" s="283"/>
      <c r="BR444" s="283"/>
      <c r="BS444" s="276"/>
    </row>
    <row r="445" spans="12:71" ht="12" customHeight="1">
      <c r="L445" s="283"/>
      <c r="M445" s="276"/>
      <c r="N445" s="283"/>
      <c r="O445" s="276"/>
      <c r="P445" s="283"/>
      <c r="Q445" s="276"/>
      <c r="S445" s="283"/>
      <c r="T445" s="276"/>
      <c r="W445" s="283"/>
      <c r="X445" s="276"/>
      <c r="Y445" s="283"/>
      <c r="Z445" s="276"/>
      <c r="AA445" s="283"/>
      <c r="AB445" s="276"/>
      <c r="AC445" s="283"/>
      <c r="AE445" s="283"/>
      <c r="AF445" s="276"/>
      <c r="AI445" s="283"/>
      <c r="AJ445" s="276"/>
      <c r="AK445" s="283"/>
      <c r="AL445" s="276"/>
      <c r="AM445" s="283"/>
      <c r="AN445" s="276"/>
      <c r="AO445" s="283"/>
      <c r="AP445" s="276"/>
      <c r="AQ445" s="283"/>
      <c r="AR445" s="276"/>
      <c r="AT445" s="283"/>
      <c r="AU445" s="276"/>
      <c r="AV445" s="283"/>
      <c r="AW445" s="276"/>
      <c r="AX445" s="283"/>
      <c r="AY445" s="276"/>
      <c r="AZ445" s="283"/>
      <c r="BA445" s="276"/>
      <c r="BB445" s="283"/>
      <c r="BC445" s="276"/>
      <c r="BD445" s="283"/>
      <c r="BE445" s="276"/>
      <c r="BG445" s="283"/>
      <c r="BH445" s="276"/>
      <c r="BI445" s="283"/>
      <c r="BJ445" s="276"/>
      <c r="BK445" s="283"/>
      <c r="BL445" s="276"/>
      <c r="BM445" s="283"/>
      <c r="BN445" s="276"/>
      <c r="BO445" s="283"/>
      <c r="BP445" s="276"/>
      <c r="BQ445" s="283"/>
      <c r="BR445" s="283"/>
      <c r="BS445" s="276"/>
    </row>
    <row r="446" spans="12:71" ht="12" customHeight="1">
      <c r="L446" s="283"/>
      <c r="M446" s="276"/>
      <c r="N446" s="283"/>
      <c r="O446" s="276"/>
      <c r="P446" s="283"/>
      <c r="Q446" s="276"/>
      <c r="S446" s="283"/>
      <c r="T446" s="276"/>
      <c r="W446" s="283"/>
      <c r="X446" s="276"/>
      <c r="Y446" s="283"/>
      <c r="Z446" s="276"/>
      <c r="AA446" s="283"/>
      <c r="AB446" s="276"/>
      <c r="AC446" s="283"/>
      <c r="AE446" s="283"/>
      <c r="AF446" s="276"/>
      <c r="AI446" s="283"/>
      <c r="AJ446" s="276"/>
      <c r="AK446" s="283"/>
      <c r="AL446" s="276"/>
      <c r="AM446" s="283"/>
      <c r="AN446" s="276"/>
      <c r="AO446" s="283"/>
      <c r="AP446" s="276"/>
      <c r="AQ446" s="283"/>
      <c r="AR446" s="276"/>
      <c r="AT446" s="283"/>
      <c r="AU446" s="276"/>
      <c r="AV446" s="283"/>
      <c r="AW446" s="276"/>
      <c r="AX446" s="283"/>
      <c r="AY446" s="276"/>
      <c r="AZ446" s="283"/>
      <c r="BA446" s="276"/>
      <c r="BB446" s="283"/>
      <c r="BC446" s="276"/>
      <c r="BD446" s="283"/>
      <c r="BE446" s="276"/>
      <c r="BG446" s="283"/>
      <c r="BH446" s="276"/>
      <c r="BI446" s="283"/>
      <c r="BJ446" s="276"/>
      <c r="BK446" s="283"/>
      <c r="BL446" s="276"/>
      <c r="BM446" s="283"/>
      <c r="BN446" s="276"/>
      <c r="BO446" s="283"/>
      <c r="BP446" s="276"/>
      <c r="BQ446" s="283"/>
      <c r="BR446" s="283"/>
      <c r="BS446" s="276"/>
    </row>
    <row r="447" spans="12:71" ht="12" customHeight="1">
      <c r="L447" s="283"/>
      <c r="M447" s="276"/>
      <c r="N447" s="283"/>
      <c r="O447" s="276"/>
      <c r="P447" s="283"/>
      <c r="Q447" s="276"/>
      <c r="S447" s="283"/>
      <c r="T447" s="276"/>
      <c r="W447" s="283"/>
      <c r="X447" s="276"/>
      <c r="Y447" s="283"/>
      <c r="Z447" s="276"/>
      <c r="AA447" s="283"/>
      <c r="AB447" s="276"/>
      <c r="AC447" s="283"/>
      <c r="AE447" s="283"/>
      <c r="AF447" s="276"/>
      <c r="AI447" s="283"/>
      <c r="AJ447" s="276"/>
      <c r="AK447" s="283"/>
      <c r="AL447" s="276"/>
      <c r="AM447" s="283"/>
      <c r="AN447" s="276"/>
      <c r="AO447" s="283"/>
      <c r="AP447" s="276"/>
      <c r="AQ447" s="283"/>
      <c r="AR447" s="276"/>
      <c r="AT447" s="283"/>
      <c r="AU447" s="276"/>
      <c r="AV447" s="283"/>
      <c r="AW447" s="276"/>
      <c r="AX447" s="283"/>
      <c r="AY447" s="276"/>
      <c r="AZ447" s="283"/>
      <c r="BA447" s="276"/>
      <c r="BB447" s="283"/>
      <c r="BC447" s="276"/>
      <c r="BD447" s="283"/>
      <c r="BE447" s="276"/>
      <c r="BG447" s="283"/>
      <c r="BH447" s="276"/>
      <c r="BI447" s="283"/>
      <c r="BJ447" s="276"/>
      <c r="BK447" s="283"/>
      <c r="BL447" s="276"/>
      <c r="BM447" s="283"/>
      <c r="BN447" s="276"/>
      <c r="BO447" s="283"/>
      <c r="BP447" s="276"/>
      <c r="BQ447" s="283"/>
      <c r="BR447" s="283"/>
      <c r="BS447" s="276"/>
    </row>
    <row r="448" spans="12:71" ht="12" customHeight="1">
      <c r="L448" s="283"/>
      <c r="M448" s="276"/>
      <c r="N448" s="283"/>
      <c r="O448" s="276"/>
      <c r="P448" s="283"/>
      <c r="Q448" s="276"/>
      <c r="S448" s="283"/>
      <c r="T448" s="276"/>
      <c r="W448" s="283"/>
      <c r="X448" s="276"/>
      <c r="Y448" s="283"/>
      <c r="Z448" s="276"/>
      <c r="AA448" s="283"/>
      <c r="AB448" s="276"/>
      <c r="AC448" s="283"/>
      <c r="AE448" s="283"/>
      <c r="AF448" s="276"/>
      <c r="AI448" s="283"/>
      <c r="AJ448" s="276"/>
      <c r="AK448" s="283"/>
      <c r="AL448" s="276"/>
      <c r="AM448" s="283"/>
      <c r="AN448" s="276"/>
      <c r="AO448" s="283"/>
      <c r="AP448" s="276"/>
      <c r="AQ448" s="283"/>
      <c r="AR448" s="276"/>
      <c r="AT448" s="283"/>
      <c r="AU448" s="276"/>
      <c r="AV448" s="283"/>
      <c r="AW448" s="276"/>
      <c r="AX448" s="283"/>
      <c r="AY448" s="276"/>
      <c r="AZ448" s="283"/>
      <c r="BA448" s="276"/>
      <c r="BB448" s="283"/>
      <c r="BC448" s="276"/>
      <c r="BD448" s="283"/>
      <c r="BE448" s="276"/>
      <c r="BG448" s="283"/>
      <c r="BH448" s="276"/>
      <c r="BI448" s="283"/>
      <c r="BJ448" s="276"/>
      <c r="BK448" s="283"/>
      <c r="BL448" s="276"/>
      <c r="BM448" s="283"/>
      <c r="BN448" s="276"/>
      <c r="BO448" s="283"/>
      <c r="BP448" s="276"/>
      <c r="BQ448" s="283"/>
      <c r="BR448" s="283"/>
      <c r="BS448" s="276"/>
    </row>
    <row r="449" spans="12:71" ht="12" customHeight="1">
      <c r="L449" s="283"/>
      <c r="M449" s="276"/>
      <c r="N449" s="283"/>
      <c r="O449" s="276"/>
      <c r="P449" s="283"/>
      <c r="Q449" s="276"/>
      <c r="S449" s="283"/>
      <c r="T449" s="276"/>
      <c r="W449" s="283"/>
      <c r="X449" s="276"/>
      <c r="Y449" s="283"/>
      <c r="Z449" s="276"/>
      <c r="AA449" s="283"/>
      <c r="AB449" s="276"/>
      <c r="AC449" s="283"/>
      <c r="AE449" s="283"/>
      <c r="AF449" s="276"/>
      <c r="AI449" s="283"/>
      <c r="AJ449" s="276"/>
      <c r="AK449" s="283"/>
      <c r="AL449" s="276"/>
      <c r="AM449" s="283"/>
      <c r="AN449" s="276"/>
      <c r="AO449" s="283"/>
      <c r="AP449" s="276"/>
      <c r="AQ449" s="283"/>
      <c r="AR449" s="276"/>
      <c r="AT449" s="283"/>
      <c r="AU449" s="276"/>
      <c r="AV449" s="283"/>
      <c r="AW449" s="276"/>
      <c r="AX449" s="283"/>
      <c r="AY449" s="276"/>
      <c r="AZ449" s="283"/>
      <c r="BA449" s="276"/>
      <c r="BB449" s="283"/>
      <c r="BC449" s="276"/>
      <c r="BD449" s="283"/>
      <c r="BE449" s="276"/>
      <c r="BG449" s="283"/>
      <c r="BH449" s="276"/>
      <c r="BI449" s="283"/>
      <c r="BJ449" s="276"/>
      <c r="BK449" s="283"/>
      <c r="BL449" s="276"/>
      <c r="BM449" s="283"/>
      <c r="BN449" s="276"/>
      <c r="BO449" s="283"/>
      <c r="BP449" s="276"/>
      <c r="BQ449" s="283"/>
      <c r="BR449" s="283"/>
      <c r="BS449" s="276"/>
    </row>
    <row r="450" spans="12:71" ht="12" customHeight="1">
      <c r="L450" s="283"/>
      <c r="M450" s="276"/>
      <c r="N450" s="283"/>
      <c r="O450" s="276"/>
      <c r="P450" s="283"/>
      <c r="Q450" s="276"/>
      <c r="S450" s="283"/>
      <c r="T450" s="276"/>
      <c r="W450" s="283"/>
      <c r="X450" s="276"/>
      <c r="Y450" s="283"/>
      <c r="Z450" s="276"/>
      <c r="AA450" s="283"/>
      <c r="AB450" s="276"/>
      <c r="AC450" s="283"/>
      <c r="AE450" s="283"/>
      <c r="AF450" s="276"/>
      <c r="AI450" s="283"/>
      <c r="AJ450" s="276"/>
      <c r="AK450" s="283"/>
      <c r="AL450" s="276"/>
      <c r="AM450" s="283"/>
      <c r="AN450" s="276"/>
      <c r="AO450" s="283"/>
      <c r="AP450" s="276"/>
      <c r="AQ450" s="283"/>
      <c r="AR450" s="276"/>
      <c r="AT450" s="283"/>
      <c r="AU450" s="276"/>
      <c r="AV450" s="283"/>
      <c r="AW450" s="276"/>
      <c r="AX450" s="283"/>
      <c r="AY450" s="276"/>
      <c r="AZ450" s="283"/>
      <c r="BA450" s="276"/>
      <c r="BB450" s="283"/>
      <c r="BC450" s="276"/>
      <c r="BD450" s="283"/>
      <c r="BE450" s="276"/>
      <c r="BG450" s="283"/>
      <c r="BH450" s="276"/>
      <c r="BI450" s="283"/>
      <c r="BJ450" s="276"/>
      <c r="BK450" s="283"/>
      <c r="BL450" s="276"/>
      <c r="BM450" s="283"/>
      <c r="BN450" s="276"/>
      <c r="BO450" s="283"/>
      <c r="BP450" s="276"/>
      <c r="BQ450" s="283"/>
      <c r="BR450" s="283"/>
      <c r="BS450" s="276"/>
    </row>
    <row r="451" spans="12:71" ht="12" customHeight="1">
      <c r="L451" s="283"/>
      <c r="M451" s="276"/>
      <c r="N451" s="283"/>
      <c r="O451" s="276"/>
      <c r="P451" s="283"/>
      <c r="Q451" s="276"/>
      <c r="S451" s="283"/>
      <c r="T451" s="276"/>
      <c r="W451" s="283"/>
      <c r="X451" s="276"/>
      <c r="Y451" s="283"/>
      <c r="Z451" s="276"/>
      <c r="AA451" s="283"/>
      <c r="AB451" s="276"/>
      <c r="AC451" s="283"/>
      <c r="AE451" s="283"/>
      <c r="AF451" s="276"/>
      <c r="AI451" s="283"/>
      <c r="AJ451" s="276"/>
      <c r="AK451" s="283"/>
      <c r="AL451" s="276"/>
      <c r="AM451" s="283"/>
      <c r="AN451" s="276"/>
      <c r="AO451" s="283"/>
      <c r="AP451" s="276"/>
      <c r="AQ451" s="283"/>
      <c r="AR451" s="276"/>
      <c r="AT451" s="283"/>
      <c r="AU451" s="276"/>
      <c r="AV451" s="283"/>
      <c r="AW451" s="276"/>
      <c r="AX451" s="283"/>
      <c r="AY451" s="276"/>
      <c r="AZ451" s="283"/>
      <c r="BA451" s="276"/>
      <c r="BB451" s="283"/>
      <c r="BC451" s="276"/>
      <c r="BD451" s="283"/>
      <c r="BE451" s="276"/>
      <c r="BG451" s="283"/>
      <c r="BH451" s="276"/>
      <c r="BI451" s="283"/>
      <c r="BJ451" s="276"/>
      <c r="BK451" s="283"/>
      <c r="BL451" s="276"/>
      <c r="BM451" s="283"/>
      <c r="BN451" s="276"/>
      <c r="BO451" s="283"/>
      <c r="BP451" s="276"/>
      <c r="BQ451" s="283"/>
      <c r="BR451" s="283"/>
      <c r="BS451" s="276"/>
    </row>
    <row r="452" spans="12:71" ht="12" customHeight="1">
      <c r="L452" s="283"/>
      <c r="M452" s="276"/>
      <c r="N452" s="283"/>
      <c r="O452" s="276"/>
      <c r="P452" s="283"/>
      <c r="Q452" s="276"/>
      <c r="S452" s="283"/>
      <c r="T452" s="276"/>
      <c r="W452" s="283"/>
      <c r="X452" s="276"/>
      <c r="Y452" s="283"/>
      <c r="Z452" s="276"/>
      <c r="AA452" s="283"/>
      <c r="AB452" s="276"/>
      <c r="AC452" s="283"/>
      <c r="AE452" s="283"/>
      <c r="AF452" s="276"/>
      <c r="AI452" s="283"/>
      <c r="AJ452" s="276"/>
      <c r="AK452" s="283"/>
      <c r="AL452" s="276"/>
      <c r="AM452" s="283"/>
      <c r="AN452" s="276"/>
      <c r="AO452" s="283"/>
      <c r="AP452" s="276"/>
      <c r="AQ452" s="283"/>
      <c r="AR452" s="276"/>
      <c r="AT452" s="283"/>
      <c r="AU452" s="276"/>
      <c r="AV452" s="283"/>
      <c r="AW452" s="276"/>
      <c r="AX452" s="283"/>
      <c r="AY452" s="276"/>
      <c r="AZ452" s="283"/>
      <c r="BA452" s="276"/>
      <c r="BB452" s="283"/>
      <c r="BC452" s="276"/>
      <c r="BD452" s="283"/>
      <c r="BE452" s="276"/>
      <c r="BG452" s="283"/>
      <c r="BH452" s="276"/>
      <c r="BI452" s="283"/>
      <c r="BJ452" s="276"/>
      <c r="BK452" s="283"/>
      <c r="BL452" s="276"/>
      <c r="BM452" s="283"/>
      <c r="BN452" s="276"/>
      <c r="BO452" s="283"/>
      <c r="BP452" s="276"/>
      <c r="BQ452" s="283"/>
      <c r="BR452" s="283"/>
      <c r="BS452" s="276"/>
    </row>
    <row r="453" spans="12:71" ht="12" customHeight="1">
      <c r="L453" s="283"/>
      <c r="M453" s="276"/>
      <c r="N453" s="283"/>
      <c r="O453" s="276"/>
      <c r="P453" s="283"/>
      <c r="Q453" s="276"/>
      <c r="S453" s="283"/>
      <c r="T453" s="276"/>
      <c r="W453" s="283"/>
      <c r="X453" s="276"/>
      <c r="Y453" s="283"/>
      <c r="Z453" s="276"/>
      <c r="AA453" s="283"/>
      <c r="AB453" s="276"/>
      <c r="AC453" s="283"/>
      <c r="AE453" s="283"/>
      <c r="AF453" s="276"/>
      <c r="AI453" s="283"/>
      <c r="AJ453" s="276"/>
      <c r="AK453" s="283"/>
      <c r="AL453" s="276"/>
      <c r="AM453" s="283"/>
      <c r="AN453" s="276"/>
      <c r="AO453" s="283"/>
      <c r="AP453" s="276"/>
      <c r="AQ453" s="283"/>
      <c r="AR453" s="276"/>
      <c r="AT453" s="283"/>
      <c r="AU453" s="276"/>
      <c r="AV453" s="283"/>
      <c r="AW453" s="276"/>
      <c r="AX453" s="283"/>
      <c r="AY453" s="276"/>
      <c r="AZ453" s="283"/>
      <c r="BA453" s="276"/>
      <c r="BB453" s="283"/>
      <c r="BC453" s="276"/>
      <c r="BD453" s="283"/>
      <c r="BE453" s="276"/>
      <c r="BG453" s="283"/>
      <c r="BH453" s="276"/>
      <c r="BI453" s="283"/>
      <c r="BJ453" s="276"/>
      <c r="BK453" s="283"/>
      <c r="BL453" s="276"/>
      <c r="BM453" s="283"/>
      <c r="BN453" s="276"/>
      <c r="BO453" s="283"/>
      <c r="BP453" s="276"/>
      <c r="BQ453" s="283"/>
      <c r="BR453" s="283"/>
      <c r="BS453" s="276"/>
    </row>
    <row r="454" spans="12:71" ht="12" customHeight="1">
      <c r="L454" s="283"/>
      <c r="M454" s="276"/>
      <c r="N454" s="283"/>
      <c r="O454" s="276"/>
      <c r="P454" s="283"/>
      <c r="Q454" s="276"/>
      <c r="S454" s="283"/>
      <c r="T454" s="276"/>
      <c r="W454" s="283"/>
      <c r="X454" s="276"/>
      <c r="Y454" s="283"/>
      <c r="Z454" s="276"/>
      <c r="AA454" s="283"/>
      <c r="AB454" s="276"/>
      <c r="AC454" s="283"/>
      <c r="AE454" s="283"/>
      <c r="AF454" s="276"/>
      <c r="AI454" s="283"/>
      <c r="AJ454" s="276"/>
      <c r="AK454" s="283"/>
      <c r="AL454" s="276"/>
      <c r="AM454" s="283"/>
      <c r="AN454" s="276"/>
      <c r="AO454" s="283"/>
      <c r="AP454" s="276"/>
      <c r="AQ454" s="283"/>
      <c r="AR454" s="276"/>
      <c r="AT454" s="283"/>
      <c r="AU454" s="276"/>
      <c r="AV454" s="283"/>
      <c r="AW454" s="276"/>
      <c r="AX454" s="283"/>
      <c r="AY454" s="276"/>
      <c r="AZ454" s="283"/>
      <c r="BA454" s="276"/>
      <c r="BB454" s="283"/>
      <c r="BC454" s="276"/>
      <c r="BD454" s="283"/>
      <c r="BE454" s="276"/>
      <c r="BG454" s="283"/>
      <c r="BH454" s="276"/>
      <c r="BI454" s="283"/>
      <c r="BJ454" s="276"/>
      <c r="BK454" s="283"/>
      <c r="BL454" s="276"/>
      <c r="BM454" s="283"/>
      <c r="BN454" s="276"/>
      <c r="BO454" s="283"/>
      <c r="BP454" s="276"/>
      <c r="BQ454" s="283"/>
      <c r="BR454" s="283"/>
      <c r="BS454" s="276"/>
    </row>
    <row r="455" spans="12:71" ht="12" customHeight="1">
      <c r="L455" s="283"/>
      <c r="M455" s="276"/>
      <c r="N455" s="283"/>
      <c r="O455" s="276"/>
      <c r="P455" s="283"/>
      <c r="Q455" s="276"/>
      <c r="S455" s="283"/>
      <c r="T455" s="276"/>
      <c r="W455" s="283"/>
      <c r="X455" s="276"/>
      <c r="Y455" s="283"/>
      <c r="Z455" s="276"/>
      <c r="AA455" s="283"/>
      <c r="AB455" s="276"/>
      <c r="AC455" s="283"/>
      <c r="AE455" s="283"/>
      <c r="AF455" s="276"/>
      <c r="AI455" s="283"/>
      <c r="AJ455" s="276"/>
      <c r="AK455" s="283"/>
      <c r="AL455" s="276"/>
      <c r="AM455" s="283"/>
      <c r="AN455" s="276"/>
      <c r="AO455" s="283"/>
      <c r="AP455" s="276"/>
      <c r="AQ455" s="283"/>
      <c r="AR455" s="276"/>
      <c r="AT455" s="283"/>
      <c r="AU455" s="276"/>
      <c r="AV455" s="283"/>
      <c r="AW455" s="276"/>
      <c r="AX455" s="283"/>
      <c r="AY455" s="276"/>
      <c r="AZ455" s="283"/>
      <c r="BA455" s="276"/>
      <c r="BB455" s="283"/>
      <c r="BC455" s="276"/>
      <c r="BD455" s="283"/>
      <c r="BE455" s="276"/>
      <c r="BG455" s="283"/>
      <c r="BH455" s="276"/>
      <c r="BI455" s="283"/>
      <c r="BJ455" s="276"/>
      <c r="BK455" s="283"/>
      <c r="BL455" s="276"/>
      <c r="BM455" s="283"/>
      <c r="BN455" s="276"/>
      <c r="BO455" s="283"/>
      <c r="BP455" s="276"/>
      <c r="BQ455" s="283"/>
      <c r="BR455" s="283"/>
      <c r="BS455" s="276"/>
    </row>
    <row r="456" spans="12:71" ht="12" customHeight="1">
      <c r="L456" s="283"/>
      <c r="M456" s="276"/>
      <c r="N456" s="283"/>
      <c r="O456" s="276"/>
      <c r="P456" s="283"/>
      <c r="Q456" s="276"/>
      <c r="S456" s="283"/>
      <c r="T456" s="276"/>
      <c r="W456" s="283"/>
      <c r="X456" s="276"/>
      <c r="Y456" s="283"/>
      <c r="Z456" s="276"/>
      <c r="AA456" s="283"/>
      <c r="AB456" s="276"/>
      <c r="AC456" s="283"/>
      <c r="AE456" s="283"/>
      <c r="AF456" s="276"/>
      <c r="AI456" s="283"/>
      <c r="AJ456" s="276"/>
      <c r="AK456" s="283"/>
      <c r="AL456" s="276"/>
      <c r="AM456" s="283"/>
      <c r="AN456" s="276"/>
      <c r="AO456" s="283"/>
      <c r="AP456" s="276"/>
      <c r="AQ456" s="283"/>
      <c r="AR456" s="276"/>
      <c r="AT456" s="283"/>
      <c r="AU456" s="276"/>
      <c r="AV456" s="283"/>
      <c r="AW456" s="276"/>
      <c r="AX456" s="283"/>
      <c r="AY456" s="276"/>
      <c r="AZ456" s="283"/>
      <c r="BA456" s="276"/>
      <c r="BB456" s="283"/>
      <c r="BC456" s="276"/>
      <c r="BD456" s="283"/>
      <c r="BE456" s="276"/>
      <c r="BG456" s="283"/>
      <c r="BH456" s="276"/>
      <c r="BI456" s="283"/>
      <c r="BJ456" s="276"/>
      <c r="BK456" s="283"/>
      <c r="BL456" s="276"/>
      <c r="BM456" s="283"/>
      <c r="BN456" s="276"/>
      <c r="BO456" s="283"/>
      <c r="BP456" s="276"/>
      <c r="BQ456" s="283"/>
      <c r="BR456" s="283"/>
      <c r="BS456" s="276"/>
    </row>
    <row r="457" spans="12:71" ht="12" customHeight="1">
      <c r="L457" s="283"/>
      <c r="M457" s="276"/>
      <c r="N457" s="283"/>
      <c r="O457" s="276"/>
      <c r="P457" s="283"/>
      <c r="Q457" s="276"/>
      <c r="S457" s="283"/>
      <c r="T457" s="276"/>
      <c r="W457" s="283"/>
      <c r="X457" s="276"/>
      <c r="Y457" s="283"/>
      <c r="Z457" s="276"/>
      <c r="AA457" s="283"/>
      <c r="AB457" s="276"/>
      <c r="AC457" s="283"/>
      <c r="AE457" s="283"/>
      <c r="AF457" s="276"/>
      <c r="AI457" s="283"/>
      <c r="AJ457" s="276"/>
      <c r="AK457" s="283"/>
      <c r="AL457" s="276"/>
      <c r="AM457" s="283"/>
      <c r="AN457" s="276"/>
      <c r="AO457" s="283"/>
      <c r="AP457" s="276"/>
      <c r="AQ457" s="283"/>
      <c r="AR457" s="276"/>
      <c r="AT457" s="283"/>
      <c r="AU457" s="276"/>
      <c r="AV457" s="283"/>
      <c r="AW457" s="276"/>
      <c r="AX457" s="283"/>
      <c r="AY457" s="276"/>
      <c r="AZ457" s="283"/>
      <c r="BA457" s="276"/>
      <c r="BB457" s="283"/>
      <c r="BC457" s="276"/>
      <c r="BD457" s="283"/>
      <c r="BE457" s="276"/>
      <c r="BG457" s="283"/>
      <c r="BH457" s="276"/>
      <c r="BI457" s="283"/>
      <c r="BJ457" s="276"/>
      <c r="BK457" s="283"/>
      <c r="BL457" s="276"/>
      <c r="BM457" s="283"/>
      <c r="BN457" s="276"/>
      <c r="BO457" s="283"/>
      <c r="BP457" s="276"/>
      <c r="BQ457" s="283"/>
      <c r="BR457" s="283"/>
      <c r="BS457" s="276"/>
    </row>
    <row r="458" spans="12:71" ht="12" customHeight="1">
      <c r="L458" s="283"/>
      <c r="M458" s="276"/>
      <c r="N458" s="283"/>
      <c r="O458" s="276"/>
      <c r="P458" s="283"/>
      <c r="Q458" s="276"/>
      <c r="S458" s="283"/>
      <c r="T458" s="276"/>
      <c r="W458" s="283"/>
      <c r="X458" s="276"/>
      <c r="Y458" s="283"/>
      <c r="Z458" s="276"/>
      <c r="AA458" s="283"/>
      <c r="AB458" s="276"/>
      <c r="AC458" s="283"/>
      <c r="AE458" s="283"/>
      <c r="AF458" s="276"/>
      <c r="AI458" s="283"/>
      <c r="AJ458" s="276"/>
      <c r="AK458" s="283"/>
      <c r="AL458" s="276"/>
      <c r="AM458" s="283"/>
      <c r="AN458" s="276"/>
      <c r="AO458" s="283"/>
      <c r="AP458" s="276"/>
      <c r="AQ458" s="283"/>
      <c r="AR458" s="276"/>
      <c r="AT458" s="283"/>
      <c r="AU458" s="276"/>
      <c r="AV458" s="283"/>
      <c r="AW458" s="276"/>
      <c r="AX458" s="283"/>
      <c r="AY458" s="276"/>
      <c r="AZ458" s="283"/>
      <c r="BA458" s="276"/>
      <c r="BB458" s="283"/>
      <c r="BC458" s="276"/>
      <c r="BD458" s="283"/>
      <c r="BE458" s="276"/>
      <c r="BG458" s="283"/>
      <c r="BH458" s="276"/>
      <c r="BI458" s="283"/>
      <c r="BJ458" s="276"/>
      <c r="BK458" s="283"/>
      <c r="BL458" s="276"/>
      <c r="BM458" s="283"/>
      <c r="BN458" s="276"/>
      <c r="BO458" s="283"/>
      <c r="BP458" s="276"/>
      <c r="BQ458" s="283"/>
      <c r="BR458" s="283"/>
      <c r="BS458" s="276"/>
    </row>
    <row r="459" spans="12:71" ht="12" customHeight="1">
      <c r="L459" s="283"/>
      <c r="M459" s="276"/>
      <c r="N459" s="283"/>
      <c r="O459" s="276"/>
      <c r="P459" s="283"/>
      <c r="Q459" s="276"/>
      <c r="S459" s="283"/>
      <c r="T459" s="276"/>
      <c r="W459" s="283"/>
      <c r="X459" s="276"/>
      <c r="Y459" s="283"/>
      <c r="Z459" s="276"/>
      <c r="AA459" s="283"/>
      <c r="AB459" s="276"/>
      <c r="AC459" s="283"/>
      <c r="AE459" s="283"/>
      <c r="AF459" s="276"/>
      <c r="AI459" s="283"/>
      <c r="AJ459" s="276"/>
      <c r="AK459" s="283"/>
      <c r="AL459" s="276"/>
      <c r="AM459" s="283"/>
      <c r="AN459" s="276"/>
      <c r="AO459" s="283"/>
      <c r="AP459" s="276"/>
      <c r="AQ459" s="283"/>
      <c r="AR459" s="276"/>
      <c r="AT459" s="283"/>
      <c r="AU459" s="276"/>
      <c r="AV459" s="283"/>
      <c r="AW459" s="276"/>
      <c r="AX459" s="283"/>
      <c r="AY459" s="276"/>
      <c r="AZ459" s="283"/>
      <c r="BA459" s="276"/>
      <c r="BB459" s="283"/>
      <c r="BC459" s="276"/>
      <c r="BD459" s="283"/>
      <c r="BE459" s="276"/>
      <c r="BG459" s="283"/>
      <c r="BH459" s="276"/>
      <c r="BI459" s="283"/>
      <c r="BJ459" s="276"/>
      <c r="BK459" s="283"/>
      <c r="BL459" s="276"/>
      <c r="BM459" s="283"/>
      <c r="BN459" s="276"/>
      <c r="BO459" s="283"/>
      <c r="BP459" s="276"/>
      <c r="BQ459" s="283"/>
      <c r="BR459" s="283"/>
      <c r="BS459" s="276"/>
    </row>
    <row r="460" spans="12:71" ht="12" customHeight="1">
      <c r="L460" s="283"/>
      <c r="M460" s="276"/>
      <c r="N460" s="283"/>
      <c r="O460" s="276"/>
      <c r="P460" s="283"/>
      <c r="Q460" s="276"/>
      <c r="S460" s="283"/>
      <c r="T460" s="276"/>
      <c r="W460" s="283"/>
      <c r="X460" s="276"/>
      <c r="Y460" s="283"/>
      <c r="Z460" s="276"/>
      <c r="AA460" s="283"/>
      <c r="AB460" s="276"/>
      <c r="AC460" s="283"/>
      <c r="AE460" s="283"/>
      <c r="AF460" s="276"/>
      <c r="AI460" s="283"/>
      <c r="AJ460" s="276"/>
      <c r="AK460" s="283"/>
      <c r="AL460" s="276"/>
      <c r="AM460" s="283"/>
      <c r="AN460" s="276"/>
      <c r="AO460" s="283"/>
      <c r="AP460" s="276"/>
      <c r="AQ460" s="283"/>
      <c r="AR460" s="276"/>
      <c r="AT460" s="283"/>
      <c r="AU460" s="276"/>
      <c r="AV460" s="283"/>
      <c r="AW460" s="276"/>
      <c r="AX460" s="283"/>
      <c r="AY460" s="276"/>
      <c r="AZ460" s="283"/>
      <c r="BA460" s="276"/>
      <c r="BB460" s="283"/>
      <c r="BC460" s="276"/>
      <c r="BD460" s="283"/>
      <c r="BE460" s="276"/>
      <c r="BG460" s="283"/>
      <c r="BH460" s="276"/>
      <c r="BI460" s="283"/>
      <c r="BJ460" s="276"/>
      <c r="BK460" s="283"/>
      <c r="BL460" s="276"/>
      <c r="BM460" s="283"/>
      <c r="BN460" s="276"/>
      <c r="BO460" s="283"/>
      <c r="BP460" s="276"/>
      <c r="BQ460" s="283"/>
      <c r="BR460" s="283"/>
      <c r="BS460" s="276"/>
    </row>
    <row r="461" spans="12:71" ht="12" customHeight="1">
      <c r="L461" s="283"/>
      <c r="M461" s="276"/>
      <c r="N461" s="283"/>
      <c r="O461" s="276"/>
      <c r="P461" s="283"/>
      <c r="Q461" s="276"/>
      <c r="S461" s="283"/>
      <c r="T461" s="276"/>
      <c r="W461" s="283"/>
      <c r="X461" s="276"/>
      <c r="Y461" s="283"/>
      <c r="Z461" s="276"/>
      <c r="AA461" s="283"/>
      <c r="AB461" s="276"/>
      <c r="AC461" s="283"/>
      <c r="AE461" s="283"/>
      <c r="AF461" s="276"/>
      <c r="AI461" s="283"/>
      <c r="AJ461" s="276"/>
      <c r="AK461" s="283"/>
      <c r="AL461" s="276"/>
      <c r="AM461" s="283"/>
      <c r="AN461" s="276"/>
      <c r="AO461" s="283"/>
      <c r="AP461" s="276"/>
      <c r="AQ461" s="283"/>
      <c r="AR461" s="276"/>
      <c r="AT461" s="283"/>
      <c r="AU461" s="276"/>
      <c r="AV461" s="283"/>
      <c r="AW461" s="276"/>
      <c r="AX461" s="283"/>
      <c r="AY461" s="276"/>
      <c r="AZ461" s="283"/>
      <c r="BA461" s="276"/>
      <c r="BB461" s="283"/>
      <c r="BC461" s="276"/>
      <c r="BD461" s="283"/>
      <c r="BE461" s="276"/>
      <c r="BG461" s="283"/>
      <c r="BH461" s="276"/>
      <c r="BI461" s="283"/>
      <c r="BJ461" s="276"/>
      <c r="BK461" s="283"/>
      <c r="BL461" s="276"/>
      <c r="BM461" s="283"/>
      <c r="BN461" s="276"/>
      <c r="BO461" s="283"/>
      <c r="BP461" s="276"/>
      <c r="BQ461" s="283"/>
      <c r="BR461" s="283"/>
      <c r="BS461" s="276"/>
    </row>
    <row r="462" spans="12:71" ht="12" customHeight="1">
      <c r="L462" s="283"/>
      <c r="M462" s="276"/>
      <c r="N462" s="283"/>
      <c r="O462" s="276"/>
      <c r="P462" s="283"/>
      <c r="Q462" s="276"/>
      <c r="S462" s="283"/>
      <c r="T462" s="276"/>
      <c r="W462" s="283"/>
      <c r="X462" s="276"/>
      <c r="Y462" s="283"/>
      <c r="Z462" s="276"/>
      <c r="AA462" s="283"/>
      <c r="AB462" s="276"/>
      <c r="AC462" s="283"/>
      <c r="AE462" s="283"/>
      <c r="AF462" s="276"/>
      <c r="AI462" s="283"/>
      <c r="AJ462" s="276"/>
      <c r="AK462" s="283"/>
      <c r="AL462" s="276"/>
      <c r="AM462" s="283"/>
      <c r="AN462" s="276"/>
      <c r="AO462" s="283"/>
      <c r="AP462" s="276"/>
      <c r="AQ462" s="283"/>
      <c r="AR462" s="276"/>
      <c r="AT462" s="283"/>
      <c r="AU462" s="276"/>
      <c r="AV462" s="283"/>
      <c r="AW462" s="276"/>
      <c r="AX462" s="283"/>
      <c r="AY462" s="276"/>
      <c r="AZ462" s="283"/>
      <c r="BA462" s="276"/>
      <c r="BB462" s="283"/>
      <c r="BC462" s="276"/>
      <c r="BD462" s="283"/>
      <c r="BE462" s="276"/>
      <c r="BG462" s="283"/>
      <c r="BH462" s="276"/>
      <c r="BI462" s="283"/>
      <c r="BJ462" s="276"/>
      <c r="BK462" s="283"/>
      <c r="BL462" s="276"/>
      <c r="BM462" s="283"/>
      <c r="BN462" s="276"/>
      <c r="BO462" s="283"/>
      <c r="BP462" s="276"/>
      <c r="BQ462" s="283"/>
      <c r="BR462" s="283"/>
      <c r="BS462" s="276"/>
    </row>
    <row r="463" spans="12:71" ht="12" customHeight="1">
      <c r="L463" s="283"/>
      <c r="M463" s="276"/>
      <c r="N463" s="283"/>
      <c r="O463" s="276"/>
      <c r="P463" s="283"/>
      <c r="Q463" s="276"/>
      <c r="S463" s="283"/>
      <c r="T463" s="276"/>
      <c r="W463" s="283"/>
      <c r="X463" s="276"/>
      <c r="Y463" s="283"/>
      <c r="Z463" s="276"/>
      <c r="AA463" s="283"/>
      <c r="AB463" s="276"/>
      <c r="AC463" s="283"/>
      <c r="AE463" s="283"/>
      <c r="AF463" s="276"/>
      <c r="AI463" s="283"/>
      <c r="AJ463" s="276"/>
      <c r="AK463" s="283"/>
      <c r="AL463" s="276"/>
      <c r="AM463" s="283"/>
      <c r="AN463" s="276"/>
      <c r="AO463" s="283"/>
      <c r="AP463" s="276"/>
      <c r="AQ463" s="283"/>
      <c r="AR463" s="276"/>
      <c r="AT463" s="283"/>
      <c r="AU463" s="276"/>
      <c r="AV463" s="283"/>
      <c r="AW463" s="276"/>
      <c r="AX463" s="283"/>
      <c r="AY463" s="276"/>
      <c r="AZ463" s="283"/>
      <c r="BA463" s="276"/>
      <c r="BB463" s="283"/>
      <c r="BC463" s="276"/>
      <c r="BD463" s="283"/>
      <c r="BE463" s="276"/>
      <c r="BG463" s="283"/>
      <c r="BH463" s="276"/>
      <c r="BI463" s="283"/>
      <c r="BJ463" s="276"/>
      <c r="BK463" s="283"/>
      <c r="BL463" s="276"/>
      <c r="BM463" s="283"/>
      <c r="BN463" s="276"/>
      <c r="BO463" s="283"/>
      <c r="BP463" s="276"/>
      <c r="BQ463" s="283"/>
      <c r="BR463" s="283"/>
      <c r="BS463" s="276"/>
    </row>
    <row r="464" spans="12:71" ht="12" customHeight="1">
      <c r="L464" s="283"/>
      <c r="M464" s="276"/>
      <c r="N464" s="283"/>
      <c r="O464" s="276"/>
      <c r="P464" s="283"/>
      <c r="Q464" s="276"/>
      <c r="S464" s="283"/>
      <c r="T464" s="276"/>
      <c r="W464" s="283"/>
      <c r="X464" s="276"/>
      <c r="Y464" s="283"/>
      <c r="Z464" s="276"/>
      <c r="AA464" s="283"/>
      <c r="AB464" s="276"/>
      <c r="AC464" s="283"/>
      <c r="AE464" s="283"/>
      <c r="AF464" s="276"/>
      <c r="AI464" s="283"/>
      <c r="AJ464" s="276"/>
      <c r="AK464" s="283"/>
      <c r="AL464" s="276"/>
      <c r="AM464" s="283"/>
      <c r="AN464" s="276"/>
      <c r="AO464" s="283"/>
      <c r="AP464" s="276"/>
      <c r="AQ464" s="283"/>
      <c r="AR464" s="276"/>
      <c r="AT464" s="283"/>
      <c r="AU464" s="276"/>
      <c r="AV464" s="283"/>
      <c r="AW464" s="276"/>
      <c r="AX464" s="283"/>
      <c r="AY464" s="276"/>
      <c r="AZ464" s="283"/>
      <c r="BA464" s="276"/>
      <c r="BB464" s="283"/>
      <c r="BC464" s="276"/>
      <c r="BD464" s="283"/>
      <c r="BE464" s="276"/>
      <c r="BG464" s="283"/>
      <c r="BH464" s="276"/>
      <c r="BI464" s="283"/>
      <c r="BJ464" s="276"/>
      <c r="BK464" s="283"/>
      <c r="BL464" s="276"/>
      <c r="BM464" s="283"/>
      <c r="BN464" s="276"/>
      <c r="BO464" s="283"/>
      <c r="BP464" s="276"/>
      <c r="BQ464" s="283"/>
      <c r="BR464" s="283"/>
      <c r="BS464" s="276"/>
    </row>
    <row r="465" spans="12:71" ht="12" customHeight="1">
      <c r="L465" s="283"/>
      <c r="M465" s="276"/>
      <c r="N465" s="283"/>
      <c r="O465" s="276"/>
      <c r="P465" s="283"/>
      <c r="Q465" s="276"/>
      <c r="S465" s="283"/>
      <c r="T465" s="276"/>
      <c r="W465" s="283"/>
      <c r="X465" s="276"/>
      <c r="Y465" s="283"/>
      <c r="Z465" s="276"/>
      <c r="AA465" s="283"/>
      <c r="AB465" s="276"/>
      <c r="AC465" s="283"/>
      <c r="AE465" s="283"/>
      <c r="AF465" s="276"/>
      <c r="AI465" s="283"/>
      <c r="AJ465" s="276"/>
      <c r="AK465" s="283"/>
      <c r="AL465" s="276"/>
      <c r="AM465" s="283"/>
      <c r="AN465" s="276"/>
      <c r="AO465" s="283"/>
      <c r="AP465" s="276"/>
      <c r="AQ465" s="283"/>
      <c r="AR465" s="276"/>
      <c r="AT465" s="283"/>
      <c r="AU465" s="276"/>
      <c r="AV465" s="283"/>
      <c r="AW465" s="276"/>
      <c r="AX465" s="283"/>
      <c r="AY465" s="276"/>
      <c r="AZ465" s="283"/>
      <c r="BA465" s="276"/>
      <c r="BB465" s="283"/>
      <c r="BC465" s="276"/>
      <c r="BD465" s="283"/>
      <c r="BE465" s="276"/>
      <c r="BG465" s="283"/>
      <c r="BH465" s="276"/>
      <c r="BI465" s="283"/>
      <c r="BJ465" s="276"/>
      <c r="BK465" s="283"/>
      <c r="BL465" s="276"/>
      <c r="BM465" s="283"/>
      <c r="BN465" s="276"/>
      <c r="BO465" s="283"/>
      <c r="BP465" s="276"/>
      <c r="BQ465" s="283"/>
      <c r="BR465" s="283"/>
      <c r="BS465" s="276"/>
    </row>
    <row r="466" spans="12:71" ht="12" customHeight="1">
      <c r="L466" s="283"/>
      <c r="M466" s="276"/>
      <c r="N466" s="283"/>
      <c r="O466" s="276"/>
      <c r="P466" s="283"/>
      <c r="Q466" s="276"/>
      <c r="S466" s="283"/>
      <c r="T466" s="276"/>
      <c r="W466" s="283"/>
      <c r="X466" s="276"/>
      <c r="Y466" s="283"/>
      <c r="Z466" s="276"/>
      <c r="AA466" s="283"/>
      <c r="AB466" s="276"/>
      <c r="AC466" s="283"/>
      <c r="AE466" s="283"/>
      <c r="AF466" s="276"/>
      <c r="AI466" s="283"/>
      <c r="AJ466" s="276"/>
      <c r="AK466" s="283"/>
      <c r="AL466" s="276"/>
      <c r="AM466" s="283"/>
      <c r="AN466" s="276"/>
      <c r="AO466" s="283"/>
      <c r="AP466" s="276"/>
      <c r="AQ466" s="283"/>
      <c r="AR466" s="276"/>
      <c r="AT466" s="283"/>
      <c r="AU466" s="276"/>
      <c r="AV466" s="283"/>
      <c r="AW466" s="276"/>
      <c r="AX466" s="283"/>
      <c r="AY466" s="276"/>
      <c r="AZ466" s="283"/>
      <c r="BA466" s="276"/>
      <c r="BB466" s="283"/>
      <c r="BC466" s="276"/>
      <c r="BD466" s="283"/>
      <c r="BE466" s="276"/>
      <c r="BG466" s="283"/>
      <c r="BH466" s="276"/>
      <c r="BI466" s="283"/>
      <c r="BJ466" s="276"/>
      <c r="BK466" s="283"/>
      <c r="BL466" s="276"/>
      <c r="BM466" s="283"/>
      <c r="BN466" s="276"/>
      <c r="BO466" s="283"/>
      <c r="BP466" s="276"/>
      <c r="BQ466" s="283"/>
      <c r="BR466" s="283"/>
      <c r="BS466" s="276"/>
    </row>
    <row r="467" spans="12:71" ht="12" customHeight="1">
      <c r="L467" s="283"/>
      <c r="M467" s="276"/>
      <c r="N467" s="283"/>
      <c r="O467" s="276"/>
      <c r="P467" s="283"/>
      <c r="Q467" s="276"/>
      <c r="S467" s="283"/>
      <c r="T467" s="276"/>
      <c r="W467" s="283"/>
      <c r="X467" s="276"/>
      <c r="Y467" s="283"/>
      <c r="Z467" s="276"/>
      <c r="AA467" s="283"/>
      <c r="AB467" s="276"/>
      <c r="AC467" s="283"/>
      <c r="AE467" s="283"/>
      <c r="AF467" s="276"/>
      <c r="AI467" s="283"/>
      <c r="AJ467" s="276"/>
      <c r="AK467" s="283"/>
      <c r="AL467" s="276"/>
      <c r="AM467" s="283"/>
      <c r="AN467" s="276"/>
      <c r="AO467" s="283"/>
      <c r="AP467" s="276"/>
      <c r="AQ467" s="283"/>
      <c r="AR467" s="276"/>
      <c r="AT467" s="283"/>
      <c r="AU467" s="276"/>
      <c r="AV467" s="283"/>
      <c r="AW467" s="276"/>
      <c r="AX467" s="283"/>
      <c r="AY467" s="276"/>
      <c r="AZ467" s="283"/>
      <c r="BA467" s="276"/>
      <c r="BB467" s="283"/>
      <c r="BC467" s="276"/>
      <c r="BD467" s="283"/>
      <c r="BE467" s="276"/>
      <c r="BG467" s="283"/>
      <c r="BH467" s="276"/>
      <c r="BI467" s="283"/>
      <c r="BJ467" s="276"/>
      <c r="BK467" s="283"/>
      <c r="BL467" s="276"/>
      <c r="BM467" s="283"/>
      <c r="BN467" s="276"/>
      <c r="BO467" s="283"/>
      <c r="BP467" s="276"/>
      <c r="BQ467" s="283"/>
      <c r="BR467" s="283"/>
      <c r="BS467" s="276"/>
    </row>
    <row r="468" spans="12:71" ht="12" customHeight="1">
      <c r="L468" s="283"/>
      <c r="M468" s="276"/>
      <c r="N468" s="283"/>
      <c r="O468" s="276"/>
      <c r="P468" s="283"/>
      <c r="Q468" s="276"/>
      <c r="S468" s="283"/>
      <c r="T468" s="276"/>
      <c r="W468" s="283"/>
      <c r="X468" s="276"/>
      <c r="Y468" s="283"/>
      <c r="Z468" s="276"/>
      <c r="AA468" s="283"/>
      <c r="AB468" s="276"/>
      <c r="AC468" s="283"/>
      <c r="AE468" s="283"/>
      <c r="AF468" s="276"/>
      <c r="AI468" s="283"/>
      <c r="AJ468" s="276"/>
      <c r="AK468" s="283"/>
      <c r="AL468" s="276"/>
      <c r="AM468" s="283"/>
      <c r="AN468" s="276"/>
      <c r="AO468" s="283"/>
      <c r="AP468" s="276"/>
      <c r="AQ468" s="283"/>
      <c r="AR468" s="276"/>
      <c r="AT468" s="283"/>
      <c r="AU468" s="276"/>
      <c r="AV468" s="283"/>
      <c r="AW468" s="276"/>
      <c r="AX468" s="283"/>
      <c r="AY468" s="276"/>
      <c r="AZ468" s="283"/>
      <c r="BA468" s="276"/>
      <c r="BB468" s="283"/>
      <c r="BC468" s="276"/>
      <c r="BD468" s="283"/>
      <c r="BE468" s="276"/>
      <c r="BG468" s="283"/>
      <c r="BH468" s="276"/>
      <c r="BI468" s="283"/>
      <c r="BJ468" s="276"/>
      <c r="BK468" s="283"/>
      <c r="BL468" s="276"/>
      <c r="BM468" s="283"/>
      <c r="BN468" s="276"/>
      <c r="BO468" s="283"/>
      <c r="BP468" s="276"/>
      <c r="BQ468" s="283"/>
      <c r="BR468" s="283"/>
      <c r="BS468" s="276"/>
    </row>
    <row r="469" spans="12:71" ht="12" customHeight="1">
      <c r="L469" s="283"/>
      <c r="M469" s="276"/>
      <c r="N469" s="283"/>
      <c r="O469" s="276"/>
      <c r="P469" s="283"/>
      <c r="Q469" s="276"/>
      <c r="S469" s="283"/>
      <c r="T469" s="276"/>
      <c r="W469" s="283"/>
      <c r="X469" s="276"/>
      <c r="Y469" s="283"/>
      <c r="Z469" s="276"/>
      <c r="AA469" s="283"/>
      <c r="AB469" s="276"/>
      <c r="AC469" s="283"/>
      <c r="AE469" s="283"/>
      <c r="AF469" s="276"/>
      <c r="AI469" s="283"/>
      <c r="AJ469" s="276"/>
      <c r="AK469" s="283"/>
      <c r="AL469" s="276"/>
      <c r="AM469" s="283"/>
      <c r="AN469" s="276"/>
      <c r="AO469" s="283"/>
      <c r="AP469" s="276"/>
      <c r="AQ469" s="283"/>
      <c r="AR469" s="276"/>
      <c r="AT469" s="283"/>
      <c r="AU469" s="276"/>
      <c r="AV469" s="283"/>
      <c r="AW469" s="276"/>
      <c r="AX469" s="283"/>
      <c r="AY469" s="276"/>
      <c r="AZ469" s="283"/>
      <c r="BA469" s="276"/>
      <c r="BB469" s="283"/>
      <c r="BC469" s="276"/>
      <c r="BD469" s="283"/>
      <c r="BE469" s="276"/>
      <c r="BG469" s="283"/>
      <c r="BH469" s="276"/>
      <c r="BI469" s="283"/>
      <c r="BJ469" s="276"/>
      <c r="BK469" s="283"/>
      <c r="BL469" s="276"/>
      <c r="BM469" s="283"/>
      <c r="BN469" s="276"/>
      <c r="BO469" s="283"/>
      <c r="BP469" s="276"/>
      <c r="BQ469" s="283"/>
      <c r="BR469" s="283"/>
      <c r="BS469" s="276"/>
    </row>
    <row r="470" spans="12:71" ht="12" customHeight="1">
      <c r="L470" s="283"/>
      <c r="M470" s="276"/>
      <c r="N470" s="283"/>
      <c r="O470" s="276"/>
      <c r="P470" s="283"/>
      <c r="Q470" s="276"/>
      <c r="S470" s="283"/>
      <c r="T470" s="276"/>
      <c r="W470" s="283"/>
      <c r="X470" s="276"/>
      <c r="Y470" s="283"/>
      <c r="Z470" s="276"/>
      <c r="AA470" s="283"/>
      <c r="AB470" s="276"/>
      <c r="AC470" s="283"/>
      <c r="AE470" s="283"/>
      <c r="AF470" s="276"/>
      <c r="AI470" s="283"/>
      <c r="AJ470" s="276"/>
      <c r="AK470" s="283"/>
      <c r="AL470" s="276"/>
      <c r="AM470" s="283"/>
      <c r="AN470" s="276"/>
      <c r="AO470" s="283"/>
      <c r="AP470" s="276"/>
      <c r="AQ470" s="283"/>
      <c r="AR470" s="276"/>
      <c r="AT470" s="283"/>
      <c r="AU470" s="276"/>
      <c r="AV470" s="283"/>
      <c r="AW470" s="276"/>
      <c r="AX470" s="283"/>
      <c r="AY470" s="276"/>
      <c r="AZ470" s="283"/>
      <c r="BA470" s="276"/>
      <c r="BB470" s="283"/>
      <c r="BC470" s="276"/>
      <c r="BD470" s="283"/>
      <c r="BE470" s="276"/>
      <c r="BG470" s="283"/>
      <c r="BH470" s="276"/>
      <c r="BI470" s="283"/>
      <c r="BJ470" s="276"/>
      <c r="BK470" s="283"/>
      <c r="BL470" s="276"/>
      <c r="BM470" s="283"/>
      <c r="BN470" s="276"/>
      <c r="BO470" s="283"/>
      <c r="BP470" s="276"/>
      <c r="BQ470" s="283"/>
      <c r="BR470" s="283"/>
      <c r="BS470" s="276"/>
    </row>
    <row r="471" spans="12:71" ht="12" customHeight="1">
      <c r="L471" s="283"/>
      <c r="M471" s="276"/>
      <c r="N471" s="283"/>
      <c r="O471" s="276"/>
      <c r="P471" s="283"/>
      <c r="Q471" s="276"/>
      <c r="S471" s="283"/>
      <c r="T471" s="276"/>
      <c r="W471" s="283"/>
      <c r="X471" s="276"/>
      <c r="Y471" s="283"/>
      <c r="Z471" s="276"/>
      <c r="AA471" s="283"/>
      <c r="AB471" s="276"/>
      <c r="AC471" s="283"/>
      <c r="AE471" s="283"/>
      <c r="AF471" s="276"/>
      <c r="AI471" s="283"/>
      <c r="AJ471" s="276"/>
      <c r="AK471" s="283"/>
      <c r="AL471" s="276"/>
      <c r="AM471" s="283"/>
      <c r="AN471" s="276"/>
      <c r="AO471" s="283"/>
      <c r="AP471" s="276"/>
      <c r="AQ471" s="283"/>
      <c r="AR471" s="276"/>
      <c r="AT471" s="283"/>
      <c r="AU471" s="276"/>
      <c r="AV471" s="283"/>
      <c r="AW471" s="276"/>
      <c r="AX471" s="283"/>
      <c r="AY471" s="276"/>
      <c r="AZ471" s="283"/>
      <c r="BA471" s="276"/>
      <c r="BB471" s="283"/>
      <c r="BC471" s="276"/>
      <c r="BD471" s="283"/>
      <c r="BE471" s="276"/>
      <c r="BG471" s="283"/>
      <c r="BH471" s="276"/>
      <c r="BI471" s="283"/>
      <c r="BJ471" s="276"/>
      <c r="BK471" s="283"/>
      <c r="BL471" s="276"/>
      <c r="BM471" s="283"/>
      <c r="BN471" s="276"/>
      <c r="BO471" s="283"/>
      <c r="BP471" s="276"/>
      <c r="BQ471" s="283"/>
      <c r="BR471" s="283"/>
      <c r="BS471" s="276"/>
    </row>
    <row r="472" spans="12:71" ht="12" customHeight="1">
      <c r="L472" s="283"/>
      <c r="M472" s="276"/>
      <c r="N472" s="283"/>
      <c r="O472" s="276"/>
      <c r="P472" s="283"/>
      <c r="Q472" s="276"/>
      <c r="S472" s="283"/>
      <c r="T472" s="276"/>
      <c r="W472" s="283"/>
      <c r="X472" s="276"/>
      <c r="Y472" s="283"/>
      <c r="Z472" s="276"/>
      <c r="AA472" s="283"/>
      <c r="AB472" s="276"/>
      <c r="AC472" s="283"/>
      <c r="AE472" s="283"/>
      <c r="AF472" s="276"/>
      <c r="AI472" s="283"/>
      <c r="AJ472" s="276"/>
      <c r="AK472" s="283"/>
      <c r="AL472" s="276"/>
      <c r="AM472" s="283"/>
      <c r="AN472" s="276"/>
      <c r="AO472" s="283"/>
      <c r="AP472" s="276"/>
      <c r="AQ472" s="283"/>
      <c r="AR472" s="276"/>
      <c r="AT472" s="283"/>
      <c r="AU472" s="276"/>
      <c r="AV472" s="283"/>
      <c r="AW472" s="276"/>
      <c r="AX472" s="283"/>
      <c r="AY472" s="276"/>
      <c r="AZ472" s="283"/>
      <c r="BA472" s="276"/>
      <c r="BB472" s="283"/>
      <c r="BC472" s="276"/>
      <c r="BD472" s="283"/>
      <c r="BE472" s="276"/>
      <c r="BG472" s="283"/>
      <c r="BH472" s="276"/>
      <c r="BI472" s="283"/>
      <c r="BJ472" s="276"/>
      <c r="BK472" s="283"/>
      <c r="BL472" s="276"/>
      <c r="BM472" s="283"/>
      <c r="BN472" s="276"/>
      <c r="BO472" s="283"/>
      <c r="BP472" s="276"/>
      <c r="BQ472" s="283"/>
      <c r="BR472" s="283"/>
      <c r="BS472" s="276"/>
    </row>
    <row r="473" spans="12:71" ht="12" customHeight="1">
      <c r="L473" s="283"/>
      <c r="M473" s="276"/>
      <c r="N473" s="283"/>
      <c r="O473" s="276"/>
      <c r="P473" s="283"/>
      <c r="Q473" s="276"/>
      <c r="S473" s="283"/>
      <c r="T473" s="276"/>
      <c r="W473" s="283"/>
      <c r="X473" s="276"/>
      <c r="Y473" s="283"/>
      <c r="Z473" s="276"/>
      <c r="AA473" s="283"/>
      <c r="AB473" s="276"/>
      <c r="AC473" s="283"/>
      <c r="AE473" s="283"/>
      <c r="AF473" s="276"/>
      <c r="AI473" s="283"/>
      <c r="AJ473" s="276"/>
      <c r="AK473" s="283"/>
      <c r="AL473" s="276"/>
      <c r="AM473" s="283"/>
      <c r="AN473" s="276"/>
      <c r="AO473" s="283"/>
      <c r="AP473" s="276"/>
      <c r="AQ473" s="283"/>
      <c r="AR473" s="276"/>
      <c r="AT473" s="283"/>
      <c r="AU473" s="276"/>
      <c r="AV473" s="283"/>
      <c r="AW473" s="276"/>
      <c r="AX473" s="283"/>
      <c r="AY473" s="276"/>
      <c r="AZ473" s="283"/>
      <c r="BA473" s="276"/>
      <c r="BB473" s="283"/>
      <c r="BC473" s="276"/>
      <c r="BD473" s="283"/>
      <c r="BE473" s="276"/>
      <c r="BG473" s="283"/>
      <c r="BH473" s="276"/>
      <c r="BI473" s="283"/>
      <c r="BJ473" s="276"/>
      <c r="BK473" s="283"/>
      <c r="BL473" s="276"/>
      <c r="BM473" s="283"/>
      <c r="BN473" s="276"/>
      <c r="BO473" s="283"/>
      <c r="BP473" s="276"/>
      <c r="BQ473" s="283"/>
      <c r="BR473" s="283"/>
      <c r="BS473" s="276"/>
    </row>
    <row r="474" spans="12:71" ht="12" customHeight="1">
      <c r="L474" s="283"/>
      <c r="M474" s="276"/>
      <c r="N474" s="283"/>
      <c r="O474" s="276"/>
      <c r="P474" s="283"/>
      <c r="Q474" s="276"/>
      <c r="S474" s="283"/>
      <c r="T474" s="276"/>
      <c r="W474" s="283"/>
      <c r="X474" s="276"/>
      <c r="Y474" s="283"/>
      <c r="Z474" s="276"/>
      <c r="AA474" s="283"/>
      <c r="AB474" s="276"/>
      <c r="AC474" s="283"/>
      <c r="AE474" s="283"/>
      <c r="AF474" s="276"/>
      <c r="AI474" s="283"/>
      <c r="AJ474" s="276"/>
      <c r="AK474" s="283"/>
      <c r="AL474" s="276"/>
      <c r="AM474" s="283"/>
      <c r="AN474" s="276"/>
      <c r="AO474" s="283"/>
      <c r="AP474" s="276"/>
      <c r="AQ474" s="283"/>
      <c r="AR474" s="276"/>
      <c r="AT474" s="283"/>
      <c r="AU474" s="276"/>
      <c r="AV474" s="283"/>
      <c r="AW474" s="276"/>
      <c r="AX474" s="283"/>
      <c r="AY474" s="276"/>
      <c r="AZ474" s="283"/>
      <c r="BA474" s="276"/>
      <c r="BB474" s="283"/>
      <c r="BC474" s="276"/>
      <c r="BD474" s="283"/>
      <c r="BE474" s="276"/>
      <c r="BG474" s="283"/>
      <c r="BH474" s="276"/>
      <c r="BI474" s="283"/>
      <c r="BJ474" s="276"/>
      <c r="BK474" s="283"/>
      <c r="BL474" s="276"/>
      <c r="BM474" s="283"/>
      <c r="BN474" s="276"/>
      <c r="BO474" s="283"/>
      <c r="BP474" s="276"/>
      <c r="BQ474" s="283"/>
      <c r="BR474" s="283"/>
      <c r="BS474" s="276"/>
    </row>
    <row r="475" spans="12:71" ht="12" customHeight="1">
      <c r="L475" s="283"/>
      <c r="M475" s="276"/>
      <c r="N475" s="283"/>
      <c r="O475" s="276"/>
      <c r="P475" s="283"/>
      <c r="Q475" s="276"/>
      <c r="S475" s="283"/>
      <c r="T475" s="276"/>
      <c r="W475" s="283"/>
      <c r="X475" s="276"/>
      <c r="Y475" s="283"/>
      <c r="Z475" s="276"/>
      <c r="AA475" s="283"/>
      <c r="AB475" s="276"/>
      <c r="AC475" s="283"/>
      <c r="AE475" s="283"/>
      <c r="AF475" s="276"/>
      <c r="AI475" s="283"/>
      <c r="AJ475" s="276"/>
      <c r="AK475" s="283"/>
      <c r="AL475" s="276"/>
      <c r="AM475" s="283"/>
      <c r="AN475" s="276"/>
      <c r="AO475" s="283"/>
      <c r="AP475" s="276"/>
      <c r="AQ475" s="283"/>
      <c r="AR475" s="276"/>
      <c r="AT475" s="283"/>
      <c r="AU475" s="276"/>
      <c r="AV475" s="283"/>
      <c r="AW475" s="276"/>
      <c r="AX475" s="283"/>
      <c r="AY475" s="276"/>
      <c r="AZ475" s="283"/>
      <c r="BA475" s="276"/>
      <c r="BB475" s="283"/>
      <c r="BC475" s="276"/>
      <c r="BD475" s="283"/>
      <c r="BE475" s="276"/>
      <c r="BG475" s="283"/>
      <c r="BH475" s="276"/>
      <c r="BI475" s="283"/>
      <c r="BJ475" s="276"/>
      <c r="BK475" s="283"/>
      <c r="BL475" s="276"/>
      <c r="BM475" s="283"/>
      <c r="BN475" s="276"/>
      <c r="BO475" s="283"/>
      <c r="BP475" s="276"/>
      <c r="BQ475" s="283"/>
      <c r="BR475" s="283"/>
      <c r="BS475" s="276"/>
    </row>
    <row r="476" spans="12:71" ht="12" customHeight="1">
      <c r="L476" s="283"/>
      <c r="M476" s="276"/>
      <c r="N476" s="283"/>
      <c r="O476" s="276"/>
      <c r="P476" s="283"/>
      <c r="Q476" s="276"/>
      <c r="S476" s="283"/>
      <c r="T476" s="276"/>
      <c r="W476" s="283"/>
      <c r="X476" s="276"/>
      <c r="Y476" s="283"/>
      <c r="Z476" s="276"/>
      <c r="AA476" s="283"/>
      <c r="AB476" s="276"/>
      <c r="AC476" s="283"/>
      <c r="AE476" s="283"/>
      <c r="AF476" s="276"/>
      <c r="AI476" s="283"/>
      <c r="AJ476" s="276"/>
      <c r="AK476" s="283"/>
      <c r="AL476" s="276"/>
      <c r="AM476" s="283"/>
      <c r="AN476" s="276"/>
      <c r="AO476" s="283"/>
      <c r="AP476" s="276"/>
      <c r="AQ476" s="283"/>
      <c r="AR476" s="276"/>
      <c r="AT476" s="283"/>
      <c r="AU476" s="276"/>
      <c r="AV476" s="283"/>
      <c r="AW476" s="276"/>
      <c r="AX476" s="283"/>
      <c r="AY476" s="276"/>
      <c r="AZ476" s="283"/>
      <c r="BA476" s="276"/>
      <c r="BB476" s="283"/>
      <c r="BC476" s="276"/>
      <c r="BD476" s="283"/>
      <c r="BE476" s="276"/>
      <c r="BG476" s="283"/>
      <c r="BH476" s="276"/>
      <c r="BI476" s="283"/>
      <c r="BJ476" s="276"/>
      <c r="BK476" s="283"/>
      <c r="BL476" s="276"/>
      <c r="BM476" s="283"/>
      <c r="BN476" s="276"/>
      <c r="BO476" s="283"/>
      <c r="BP476" s="276"/>
      <c r="BQ476" s="283"/>
      <c r="BR476" s="283"/>
      <c r="BS476" s="276"/>
    </row>
    <row r="477" spans="12:71" ht="12" customHeight="1">
      <c r="L477" s="283"/>
      <c r="M477" s="276"/>
      <c r="N477" s="283"/>
      <c r="O477" s="276"/>
      <c r="P477" s="283"/>
      <c r="Q477" s="276"/>
      <c r="S477" s="283"/>
      <c r="T477" s="276"/>
      <c r="W477" s="283"/>
      <c r="X477" s="276"/>
      <c r="Y477" s="283"/>
      <c r="Z477" s="276"/>
      <c r="AA477" s="283"/>
      <c r="AB477" s="276"/>
      <c r="AC477" s="283"/>
      <c r="AE477" s="283"/>
      <c r="AF477" s="276"/>
      <c r="AI477" s="283"/>
      <c r="AJ477" s="276"/>
      <c r="AK477" s="283"/>
      <c r="AL477" s="276"/>
      <c r="AM477" s="283"/>
      <c r="AN477" s="276"/>
      <c r="AO477" s="283"/>
      <c r="AP477" s="276"/>
      <c r="AQ477" s="283"/>
      <c r="AR477" s="276"/>
      <c r="AT477" s="283"/>
      <c r="AU477" s="276"/>
      <c r="AV477" s="283"/>
      <c r="AW477" s="276"/>
      <c r="AX477" s="283"/>
      <c r="AY477" s="276"/>
      <c r="AZ477" s="283"/>
      <c r="BA477" s="276"/>
      <c r="BB477" s="283"/>
      <c r="BC477" s="276"/>
      <c r="BD477" s="283"/>
      <c r="BE477" s="276"/>
      <c r="BG477" s="283"/>
      <c r="BH477" s="276"/>
      <c r="BI477" s="283"/>
      <c r="BJ477" s="276"/>
      <c r="BK477" s="283"/>
      <c r="BL477" s="276"/>
      <c r="BM477" s="283"/>
      <c r="BN477" s="276"/>
      <c r="BO477" s="283"/>
      <c r="BP477" s="276"/>
      <c r="BQ477" s="283"/>
      <c r="BR477" s="283"/>
      <c r="BS477" s="276"/>
    </row>
    <row r="478" spans="12:71" ht="12" customHeight="1">
      <c r="L478" s="283"/>
      <c r="M478" s="276"/>
      <c r="N478" s="283"/>
      <c r="O478" s="276"/>
      <c r="P478" s="283"/>
      <c r="Q478" s="276"/>
      <c r="S478" s="283"/>
      <c r="T478" s="276"/>
      <c r="W478" s="283"/>
      <c r="X478" s="276"/>
      <c r="Y478" s="283"/>
      <c r="Z478" s="276"/>
      <c r="AA478" s="283"/>
      <c r="AB478" s="276"/>
      <c r="AC478" s="283"/>
      <c r="AE478" s="283"/>
      <c r="AF478" s="276"/>
      <c r="AI478" s="283"/>
      <c r="AJ478" s="276"/>
      <c r="AK478" s="283"/>
      <c r="AL478" s="276"/>
      <c r="AM478" s="283"/>
      <c r="AN478" s="276"/>
      <c r="AO478" s="283"/>
      <c r="AP478" s="276"/>
      <c r="AQ478" s="283"/>
      <c r="AR478" s="276"/>
      <c r="AT478" s="283"/>
      <c r="AU478" s="276"/>
      <c r="AV478" s="283"/>
      <c r="AW478" s="276"/>
      <c r="AX478" s="283"/>
      <c r="AY478" s="276"/>
      <c r="AZ478" s="283"/>
      <c r="BA478" s="276"/>
      <c r="BB478" s="283"/>
      <c r="BC478" s="276"/>
      <c r="BD478" s="283"/>
      <c r="BE478" s="276"/>
      <c r="BG478" s="283"/>
      <c r="BH478" s="276"/>
      <c r="BI478" s="283"/>
      <c r="BJ478" s="276"/>
      <c r="BK478" s="283"/>
      <c r="BL478" s="276"/>
      <c r="BM478" s="283"/>
      <c r="BN478" s="276"/>
      <c r="BO478" s="283"/>
      <c r="BP478" s="276"/>
      <c r="BQ478" s="283"/>
      <c r="BR478" s="283"/>
      <c r="BS478" s="276"/>
    </row>
    <row r="479" spans="12:71" ht="12" customHeight="1">
      <c r="L479" s="283"/>
      <c r="M479" s="276"/>
      <c r="N479" s="283"/>
      <c r="O479" s="276"/>
      <c r="P479" s="283"/>
      <c r="Q479" s="276"/>
      <c r="S479" s="283"/>
      <c r="T479" s="276"/>
      <c r="W479" s="283"/>
      <c r="X479" s="276"/>
      <c r="Y479" s="283"/>
      <c r="Z479" s="276"/>
      <c r="AA479" s="283"/>
      <c r="AB479" s="276"/>
      <c r="AC479" s="283"/>
      <c r="AE479" s="283"/>
      <c r="AF479" s="276"/>
      <c r="AI479" s="283"/>
      <c r="AJ479" s="276"/>
      <c r="AK479" s="283"/>
      <c r="AL479" s="276"/>
      <c r="AM479" s="283"/>
      <c r="AN479" s="276"/>
      <c r="AO479" s="283"/>
      <c r="AP479" s="276"/>
      <c r="AQ479" s="283"/>
      <c r="AR479" s="276"/>
      <c r="AT479" s="283"/>
      <c r="AU479" s="276"/>
      <c r="AV479" s="283"/>
      <c r="AW479" s="276"/>
      <c r="AX479" s="283"/>
      <c r="AY479" s="276"/>
      <c r="AZ479" s="283"/>
      <c r="BA479" s="276"/>
      <c r="BB479" s="283"/>
      <c r="BC479" s="276"/>
      <c r="BD479" s="283"/>
      <c r="BE479" s="276"/>
      <c r="BG479" s="283"/>
      <c r="BH479" s="276"/>
      <c r="BI479" s="283"/>
      <c r="BJ479" s="276"/>
      <c r="BK479" s="283"/>
      <c r="BL479" s="276"/>
      <c r="BM479" s="283"/>
      <c r="BN479" s="276"/>
      <c r="BO479" s="283"/>
      <c r="BP479" s="276"/>
      <c r="BQ479" s="283"/>
      <c r="BR479" s="283"/>
      <c r="BS479" s="276"/>
    </row>
    <row r="480" spans="12:71" ht="12" customHeight="1">
      <c r="L480" s="283"/>
      <c r="M480" s="276"/>
      <c r="N480" s="283"/>
      <c r="O480" s="276"/>
      <c r="P480" s="283"/>
      <c r="Q480" s="276"/>
      <c r="S480" s="283"/>
      <c r="T480" s="276"/>
      <c r="W480" s="283"/>
      <c r="X480" s="276"/>
      <c r="Y480" s="283"/>
      <c r="Z480" s="276"/>
      <c r="AA480" s="283"/>
      <c r="AB480" s="276"/>
      <c r="AC480" s="283"/>
      <c r="AE480" s="283"/>
      <c r="AF480" s="276"/>
      <c r="AI480" s="283"/>
      <c r="AJ480" s="276"/>
      <c r="AK480" s="283"/>
      <c r="AL480" s="276"/>
      <c r="AM480" s="283"/>
      <c r="AN480" s="276"/>
      <c r="AO480" s="283"/>
      <c r="AP480" s="276"/>
      <c r="AQ480" s="283"/>
      <c r="AR480" s="276"/>
      <c r="AT480" s="283"/>
      <c r="AU480" s="276"/>
      <c r="AV480" s="283"/>
      <c r="AW480" s="276"/>
      <c r="AX480" s="283"/>
      <c r="AY480" s="276"/>
      <c r="AZ480" s="283"/>
      <c r="BA480" s="276"/>
      <c r="BB480" s="283"/>
      <c r="BC480" s="276"/>
      <c r="BD480" s="283"/>
      <c r="BE480" s="276"/>
      <c r="BG480" s="283"/>
      <c r="BH480" s="276"/>
      <c r="BI480" s="283"/>
      <c r="BJ480" s="276"/>
      <c r="BK480" s="283"/>
      <c r="BL480" s="276"/>
      <c r="BM480" s="283"/>
      <c r="BN480" s="276"/>
      <c r="BO480" s="283"/>
      <c r="BP480" s="276"/>
      <c r="BQ480" s="283"/>
      <c r="BR480" s="283"/>
      <c r="BS480" s="276"/>
    </row>
    <row r="481" spans="12:71" ht="12" customHeight="1">
      <c r="L481" s="283"/>
      <c r="M481" s="276"/>
      <c r="N481" s="283"/>
      <c r="O481" s="276"/>
      <c r="P481" s="283"/>
      <c r="Q481" s="276"/>
      <c r="S481" s="283"/>
      <c r="T481" s="276"/>
      <c r="W481" s="283"/>
      <c r="X481" s="276"/>
      <c r="Y481" s="283"/>
      <c r="Z481" s="276"/>
      <c r="AA481" s="283"/>
      <c r="AB481" s="276"/>
      <c r="AC481" s="283"/>
      <c r="AE481" s="283"/>
      <c r="AF481" s="276"/>
      <c r="AI481" s="283"/>
      <c r="AJ481" s="276"/>
      <c r="AK481" s="283"/>
      <c r="AL481" s="276"/>
      <c r="AM481" s="283"/>
      <c r="AN481" s="276"/>
      <c r="AO481" s="283"/>
      <c r="AP481" s="276"/>
      <c r="AQ481" s="283"/>
      <c r="AR481" s="276"/>
      <c r="AT481" s="283"/>
      <c r="AU481" s="276"/>
      <c r="AV481" s="283"/>
      <c r="AW481" s="276"/>
      <c r="AX481" s="283"/>
      <c r="AY481" s="276"/>
      <c r="AZ481" s="283"/>
      <c r="BA481" s="276"/>
      <c r="BB481" s="283"/>
      <c r="BC481" s="276"/>
      <c r="BD481" s="283"/>
      <c r="BE481" s="276"/>
      <c r="BG481" s="283"/>
      <c r="BH481" s="276"/>
      <c r="BI481" s="283"/>
      <c r="BJ481" s="276"/>
      <c r="BK481" s="283"/>
      <c r="BL481" s="276"/>
      <c r="BM481" s="283"/>
      <c r="BN481" s="276"/>
      <c r="BO481" s="283"/>
      <c r="BP481" s="276"/>
      <c r="BQ481" s="283"/>
      <c r="BR481" s="283"/>
      <c r="BS481" s="276"/>
    </row>
    <row r="482" spans="12:71" ht="12" customHeight="1">
      <c r="L482" s="283"/>
      <c r="M482" s="276"/>
      <c r="N482" s="283"/>
      <c r="O482" s="276"/>
      <c r="P482" s="283"/>
      <c r="Q482" s="276"/>
      <c r="S482" s="283"/>
      <c r="T482" s="276"/>
      <c r="W482" s="283"/>
      <c r="X482" s="276"/>
      <c r="Y482" s="283"/>
      <c r="Z482" s="276"/>
      <c r="AA482" s="283"/>
      <c r="AB482" s="276"/>
      <c r="AC482" s="283"/>
      <c r="AE482" s="283"/>
      <c r="AF482" s="276"/>
      <c r="AI482" s="283"/>
      <c r="AJ482" s="276"/>
      <c r="AK482" s="283"/>
      <c r="AL482" s="276"/>
      <c r="AM482" s="283"/>
      <c r="AN482" s="276"/>
      <c r="AO482" s="283"/>
      <c r="AP482" s="276"/>
      <c r="AQ482" s="283"/>
      <c r="AR482" s="276"/>
      <c r="AT482" s="283"/>
      <c r="AU482" s="276"/>
      <c r="AV482" s="283"/>
      <c r="AW482" s="276"/>
      <c r="AX482" s="283"/>
      <c r="AY482" s="276"/>
      <c r="AZ482" s="283"/>
      <c r="BA482" s="276"/>
      <c r="BB482" s="283"/>
      <c r="BC482" s="276"/>
      <c r="BD482" s="283"/>
      <c r="BE482" s="276"/>
      <c r="BG482" s="283"/>
      <c r="BH482" s="276"/>
      <c r="BI482" s="283"/>
      <c r="BJ482" s="276"/>
      <c r="BK482" s="283"/>
      <c r="BL482" s="276"/>
      <c r="BM482" s="283"/>
      <c r="BN482" s="276"/>
      <c r="BO482" s="283"/>
      <c r="BP482" s="276"/>
      <c r="BQ482" s="283"/>
      <c r="BR482" s="283"/>
      <c r="BS482" s="276"/>
    </row>
    <row r="483" spans="12:71" ht="12" customHeight="1">
      <c r="L483" s="283"/>
      <c r="M483" s="276"/>
      <c r="N483" s="283"/>
      <c r="O483" s="276"/>
      <c r="P483" s="283"/>
      <c r="Q483" s="276"/>
      <c r="S483" s="283"/>
      <c r="T483" s="276"/>
      <c r="W483" s="283"/>
      <c r="X483" s="276"/>
      <c r="Y483" s="283"/>
      <c r="Z483" s="276"/>
      <c r="AA483" s="283"/>
      <c r="AB483" s="276"/>
      <c r="AC483" s="283"/>
      <c r="AE483" s="283"/>
      <c r="AF483" s="276"/>
      <c r="AI483" s="283"/>
      <c r="AJ483" s="276"/>
      <c r="AK483" s="283"/>
      <c r="AL483" s="276"/>
      <c r="AM483" s="283"/>
      <c r="AN483" s="276"/>
      <c r="AO483" s="283"/>
      <c r="AP483" s="276"/>
      <c r="AQ483" s="283"/>
      <c r="AR483" s="276"/>
      <c r="AT483" s="283"/>
      <c r="AU483" s="276"/>
      <c r="AV483" s="283"/>
      <c r="AW483" s="276"/>
      <c r="AX483" s="283"/>
      <c r="AY483" s="276"/>
      <c r="AZ483" s="283"/>
      <c r="BA483" s="276"/>
      <c r="BB483" s="283"/>
      <c r="BC483" s="276"/>
      <c r="BD483" s="283"/>
      <c r="BE483" s="276"/>
      <c r="BG483" s="283"/>
      <c r="BH483" s="276"/>
      <c r="BI483" s="283"/>
      <c r="BJ483" s="276"/>
      <c r="BK483" s="283"/>
      <c r="BL483" s="276"/>
      <c r="BM483" s="283"/>
      <c r="BN483" s="276"/>
      <c r="BO483" s="283"/>
      <c r="BP483" s="276"/>
      <c r="BQ483" s="283"/>
      <c r="BR483" s="283"/>
      <c r="BS483" s="276"/>
    </row>
    <row r="484" spans="12:71" ht="12" customHeight="1">
      <c r="L484" s="283"/>
      <c r="M484" s="276"/>
      <c r="N484" s="283"/>
      <c r="O484" s="276"/>
      <c r="P484" s="283"/>
      <c r="Q484" s="276"/>
      <c r="S484" s="283"/>
      <c r="T484" s="276"/>
      <c r="W484" s="283"/>
      <c r="X484" s="276"/>
      <c r="Y484" s="283"/>
      <c r="Z484" s="276"/>
      <c r="AA484" s="283"/>
      <c r="AB484" s="276"/>
      <c r="AC484" s="283"/>
      <c r="AE484" s="283"/>
      <c r="AF484" s="276"/>
      <c r="AI484" s="283"/>
      <c r="AJ484" s="276"/>
      <c r="AK484" s="283"/>
      <c r="AL484" s="276"/>
      <c r="AM484" s="283"/>
      <c r="AN484" s="276"/>
      <c r="AO484" s="283"/>
      <c r="AP484" s="276"/>
      <c r="AQ484" s="283"/>
      <c r="AR484" s="276"/>
      <c r="AT484" s="283"/>
      <c r="AU484" s="276"/>
      <c r="AV484" s="283"/>
      <c r="AW484" s="276"/>
      <c r="AX484" s="283"/>
      <c r="AY484" s="276"/>
      <c r="AZ484" s="283"/>
      <c r="BA484" s="276"/>
      <c r="BB484" s="283"/>
      <c r="BC484" s="276"/>
      <c r="BD484" s="283"/>
      <c r="BE484" s="276"/>
      <c r="BG484" s="283"/>
      <c r="BH484" s="276"/>
      <c r="BI484" s="283"/>
      <c r="BJ484" s="276"/>
      <c r="BK484" s="283"/>
      <c r="BL484" s="276"/>
      <c r="BM484" s="283"/>
      <c r="BN484" s="276"/>
      <c r="BO484" s="283"/>
      <c r="BP484" s="276"/>
      <c r="BQ484" s="283"/>
      <c r="BR484" s="283"/>
      <c r="BS484" s="276"/>
    </row>
    <row r="485" spans="12:71" ht="12" customHeight="1">
      <c r="L485" s="283"/>
      <c r="M485" s="276"/>
      <c r="N485" s="283"/>
      <c r="O485" s="276"/>
      <c r="P485" s="283"/>
      <c r="Q485" s="276"/>
      <c r="S485" s="283"/>
      <c r="T485" s="276"/>
      <c r="W485" s="283"/>
      <c r="X485" s="276"/>
      <c r="Y485" s="283"/>
      <c r="Z485" s="276"/>
      <c r="AA485" s="283"/>
      <c r="AB485" s="276"/>
      <c r="AC485" s="283"/>
      <c r="AE485" s="283"/>
      <c r="AF485" s="276"/>
      <c r="AI485" s="283"/>
      <c r="AJ485" s="276"/>
      <c r="AK485" s="283"/>
      <c r="AL485" s="276"/>
      <c r="AM485" s="283"/>
      <c r="AN485" s="276"/>
      <c r="AO485" s="283"/>
      <c r="AP485" s="276"/>
      <c r="AQ485" s="283"/>
      <c r="AR485" s="276"/>
      <c r="AT485" s="283"/>
      <c r="AU485" s="276"/>
      <c r="AV485" s="283"/>
      <c r="AW485" s="276"/>
      <c r="AX485" s="283"/>
      <c r="AY485" s="276"/>
      <c r="AZ485" s="283"/>
      <c r="BA485" s="276"/>
      <c r="BB485" s="283"/>
      <c r="BC485" s="276"/>
      <c r="BD485" s="283"/>
      <c r="BE485" s="276"/>
      <c r="BG485" s="283"/>
      <c r="BH485" s="276"/>
      <c r="BI485" s="283"/>
      <c r="BJ485" s="276"/>
      <c r="BK485" s="283"/>
      <c r="BL485" s="276"/>
      <c r="BM485" s="283"/>
      <c r="BN485" s="276"/>
      <c r="BO485" s="283"/>
      <c r="BP485" s="276"/>
      <c r="BQ485" s="283"/>
      <c r="BR485" s="283"/>
      <c r="BS485" s="276"/>
    </row>
    <row r="486" spans="12:71" ht="12" customHeight="1">
      <c r="L486" s="283"/>
      <c r="M486" s="276"/>
      <c r="N486" s="283"/>
      <c r="O486" s="276"/>
      <c r="P486" s="283"/>
      <c r="Q486" s="276"/>
      <c r="S486" s="283"/>
      <c r="T486" s="276"/>
      <c r="W486" s="283"/>
      <c r="X486" s="276"/>
      <c r="Y486" s="283"/>
      <c r="Z486" s="276"/>
      <c r="AA486" s="283"/>
      <c r="AB486" s="276"/>
      <c r="AC486" s="283"/>
      <c r="AE486" s="283"/>
      <c r="AF486" s="276"/>
      <c r="AI486" s="283"/>
      <c r="AJ486" s="276"/>
      <c r="AK486" s="283"/>
      <c r="AL486" s="276"/>
      <c r="AM486" s="283"/>
      <c r="AN486" s="276"/>
      <c r="AO486" s="283"/>
      <c r="AP486" s="276"/>
      <c r="AQ486" s="283"/>
      <c r="AR486" s="276"/>
      <c r="AT486" s="283"/>
      <c r="AU486" s="276"/>
      <c r="AV486" s="283"/>
      <c r="AW486" s="276"/>
      <c r="AX486" s="283"/>
      <c r="AY486" s="276"/>
      <c r="AZ486" s="283"/>
      <c r="BA486" s="276"/>
      <c r="BB486" s="283"/>
      <c r="BC486" s="276"/>
      <c r="BD486" s="283"/>
      <c r="BE486" s="276"/>
      <c r="BG486" s="283"/>
      <c r="BH486" s="276"/>
      <c r="BI486" s="283"/>
      <c r="BJ486" s="276"/>
      <c r="BK486" s="283"/>
      <c r="BL486" s="276"/>
      <c r="BM486" s="283"/>
      <c r="BN486" s="276"/>
      <c r="BO486" s="283"/>
      <c r="BP486" s="276"/>
      <c r="BQ486" s="283"/>
      <c r="BR486" s="283"/>
      <c r="BS486" s="276"/>
    </row>
    <row r="487" spans="12:71" ht="12" customHeight="1">
      <c r="L487" s="283"/>
      <c r="M487" s="276"/>
      <c r="N487" s="283"/>
      <c r="O487" s="276"/>
      <c r="P487" s="283"/>
      <c r="Q487" s="276"/>
      <c r="S487" s="283"/>
      <c r="T487" s="276"/>
      <c r="W487" s="283"/>
      <c r="X487" s="276"/>
      <c r="Y487" s="283"/>
      <c r="Z487" s="276"/>
      <c r="AA487" s="283"/>
      <c r="AB487" s="276"/>
      <c r="AC487" s="283"/>
      <c r="AE487" s="283"/>
      <c r="AF487" s="276"/>
      <c r="AI487" s="283"/>
      <c r="AJ487" s="276"/>
      <c r="AK487" s="283"/>
      <c r="AL487" s="276"/>
      <c r="AM487" s="283"/>
      <c r="AN487" s="276"/>
      <c r="AO487" s="283"/>
      <c r="AP487" s="276"/>
      <c r="AQ487" s="283"/>
      <c r="AR487" s="276"/>
      <c r="AT487" s="283"/>
      <c r="AU487" s="276"/>
      <c r="AV487" s="283"/>
      <c r="AW487" s="276"/>
      <c r="AX487" s="283"/>
      <c r="AY487" s="276"/>
      <c r="AZ487" s="283"/>
      <c r="BA487" s="276"/>
      <c r="BB487" s="283"/>
      <c r="BC487" s="276"/>
      <c r="BD487" s="283"/>
      <c r="BE487" s="276"/>
      <c r="BG487" s="283"/>
      <c r="BH487" s="276"/>
      <c r="BI487" s="283"/>
      <c r="BJ487" s="276"/>
      <c r="BK487" s="283"/>
      <c r="BL487" s="276"/>
      <c r="BM487" s="283"/>
      <c r="BN487" s="276"/>
      <c r="BO487" s="283"/>
      <c r="BP487" s="276"/>
      <c r="BQ487" s="283"/>
      <c r="BR487" s="283"/>
      <c r="BS487" s="276"/>
    </row>
    <row r="488" spans="12:71" ht="12" customHeight="1">
      <c r="L488" s="283"/>
      <c r="M488" s="276"/>
      <c r="N488" s="283"/>
      <c r="O488" s="276"/>
      <c r="P488" s="283"/>
      <c r="Q488" s="276"/>
      <c r="S488" s="283"/>
      <c r="T488" s="276"/>
      <c r="W488" s="283"/>
      <c r="X488" s="276"/>
      <c r="Y488" s="283"/>
      <c r="Z488" s="276"/>
      <c r="AA488" s="283"/>
      <c r="AB488" s="276"/>
      <c r="AC488" s="283"/>
      <c r="AE488" s="283"/>
      <c r="AF488" s="276"/>
      <c r="AI488" s="283"/>
      <c r="AJ488" s="276"/>
      <c r="AK488" s="283"/>
      <c r="AL488" s="276"/>
      <c r="AM488" s="283"/>
      <c r="AN488" s="276"/>
      <c r="AO488" s="283"/>
      <c r="AP488" s="276"/>
      <c r="AQ488" s="283"/>
      <c r="AR488" s="276"/>
      <c r="AT488" s="283"/>
      <c r="AU488" s="276"/>
      <c r="AV488" s="283"/>
      <c r="AW488" s="276"/>
      <c r="AX488" s="283"/>
      <c r="AY488" s="276"/>
      <c r="AZ488" s="283"/>
      <c r="BA488" s="276"/>
      <c r="BB488" s="283"/>
      <c r="BC488" s="276"/>
      <c r="BD488" s="283"/>
      <c r="BE488" s="276"/>
      <c r="BG488" s="283"/>
      <c r="BH488" s="276"/>
      <c r="BI488" s="283"/>
      <c r="BJ488" s="276"/>
      <c r="BK488" s="283"/>
      <c r="BL488" s="276"/>
      <c r="BM488" s="283"/>
      <c r="BN488" s="276"/>
      <c r="BO488" s="283"/>
      <c r="BP488" s="276"/>
      <c r="BQ488" s="283"/>
      <c r="BR488" s="283"/>
      <c r="BS488" s="276"/>
    </row>
    <row r="489" spans="12:71" ht="12" customHeight="1">
      <c r="L489" s="283"/>
      <c r="M489" s="276"/>
      <c r="N489" s="283"/>
      <c r="O489" s="276"/>
      <c r="P489" s="283"/>
      <c r="Q489" s="276"/>
      <c r="S489" s="283"/>
      <c r="T489" s="276"/>
      <c r="W489" s="283"/>
      <c r="X489" s="276"/>
      <c r="Y489" s="283"/>
      <c r="Z489" s="276"/>
      <c r="AA489" s="283"/>
      <c r="AB489" s="276"/>
      <c r="AC489" s="283"/>
      <c r="AE489" s="283"/>
      <c r="AF489" s="276"/>
      <c r="AI489" s="283"/>
      <c r="AJ489" s="276"/>
      <c r="AK489" s="283"/>
      <c r="AL489" s="276"/>
      <c r="AM489" s="283"/>
      <c r="AN489" s="276"/>
      <c r="AO489" s="283"/>
      <c r="AP489" s="276"/>
      <c r="AQ489" s="283"/>
      <c r="AR489" s="276"/>
      <c r="AT489" s="283"/>
      <c r="AU489" s="276"/>
      <c r="AV489" s="283"/>
      <c r="AW489" s="276"/>
      <c r="AX489" s="283"/>
      <c r="AY489" s="276"/>
      <c r="AZ489" s="283"/>
      <c r="BA489" s="276"/>
      <c r="BB489" s="283"/>
      <c r="BC489" s="276"/>
      <c r="BD489" s="283"/>
      <c r="BE489" s="276"/>
      <c r="BG489" s="283"/>
      <c r="BH489" s="276"/>
      <c r="BI489" s="283"/>
      <c r="BJ489" s="276"/>
      <c r="BK489" s="283"/>
      <c r="BL489" s="276"/>
      <c r="BM489" s="283"/>
      <c r="BN489" s="276"/>
      <c r="BO489" s="283"/>
      <c r="BP489" s="276"/>
      <c r="BQ489" s="283"/>
      <c r="BR489" s="283"/>
      <c r="BS489" s="276"/>
    </row>
    <row r="490" spans="12:71" ht="12" customHeight="1">
      <c r="L490" s="283"/>
      <c r="M490" s="276"/>
      <c r="N490" s="283"/>
      <c r="O490" s="276"/>
      <c r="P490" s="283"/>
      <c r="Q490" s="276"/>
      <c r="S490" s="283"/>
      <c r="T490" s="276"/>
      <c r="W490" s="283"/>
      <c r="X490" s="276"/>
      <c r="Y490" s="283"/>
      <c r="Z490" s="276"/>
      <c r="AA490" s="283"/>
      <c r="AB490" s="276"/>
      <c r="AC490" s="283"/>
      <c r="AE490" s="283"/>
      <c r="AF490" s="276"/>
      <c r="AI490" s="283"/>
      <c r="AJ490" s="276"/>
      <c r="AK490" s="283"/>
      <c r="AL490" s="276"/>
      <c r="AM490" s="283"/>
      <c r="AN490" s="276"/>
      <c r="AO490" s="283"/>
      <c r="AP490" s="276"/>
      <c r="AQ490" s="283"/>
      <c r="AR490" s="276"/>
      <c r="AT490" s="283"/>
      <c r="AU490" s="276"/>
      <c r="AV490" s="283"/>
      <c r="AW490" s="276"/>
      <c r="AX490" s="283"/>
      <c r="AY490" s="276"/>
      <c r="AZ490" s="283"/>
      <c r="BA490" s="276"/>
      <c r="BB490" s="283"/>
      <c r="BC490" s="276"/>
      <c r="BD490" s="283"/>
      <c r="BE490" s="276"/>
      <c r="BG490" s="283"/>
      <c r="BH490" s="276"/>
      <c r="BI490" s="283"/>
      <c r="BJ490" s="276"/>
      <c r="BK490" s="283"/>
      <c r="BL490" s="276"/>
      <c r="BM490" s="283"/>
      <c r="BN490" s="276"/>
      <c r="BO490" s="283"/>
      <c r="BP490" s="276"/>
      <c r="BQ490" s="283"/>
      <c r="BR490" s="283"/>
      <c r="BS490" s="276"/>
    </row>
    <row r="491" spans="12:71" ht="12" customHeight="1">
      <c r="L491" s="283"/>
      <c r="M491" s="276"/>
      <c r="N491" s="283"/>
      <c r="O491" s="276"/>
      <c r="P491" s="283"/>
      <c r="Q491" s="276"/>
      <c r="S491" s="283"/>
      <c r="T491" s="276"/>
      <c r="W491" s="283"/>
      <c r="X491" s="276"/>
      <c r="Y491" s="283"/>
      <c r="Z491" s="276"/>
      <c r="AA491" s="283"/>
      <c r="AB491" s="276"/>
      <c r="AC491" s="283"/>
      <c r="AE491" s="283"/>
      <c r="AF491" s="276"/>
      <c r="AI491" s="283"/>
      <c r="AJ491" s="276"/>
      <c r="AK491" s="283"/>
      <c r="AL491" s="276"/>
      <c r="AM491" s="283"/>
      <c r="AN491" s="276"/>
      <c r="AO491" s="283"/>
      <c r="AP491" s="276"/>
      <c r="AQ491" s="283"/>
      <c r="AR491" s="276"/>
      <c r="AT491" s="283"/>
      <c r="AU491" s="276"/>
      <c r="AV491" s="283"/>
      <c r="AW491" s="276"/>
      <c r="AX491" s="283"/>
      <c r="AY491" s="276"/>
      <c r="AZ491" s="283"/>
      <c r="BA491" s="276"/>
      <c r="BB491" s="283"/>
      <c r="BC491" s="276"/>
      <c r="BD491" s="283"/>
      <c r="BE491" s="276"/>
      <c r="BG491" s="283"/>
      <c r="BH491" s="276"/>
      <c r="BI491" s="283"/>
      <c r="BJ491" s="276"/>
      <c r="BK491" s="283"/>
      <c r="BL491" s="276"/>
      <c r="BM491" s="283"/>
      <c r="BN491" s="276"/>
      <c r="BO491" s="283"/>
      <c r="BP491" s="276"/>
      <c r="BQ491" s="283"/>
      <c r="BR491" s="283"/>
      <c r="BS491" s="276"/>
    </row>
    <row r="492" spans="12:71" ht="12" customHeight="1">
      <c r="L492" s="283"/>
      <c r="M492" s="276"/>
      <c r="N492" s="283"/>
      <c r="O492" s="276"/>
      <c r="P492" s="283"/>
      <c r="Q492" s="276"/>
      <c r="S492" s="283"/>
      <c r="T492" s="276"/>
      <c r="W492" s="283"/>
      <c r="X492" s="276"/>
      <c r="Y492" s="283"/>
      <c r="Z492" s="276"/>
      <c r="AA492" s="283"/>
      <c r="AB492" s="276"/>
      <c r="AC492" s="283"/>
      <c r="AE492" s="283"/>
      <c r="AF492" s="276"/>
      <c r="AI492" s="283"/>
      <c r="AJ492" s="276"/>
      <c r="AK492" s="283"/>
      <c r="AL492" s="276"/>
      <c r="AM492" s="283"/>
      <c r="AN492" s="276"/>
      <c r="AO492" s="283"/>
      <c r="AP492" s="276"/>
      <c r="AQ492" s="283"/>
      <c r="AR492" s="276"/>
      <c r="AT492" s="283"/>
      <c r="AU492" s="276"/>
      <c r="AV492" s="283"/>
      <c r="AW492" s="276"/>
      <c r="AX492" s="283"/>
      <c r="AY492" s="276"/>
      <c r="AZ492" s="283"/>
      <c r="BA492" s="276"/>
      <c r="BB492" s="283"/>
      <c r="BC492" s="276"/>
      <c r="BD492" s="283"/>
      <c r="BE492" s="276"/>
      <c r="BG492" s="283"/>
      <c r="BH492" s="276"/>
      <c r="BI492" s="283"/>
      <c r="BJ492" s="276"/>
      <c r="BK492" s="283"/>
      <c r="BL492" s="276"/>
      <c r="BM492" s="283"/>
      <c r="BN492" s="276"/>
      <c r="BO492" s="283"/>
      <c r="BP492" s="276"/>
      <c r="BQ492" s="283"/>
      <c r="BR492" s="283"/>
      <c r="BS492" s="276"/>
    </row>
    <row r="493" spans="12:71" ht="12" customHeight="1">
      <c r="L493" s="283"/>
      <c r="M493" s="276"/>
      <c r="N493" s="283"/>
      <c r="O493" s="276"/>
      <c r="P493" s="283"/>
      <c r="Q493" s="276"/>
      <c r="S493" s="283"/>
      <c r="T493" s="276"/>
      <c r="W493" s="283"/>
      <c r="X493" s="276"/>
      <c r="Y493" s="283"/>
      <c r="Z493" s="276"/>
      <c r="AA493" s="283"/>
      <c r="AB493" s="276"/>
      <c r="AC493" s="283"/>
      <c r="AE493" s="283"/>
      <c r="AF493" s="276"/>
      <c r="AI493" s="283"/>
      <c r="AJ493" s="276"/>
      <c r="AK493" s="283"/>
      <c r="AL493" s="276"/>
      <c r="AM493" s="283"/>
      <c r="AN493" s="276"/>
      <c r="AO493" s="283"/>
      <c r="AP493" s="276"/>
      <c r="AQ493" s="283"/>
      <c r="AR493" s="276"/>
      <c r="AT493" s="283"/>
      <c r="AU493" s="276"/>
      <c r="AV493" s="283"/>
      <c r="AW493" s="276"/>
      <c r="AX493" s="283"/>
      <c r="AY493" s="276"/>
      <c r="AZ493" s="283"/>
      <c r="BA493" s="276"/>
      <c r="BB493" s="283"/>
      <c r="BC493" s="276"/>
      <c r="BD493" s="283"/>
      <c r="BE493" s="276"/>
      <c r="BG493" s="283"/>
      <c r="BH493" s="276"/>
      <c r="BI493" s="283"/>
      <c r="BJ493" s="276"/>
      <c r="BK493" s="283"/>
      <c r="BL493" s="276"/>
      <c r="BM493" s="283"/>
      <c r="BN493" s="276"/>
      <c r="BO493" s="283"/>
      <c r="BP493" s="276"/>
      <c r="BQ493" s="283"/>
      <c r="BR493" s="283"/>
      <c r="BS493" s="276"/>
    </row>
    <row r="494" spans="12:71" ht="12" customHeight="1">
      <c r="L494" s="283"/>
      <c r="M494" s="276"/>
      <c r="N494" s="283"/>
      <c r="O494" s="276"/>
      <c r="P494" s="283"/>
      <c r="Q494" s="276"/>
      <c r="S494" s="283"/>
      <c r="T494" s="276"/>
      <c r="W494" s="283"/>
      <c r="X494" s="276"/>
      <c r="Y494" s="283"/>
      <c r="Z494" s="276"/>
      <c r="AA494" s="283"/>
      <c r="AB494" s="276"/>
      <c r="AC494" s="283"/>
      <c r="AE494" s="283"/>
      <c r="AF494" s="276"/>
      <c r="AI494" s="283"/>
      <c r="AJ494" s="276"/>
      <c r="AK494" s="283"/>
      <c r="AL494" s="276"/>
      <c r="AM494" s="283"/>
      <c r="AN494" s="276"/>
      <c r="AO494" s="283"/>
      <c r="AP494" s="276"/>
      <c r="AQ494" s="283"/>
      <c r="AR494" s="276"/>
      <c r="AT494" s="283"/>
      <c r="AU494" s="276"/>
      <c r="AV494" s="283"/>
      <c r="AW494" s="276"/>
      <c r="AX494" s="283"/>
      <c r="AY494" s="276"/>
      <c r="AZ494" s="283"/>
      <c r="BA494" s="276"/>
      <c r="BB494" s="283"/>
      <c r="BC494" s="276"/>
      <c r="BD494" s="283"/>
      <c r="BE494" s="276"/>
      <c r="BG494" s="283"/>
      <c r="BH494" s="276"/>
      <c r="BI494" s="283"/>
      <c r="BJ494" s="276"/>
      <c r="BK494" s="283"/>
      <c r="BL494" s="276"/>
      <c r="BM494" s="283"/>
      <c r="BN494" s="276"/>
      <c r="BO494" s="283"/>
      <c r="BP494" s="276"/>
      <c r="BQ494" s="283"/>
      <c r="BR494" s="283"/>
      <c r="BS494" s="276"/>
    </row>
    <row r="495" spans="12:71" ht="12" customHeight="1">
      <c r="L495" s="283"/>
      <c r="M495" s="276"/>
      <c r="N495" s="283"/>
      <c r="O495" s="276"/>
      <c r="P495" s="283"/>
      <c r="Q495" s="276"/>
      <c r="S495" s="283"/>
      <c r="T495" s="276"/>
      <c r="W495" s="283"/>
      <c r="X495" s="276"/>
      <c r="Y495" s="283"/>
      <c r="Z495" s="276"/>
      <c r="AA495" s="283"/>
      <c r="AB495" s="276"/>
      <c r="AC495" s="283"/>
      <c r="AE495" s="283"/>
      <c r="AF495" s="276"/>
      <c r="AI495" s="283"/>
      <c r="AJ495" s="276"/>
      <c r="AK495" s="283"/>
      <c r="AL495" s="276"/>
      <c r="AM495" s="283"/>
      <c r="AN495" s="276"/>
      <c r="AO495" s="283"/>
      <c r="AP495" s="276"/>
      <c r="AQ495" s="283"/>
      <c r="AR495" s="276"/>
      <c r="AT495" s="283"/>
      <c r="AU495" s="276"/>
      <c r="AV495" s="283"/>
      <c r="AW495" s="276"/>
      <c r="AX495" s="283"/>
      <c r="AY495" s="276"/>
      <c r="AZ495" s="283"/>
      <c r="BA495" s="276"/>
      <c r="BB495" s="283"/>
      <c r="BC495" s="276"/>
      <c r="BD495" s="283"/>
      <c r="BE495" s="276"/>
      <c r="BG495" s="283"/>
      <c r="BH495" s="276"/>
      <c r="BI495" s="283"/>
      <c r="BJ495" s="276"/>
      <c r="BK495" s="283"/>
      <c r="BL495" s="276"/>
      <c r="BM495" s="283"/>
      <c r="BN495" s="276"/>
      <c r="BO495" s="283"/>
      <c r="BP495" s="276"/>
      <c r="BQ495" s="283"/>
      <c r="BR495" s="283"/>
      <c r="BS495" s="276"/>
    </row>
    <row r="496" spans="12:71" ht="12" customHeight="1">
      <c r="L496" s="283"/>
      <c r="M496" s="276"/>
      <c r="N496" s="283"/>
      <c r="O496" s="276"/>
      <c r="P496" s="283"/>
      <c r="Q496" s="276"/>
      <c r="S496" s="283"/>
      <c r="T496" s="276"/>
      <c r="W496" s="283"/>
      <c r="X496" s="276"/>
      <c r="Y496" s="283"/>
      <c r="Z496" s="276"/>
      <c r="AA496" s="283"/>
      <c r="AB496" s="276"/>
      <c r="AC496" s="283"/>
      <c r="AE496" s="283"/>
      <c r="AF496" s="276"/>
      <c r="AI496" s="283"/>
      <c r="AJ496" s="276"/>
      <c r="AK496" s="283"/>
      <c r="AL496" s="276"/>
      <c r="AM496" s="283"/>
      <c r="AN496" s="276"/>
      <c r="AO496" s="283"/>
      <c r="AP496" s="276"/>
      <c r="AQ496" s="283"/>
      <c r="AR496" s="276"/>
      <c r="AT496" s="283"/>
      <c r="AU496" s="276"/>
      <c r="AV496" s="283"/>
      <c r="AW496" s="276"/>
      <c r="AX496" s="283"/>
      <c r="AY496" s="276"/>
      <c r="AZ496" s="283"/>
      <c r="BA496" s="276"/>
      <c r="BB496" s="283"/>
      <c r="BC496" s="276"/>
      <c r="BD496" s="283"/>
      <c r="BE496" s="276"/>
      <c r="BG496" s="283"/>
      <c r="BH496" s="276"/>
      <c r="BI496" s="283"/>
      <c r="BJ496" s="276"/>
      <c r="BK496" s="283"/>
      <c r="BL496" s="276"/>
      <c r="BM496" s="283"/>
      <c r="BN496" s="276"/>
      <c r="BO496" s="283"/>
      <c r="BP496" s="276"/>
      <c r="BQ496" s="283"/>
      <c r="BR496" s="283"/>
      <c r="BS496" s="276"/>
    </row>
    <row r="497" spans="12:71" ht="12" customHeight="1">
      <c r="L497" s="283"/>
      <c r="M497" s="276"/>
      <c r="N497" s="283"/>
      <c r="O497" s="276"/>
      <c r="P497" s="283"/>
      <c r="Q497" s="276"/>
      <c r="S497" s="283"/>
      <c r="T497" s="276"/>
      <c r="W497" s="283"/>
      <c r="X497" s="276"/>
      <c r="Y497" s="283"/>
      <c r="Z497" s="276"/>
      <c r="AA497" s="283"/>
      <c r="AB497" s="276"/>
      <c r="AC497" s="283"/>
      <c r="AE497" s="283"/>
      <c r="AF497" s="276"/>
      <c r="AI497" s="283"/>
      <c r="AJ497" s="276"/>
      <c r="AK497" s="283"/>
      <c r="AL497" s="276"/>
      <c r="AM497" s="283"/>
      <c r="AN497" s="276"/>
      <c r="AO497" s="283"/>
      <c r="AP497" s="276"/>
      <c r="AQ497" s="283"/>
      <c r="AR497" s="276"/>
      <c r="AT497" s="283"/>
      <c r="AU497" s="276"/>
      <c r="AV497" s="283"/>
      <c r="AW497" s="276"/>
      <c r="AX497" s="283"/>
      <c r="AY497" s="276"/>
      <c r="AZ497" s="283"/>
      <c r="BA497" s="276"/>
      <c r="BB497" s="283"/>
      <c r="BC497" s="276"/>
      <c r="BD497" s="283"/>
      <c r="BE497" s="276"/>
      <c r="BG497" s="283"/>
      <c r="BH497" s="276"/>
      <c r="BI497" s="283"/>
      <c r="BJ497" s="276"/>
      <c r="BK497" s="283"/>
      <c r="BL497" s="276"/>
      <c r="BM497" s="283"/>
      <c r="BN497" s="276"/>
      <c r="BO497" s="283"/>
      <c r="BP497" s="276"/>
      <c r="BQ497" s="283"/>
      <c r="BR497" s="283"/>
      <c r="BS497" s="276"/>
    </row>
    <row r="498" spans="12:71" ht="12" customHeight="1">
      <c r="L498" s="283"/>
      <c r="M498" s="276"/>
      <c r="N498" s="283"/>
      <c r="O498" s="276"/>
      <c r="P498" s="283"/>
      <c r="Q498" s="276"/>
      <c r="S498" s="283"/>
      <c r="T498" s="276"/>
      <c r="W498" s="283"/>
      <c r="X498" s="276"/>
      <c r="Y498" s="283"/>
      <c r="Z498" s="276"/>
      <c r="AA498" s="283"/>
      <c r="AB498" s="276"/>
      <c r="AC498" s="283"/>
      <c r="AE498" s="283"/>
      <c r="AF498" s="276"/>
      <c r="AI498" s="283"/>
      <c r="AJ498" s="276"/>
      <c r="AK498" s="283"/>
      <c r="AL498" s="276"/>
      <c r="AM498" s="283"/>
      <c r="AN498" s="276"/>
      <c r="AO498" s="283"/>
      <c r="AP498" s="276"/>
      <c r="AQ498" s="283"/>
      <c r="AR498" s="276"/>
      <c r="AT498" s="283"/>
      <c r="AU498" s="276"/>
      <c r="AV498" s="283"/>
      <c r="AW498" s="276"/>
      <c r="AX498" s="283"/>
      <c r="AY498" s="276"/>
      <c r="AZ498" s="283"/>
      <c r="BA498" s="276"/>
      <c r="BB498" s="283"/>
      <c r="BC498" s="276"/>
      <c r="BD498" s="283"/>
      <c r="BE498" s="276"/>
      <c r="BG498" s="283"/>
      <c r="BH498" s="276"/>
      <c r="BI498" s="283"/>
      <c r="BJ498" s="276"/>
      <c r="BK498" s="283"/>
      <c r="BL498" s="276"/>
      <c r="BM498" s="283"/>
      <c r="BN498" s="276"/>
      <c r="BO498" s="283"/>
      <c r="BP498" s="276"/>
      <c r="BQ498" s="283"/>
      <c r="BR498" s="283"/>
      <c r="BS498" s="276"/>
    </row>
    <row r="499" spans="12:71" ht="12" customHeight="1">
      <c r="L499" s="283"/>
      <c r="M499" s="276"/>
      <c r="N499" s="283"/>
      <c r="O499" s="276"/>
      <c r="P499" s="283"/>
      <c r="Q499" s="276"/>
      <c r="S499" s="283"/>
      <c r="T499" s="276"/>
      <c r="W499" s="283"/>
      <c r="X499" s="276"/>
      <c r="Y499" s="283"/>
      <c r="Z499" s="276"/>
      <c r="AA499" s="283"/>
      <c r="AB499" s="276"/>
      <c r="AC499" s="283"/>
      <c r="AE499" s="283"/>
      <c r="AF499" s="276"/>
      <c r="AI499" s="283"/>
      <c r="AJ499" s="276"/>
      <c r="AK499" s="283"/>
      <c r="AL499" s="276"/>
      <c r="AM499" s="283"/>
      <c r="AN499" s="276"/>
      <c r="AO499" s="283"/>
      <c r="AP499" s="276"/>
      <c r="AQ499" s="283"/>
      <c r="AR499" s="276"/>
      <c r="AT499" s="283"/>
      <c r="AU499" s="276"/>
      <c r="AV499" s="283"/>
      <c r="AW499" s="276"/>
      <c r="AX499" s="283"/>
      <c r="AY499" s="276"/>
      <c r="AZ499" s="283"/>
      <c r="BA499" s="276"/>
      <c r="BB499" s="283"/>
      <c r="BC499" s="276"/>
      <c r="BD499" s="283"/>
      <c r="BE499" s="276"/>
      <c r="BG499" s="283"/>
      <c r="BH499" s="276"/>
      <c r="BI499" s="283"/>
      <c r="BJ499" s="276"/>
      <c r="BK499" s="283"/>
      <c r="BL499" s="276"/>
      <c r="BM499" s="283"/>
      <c r="BN499" s="276"/>
      <c r="BO499" s="283"/>
      <c r="BP499" s="276"/>
      <c r="BQ499" s="283"/>
      <c r="BR499" s="283"/>
      <c r="BS499" s="276"/>
    </row>
    <row r="500" spans="12:71" ht="12" customHeight="1">
      <c r="L500" s="283"/>
      <c r="M500" s="276"/>
      <c r="N500" s="283"/>
      <c r="O500" s="276"/>
      <c r="P500" s="283"/>
      <c r="Q500" s="276"/>
      <c r="S500" s="283"/>
      <c r="T500" s="276"/>
      <c r="W500" s="283"/>
      <c r="X500" s="276"/>
      <c r="Y500" s="283"/>
      <c r="Z500" s="276"/>
      <c r="AA500" s="283"/>
      <c r="AB500" s="276"/>
      <c r="AC500" s="283"/>
      <c r="AE500" s="283"/>
      <c r="AF500" s="276"/>
      <c r="AI500" s="283"/>
      <c r="AJ500" s="276"/>
      <c r="AK500" s="283"/>
      <c r="AL500" s="276"/>
      <c r="AM500" s="283"/>
      <c r="AN500" s="276"/>
      <c r="AO500" s="283"/>
      <c r="AP500" s="276"/>
      <c r="AQ500" s="283"/>
      <c r="AR500" s="276"/>
      <c r="AT500" s="283"/>
      <c r="AU500" s="276"/>
      <c r="AV500" s="283"/>
      <c r="AW500" s="276"/>
      <c r="AX500" s="283"/>
      <c r="AY500" s="276"/>
      <c r="AZ500" s="283"/>
      <c r="BA500" s="276"/>
      <c r="BB500" s="283"/>
      <c r="BC500" s="276"/>
      <c r="BD500" s="283"/>
      <c r="BE500" s="276"/>
      <c r="BG500" s="283"/>
      <c r="BH500" s="276"/>
      <c r="BI500" s="283"/>
      <c r="BJ500" s="276"/>
      <c r="BK500" s="283"/>
      <c r="BL500" s="276"/>
      <c r="BM500" s="283"/>
      <c r="BN500" s="276"/>
      <c r="BO500" s="283"/>
      <c r="BP500" s="276"/>
      <c r="BQ500" s="283"/>
      <c r="BR500" s="283"/>
      <c r="BS500" s="276"/>
    </row>
    <row r="501" spans="12:71" ht="12" customHeight="1">
      <c r="L501" s="283"/>
      <c r="M501" s="276"/>
      <c r="N501" s="283"/>
      <c r="O501" s="276"/>
      <c r="P501" s="283"/>
      <c r="Q501" s="276"/>
      <c r="S501" s="283"/>
      <c r="T501" s="276"/>
      <c r="W501" s="283"/>
      <c r="X501" s="276"/>
      <c r="Y501" s="283"/>
      <c r="Z501" s="276"/>
      <c r="AA501" s="283"/>
      <c r="AB501" s="276"/>
      <c r="AC501" s="283"/>
      <c r="AE501" s="283"/>
      <c r="AF501" s="276"/>
      <c r="AI501" s="283"/>
      <c r="AJ501" s="276"/>
      <c r="AK501" s="283"/>
      <c r="AL501" s="276"/>
      <c r="AM501" s="283"/>
      <c r="AN501" s="276"/>
      <c r="AO501" s="283"/>
      <c r="AP501" s="276"/>
      <c r="AQ501" s="283"/>
      <c r="AR501" s="276"/>
      <c r="AT501" s="283"/>
      <c r="AU501" s="276"/>
      <c r="AV501" s="283"/>
      <c r="AW501" s="276"/>
      <c r="AX501" s="283"/>
      <c r="AY501" s="276"/>
      <c r="AZ501" s="283"/>
      <c r="BA501" s="276"/>
      <c r="BB501" s="283"/>
      <c r="BC501" s="276"/>
      <c r="BD501" s="283"/>
      <c r="BE501" s="276"/>
      <c r="BG501" s="283"/>
      <c r="BH501" s="276"/>
      <c r="BI501" s="283"/>
      <c r="BJ501" s="276"/>
      <c r="BK501" s="283"/>
      <c r="BL501" s="276"/>
      <c r="BM501" s="283"/>
      <c r="BN501" s="276"/>
      <c r="BO501" s="283"/>
      <c r="BP501" s="276"/>
      <c r="BQ501" s="283"/>
      <c r="BR501" s="283"/>
      <c r="BS501" s="276"/>
    </row>
    <row r="502" spans="12:71" ht="12" customHeight="1">
      <c r="L502" s="283"/>
      <c r="M502" s="276"/>
      <c r="N502" s="283"/>
      <c r="O502" s="276"/>
      <c r="P502" s="283"/>
      <c r="Q502" s="276"/>
      <c r="S502" s="283"/>
      <c r="T502" s="276"/>
      <c r="W502" s="283"/>
      <c r="X502" s="276"/>
      <c r="Y502" s="283"/>
      <c r="Z502" s="276"/>
      <c r="AA502" s="283"/>
      <c r="AB502" s="276"/>
      <c r="AC502" s="283"/>
      <c r="AE502" s="283"/>
      <c r="AF502" s="276"/>
      <c r="AI502" s="283"/>
      <c r="AJ502" s="276"/>
      <c r="AK502" s="283"/>
      <c r="AL502" s="276"/>
      <c r="AM502" s="283"/>
      <c r="AN502" s="276"/>
      <c r="AO502" s="283"/>
      <c r="AP502" s="276"/>
      <c r="AQ502" s="283"/>
      <c r="AR502" s="276"/>
      <c r="AT502" s="283"/>
      <c r="AU502" s="276"/>
      <c r="AV502" s="283"/>
      <c r="AW502" s="276"/>
      <c r="AX502" s="283"/>
      <c r="AY502" s="276"/>
      <c r="AZ502" s="283"/>
      <c r="BA502" s="276"/>
      <c r="BB502" s="283"/>
      <c r="BC502" s="276"/>
      <c r="BD502" s="283"/>
      <c r="BE502" s="276"/>
      <c r="BG502" s="283"/>
      <c r="BH502" s="276"/>
      <c r="BI502" s="283"/>
      <c r="BJ502" s="276"/>
      <c r="BK502" s="283"/>
      <c r="BL502" s="276"/>
      <c r="BM502" s="283"/>
      <c r="BN502" s="276"/>
      <c r="BO502" s="283"/>
      <c r="BP502" s="276"/>
      <c r="BQ502" s="283"/>
      <c r="BR502" s="283"/>
      <c r="BS502" s="276"/>
    </row>
    <row r="503" spans="12:71" ht="12" customHeight="1">
      <c r="L503" s="283"/>
      <c r="M503" s="276"/>
      <c r="N503" s="283"/>
      <c r="O503" s="276"/>
      <c r="P503" s="283"/>
      <c r="Q503" s="276"/>
      <c r="S503" s="283"/>
      <c r="T503" s="276"/>
      <c r="W503" s="283"/>
      <c r="X503" s="276"/>
      <c r="Y503" s="283"/>
      <c r="Z503" s="276"/>
      <c r="AA503" s="283"/>
      <c r="AB503" s="276"/>
      <c r="AC503" s="283"/>
      <c r="AE503" s="283"/>
      <c r="AF503" s="276"/>
      <c r="AI503" s="283"/>
      <c r="AJ503" s="276"/>
      <c r="AK503" s="283"/>
      <c r="AL503" s="276"/>
      <c r="AM503" s="283"/>
      <c r="AN503" s="276"/>
      <c r="AO503" s="283"/>
      <c r="AP503" s="276"/>
      <c r="AQ503" s="283"/>
      <c r="AR503" s="276"/>
      <c r="AT503" s="283"/>
      <c r="AU503" s="276"/>
      <c r="AV503" s="283"/>
      <c r="AW503" s="276"/>
      <c r="AX503" s="283"/>
      <c r="AY503" s="276"/>
      <c r="AZ503" s="283"/>
      <c r="BA503" s="276"/>
      <c r="BB503" s="283"/>
      <c r="BC503" s="276"/>
      <c r="BD503" s="283"/>
      <c r="BE503" s="276"/>
      <c r="BG503" s="283"/>
      <c r="BH503" s="276"/>
      <c r="BI503" s="283"/>
      <c r="BJ503" s="276"/>
      <c r="BK503" s="283"/>
      <c r="BL503" s="276"/>
      <c r="BM503" s="283"/>
      <c r="BN503" s="276"/>
      <c r="BO503" s="283"/>
      <c r="BP503" s="276"/>
      <c r="BQ503" s="283"/>
      <c r="BR503" s="283"/>
      <c r="BS503" s="276"/>
    </row>
    <row r="504" spans="12:71" ht="12" customHeight="1">
      <c r="L504" s="283"/>
      <c r="M504" s="276"/>
      <c r="N504" s="283"/>
      <c r="O504" s="276"/>
      <c r="P504" s="283"/>
      <c r="Q504" s="276"/>
      <c r="S504" s="283"/>
      <c r="T504" s="276"/>
      <c r="W504" s="283"/>
      <c r="X504" s="276"/>
      <c r="Y504" s="283"/>
      <c r="Z504" s="276"/>
      <c r="AA504" s="283"/>
      <c r="AB504" s="276"/>
      <c r="AC504" s="283"/>
      <c r="AE504" s="283"/>
      <c r="AF504" s="276"/>
      <c r="AI504" s="283"/>
      <c r="AJ504" s="276"/>
      <c r="AK504" s="283"/>
      <c r="AL504" s="276"/>
      <c r="AM504" s="283"/>
      <c r="AN504" s="276"/>
      <c r="AO504" s="283"/>
      <c r="AP504" s="276"/>
      <c r="AQ504" s="283"/>
      <c r="AR504" s="276"/>
      <c r="AT504" s="283"/>
      <c r="AU504" s="276"/>
      <c r="AV504" s="283"/>
      <c r="AW504" s="276"/>
      <c r="AX504" s="283"/>
      <c r="AY504" s="276"/>
      <c r="AZ504" s="283"/>
      <c r="BA504" s="276"/>
      <c r="BB504" s="283"/>
      <c r="BC504" s="276"/>
      <c r="BD504" s="283"/>
      <c r="BE504" s="276"/>
      <c r="BG504" s="283"/>
      <c r="BH504" s="276"/>
      <c r="BI504" s="283"/>
      <c r="BJ504" s="276"/>
      <c r="BK504" s="283"/>
      <c r="BL504" s="276"/>
      <c r="BM504" s="283"/>
      <c r="BN504" s="276"/>
      <c r="BO504" s="283"/>
      <c r="BP504" s="276"/>
      <c r="BQ504" s="283"/>
      <c r="BR504" s="283"/>
      <c r="BS504" s="276"/>
    </row>
    <row r="505" spans="12:71" ht="12" customHeight="1">
      <c r="L505" s="283"/>
      <c r="M505" s="276"/>
      <c r="N505" s="283"/>
      <c r="O505" s="276"/>
      <c r="P505" s="283"/>
      <c r="Q505" s="276"/>
      <c r="S505" s="283"/>
      <c r="T505" s="276"/>
      <c r="W505" s="283"/>
      <c r="X505" s="276"/>
      <c r="Y505" s="283"/>
      <c r="Z505" s="276"/>
      <c r="AA505" s="283"/>
      <c r="AB505" s="276"/>
      <c r="AC505" s="283"/>
      <c r="AE505" s="283"/>
      <c r="AF505" s="276"/>
      <c r="AI505" s="283"/>
      <c r="AJ505" s="276"/>
      <c r="AK505" s="283"/>
      <c r="AL505" s="276"/>
      <c r="AM505" s="283"/>
      <c r="AN505" s="276"/>
      <c r="AO505" s="283"/>
      <c r="AP505" s="276"/>
      <c r="AQ505" s="283"/>
      <c r="AR505" s="276"/>
      <c r="AT505" s="283"/>
      <c r="AU505" s="276"/>
      <c r="AV505" s="283"/>
      <c r="AW505" s="276"/>
      <c r="AX505" s="283"/>
      <c r="AY505" s="276"/>
      <c r="AZ505" s="283"/>
      <c r="BA505" s="276"/>
      <c r="BB505" s="283"/>
      <c r="BC505" s="276"/>
      <c r="BD505" s="283"/>
      <c r="BE505" s="276"/>
      <c r="BG505" s="283"/>
      <c r="BH505" s="276"/>
      <c r="BI505" s="283"/>
      <c r="BJ505" s="276"/>
      <c r="BK505" s="283"/>
      <c r="BL505" s="276"/>
      <c r="BM505" s="283"/>
      <c r="BN505" s="276"/>
      <c r="BO505" s="283"/>
      <c r="BP505" s="276"/>
      <c r="BQ505" s="283"/>
      <c r="BR505" s="283"/>
      <c r="BS505" s="276"/>
    </row>
    <row r="506" spans="12:71" ht="12" customHeight="1">
      <c r="L506" s="283"/>
      <c r="M506" s="276"/>
      <c r="N506" s="283"/>
      <c r="O506" s="276"/>
      <c r="P506" s="283"/>
      <c r="Q506" s="276"/>
      <c r="S506" s="283"/>
      <c r="T506" s="276"/>
      <c r="W506" s="283"/>
      <c r="X506" s="276"/>
      <c r="Y506" s="283"/>
      <c r="Z506" s="276"/>
      <c r="AA506" s="283"/>
      <c r="AB506" s="276"/>
      <c r="AC506" s="283"/>
      <c r="AE506" s="283"/>
      <c r="AF506" s="276"/>
      <c r="AI506" s="283"/>
      <c r="AJ506" s="276"/>
      <c r="AK506" s="283"/>
      <c r="AL506" s="276"/>
      <c r="AM506" s="283"/>
      <c r="AN506" s="276"/>
      <c r="AO506" s="283"/>
      <c r="AP506" s="276"/>
      <c r="AQ506" s="283"/>
      <c r="AR506" s="276"/>
      <c r="AT506" s="283"/>
      <c r="AU506" s="276"/>
      <c r="AV506" s="283"/>
      <c r="AW506" s="276"/>
      <c r="AX506" s="283"/>
      <c r="AY506" s="276"/>
      <c r="AZ506" s="283"/>
      <c r="BA506" s="276"/>
      <c r="BB506" s="283"/>
      <c r="BC506" s="276"/>
      <c r="BD506" s="283"/>
      <c r="BE506" s="276"/>
      <c r="BG506" s="283"/>
      <c r="BH506" s="276"/>
      <c r="BI506" s="283"/>
      <c r="BJ506" s="276"/>
      <c r="BK506" s="283"/>
      <c r="BL506" s="276"/>
      <c r="BM506" s="283"/>
      <c r="BN506" s="276"/>
      <c r="BO506" s="283"/>
      <c r="BP506" s="276"/>
      <c r="BQ506" s="283"/>
      <c r="BR506" s="283"/>
      <c r="BS506" s="276"/>
    </row>
    <row r="507" spans="12:71" ht="12" customHeight="1">
      <c r="L507" s="283"/>
      <c r="M507" s="276"/>
      <c r="N507" s="283"/>
      <c r="O507" s="276"/>
      <c r="P507" s="283"/>
      <c r="Q507" s="276"/>
      <c r="S507" s="283"/>
      <c r="T507" s="276"/>
      <c r="W507" s="283"/>
      <c r="X507" s="276"/>
      <c r="Y507" s="283"/>
      <c r="Z507" s="276"/>
      <c r="AA507" s="283"/>
      <c r="AB507" s="276"/>
      <c r="AC507" s="283"/>
      <c r="AE507" s="283"/>
      <c r="AF507" s="276"/>
      <c r="AI507" s="283"/>
      <c r="AJ507" s="276"/>
      <c r="AK507" s="283"/>
      <c r="AL507" s="276"/>
      <c r="AM507" s="283"/>
      <c r="AN507" s="276"/>
      <c r="AO507" s="283"/>
      <c r="AP507" s="276"/>
      <c r="AQ507" s="283"/>
      <c r="AR507" s="276"/>
      <c r="AT507" s="283"/>
      <c r="AU507" s="276"/>
      <c r="AV507" s="283"/>
      <c r="AW507" s="276"/>
      <c r="AX507" s="283"/>
      <c r="AY507" s="276"/>
      <c r="AZ507" s="283"/>
      <c r="BA507" s="276"/>
      <c r="BB507" s="283"/>
      <c r="BC507" s="276"/>
      <c r="BD507" s="283"/>
      <c r="BE507" s="276"/>
      <c r="BG507" s="283"/>
      <c r="BH507" s="276"/>
      <c r="BI507" s="283"/>
      <c r="BJ507" s="276"/>
      <c r="BK507" s="283"/>
      <c r="BL507" s="276"/>
      <c r="BM507" s="283"/>
      <c r="BN507" s="276"/>
      <c r="BO507" s="283"/>
      <c r="BP507" s="276"/>
      <c r="BQ507" s="283"/>
      <c r="BR507" s="283"/>
      <c r="BS507" s="276"/>
    </row>
    <row r="508" spans="12:71" ht="12" customHeight="1">
      <c r="L508" s="283"/>
      <c r="M508" s="276"/>
      <c r="N508" s="283"/>
      <c r="O508" s="276"/>
      <c r="P508" s="283"/>
      <c r="Q508" s="276"/>
      <c r="S508" s="283"/>
      <c r="T508" s="276"/>
      <c r="W508" s="283"/>
      <c r="X508" s="276"/>
      <c r="Y508" s="283"/>
      <c r="Z508" s="276"/>
      <c r="AA508" s="283"/>
      <c r="AB508" s="276"/>
      <c r="AC508" s="283"/>
      <c r="AE508" s="283"/>
      <c r="AF508" s="276"/>
      <c r="AI508" s="283"/>
      <c r="AJ508" s="276"/>
      <c r="AK508" s="283"/>
      <c r="AL508" s="276"/>
      <c r="AM508" s="283"/>
      <c r="AN508" s="276"/>
      <c r="AO508" s="283"/>
      <c r="AP508" s="276"/>
      <c r="AQ508" s="283"/>
      <c r="AR508" s="276"/>
      <c r="AT508" s="283"/>
      <c r="AU508" s="276"/>
      <c r="AV508" s="283"/>
      <c r="AW508" s="276"/>
      <c r="AX508" s="283"/>
      <c r="AY508" s="276"/>
      <c r="AZ508" s="283"/>
      <c r="BA508" s="276"/>
      <c r="BB508" s="283"/>
      <c r="BC508" s="276"/>
      <c r="BD508" s="283"/>
      <c r="BE508" s="276"/>
      <c r="BG508" s="283"/>
      <c r="BH508" s="276"/>
      <c r="BI508" s="283"/>
      <c r="BJ508" s="276"/>
      <c r="BK508" s="283"/>
      <c r="BL508" s="276"/>
      <c r="BM508" s="283"/>
      <c r="BN508" s="276"/>
      <c r="BO508" s="283"/>
      <c r="BP508" s="276"/>
      <c r="BQ508" s="283"/>
      <c r="BR508" s="283"/>
      <c r="BS508" s="276"/>
    </row>
    <row r="509" spans="12:71" ht="12" customHeight="1">
      <c r="L509" s="283"/>
      <c r="M509" s="276"/>
      <c r="N509" s="283"/>
      <c r="O509" s="276"/>
      <c r="P509" s="283"/>
      <c r="Q509" s="276"/>
      <c r="S509" s="283"/>
      <c r="T509" s="276"/>
      <c r="W509" s="283"/>
      <c r="X509" s="276"/>
      <c r="Y509" s="283"/>
      <c r="Z509" s="276"/>
      <c r="AA509" s="283"/>
      <c r="AB509" s="276"/>
      <c r="AC509" s="283"/>
      <c r="AE509" s="283"/>
      <c r="AF509" s="276"/>
      <c r="AI509" s="283"/>
      <c r="AJ509" s="276"/>
      <c r="AK509" s="283"/>
      <c r="AL509" s="276"/>
      <c r="AM509" s="283"/>
      <c r="AN509" s="276"/>
      <c r="AO509" s="283"/>
      <c r="AP509" s="276"/>
      <c r="AQ509" s="283"/>
      <c r="AR509" s="276"/>
      <c r="AT509" s="283"/>
      <c r="AU509" s="276"/>
      <c r="AV509" s="283"/>
      <c r="AW509" s="276"/>
      <c r="AX509" s="283"/>
      <c r="AY509" s="276"/>
      <c r="AZ509" s="283"/>
      <c r="BA509" s="276"/>
      <c r="BB509" s="283"/>
      <c r="BC509" s="276"/>
      <c r="BD509" s="283"/>
      <c r="BE509" s="276"/>
      <c r="BG509" s="283"/>
      <c r="BH509" s="276"/>
      <c r="BI509" s="283"/>
      <c r="BJ509" s="276"/>
      <c r="BK509" s="283"/>
      <c r="BL509" s="276"/>
      <c r="BM509" s="283"/>
      <c r="BN509" s="276"/>
      <c r="BO509" s="283"/>
      <c r="BP509" s="276"/>
      <c r="BQ509" s="283"/>
      <c r="BR509" s="283"/>
      <c r="BS509" s="276"/>
    </row>
    <row r="510" spans="12:71" ht="12" customHeight="1">
      <c r="L510" s="283"/>
      <c r="M510" s="276"/>
      <c r="N510" s="283"/>
      <c r="O510" s="276"/>
      <c r="P510" s="283"/>
      <c r="Q510" s="276"/>
      <c r="S510" s="283"/>
      <c r="T510" s="276"/>
      <c r="W510" s="283"/>
      <c r="X510" s="276"/>
      <c r="Y510" s="283"/>
      <c r="Z510" s="276"/>
      <c r="AA510" s="283"/>
      <c r="AB510" s="276"/>
      <c r="AC510" s="283"/>
      <c r="AE510" s="283"/>
      <c r="AF510" s="276"/>
      <c r="AI510" s="283"/>
      <c r="AJ510" s="276"/>
      <c r="AK510" s="283"/>
      <c r="AL510" s="276"/>
      <c r="AM510" s="283"/>
      <c r="AN510" s="276"/>
      <c r="AO510" s="283"/>
      <c r="AP510" s="276"/>
      <c r="AQ510" s="283"/>
      <c r="AR510" s="276"/>
      <c r="AT510" s="283"/>
      <c r="AU510" s="276"/>
      <c r="AV510" s="283"/>
      <c r="AW510" s="276"/>
      <c r="AX510" s="283"/>
      <c r="AY510" s="276"/>
      <c r="AZ510" s="283"/>
      <c r="BA510" s="276"/>
      <c r="BB510" s="283"/>
      <c r="BC510" s="276"/>
      <c r="BD510" s="283"/>
      <c r="BE510" s="276"/>
      <c r="BG510" s="283"/>
      <c r="BH510" s="276"/>
      <c r="BI510" s="283"/>
      <c r="BJ510" s="276"/>
      <c r="BK510" s="283"/>
      <c r="BL510" s="276"/>
      <c r="BM510" s="283"/>
      <c r="BN510" s="276"/>
      <c r="BO510" s="283"/>
      <c r="BP510" s="276"/>
      <c r="BQ510" s="283"/>
      <c r="BR510" s="283"/>
      <c r="BS510" s="276"/>
    </row>
    <row r="511" spans="12:71" ht="12" customHeight="1">
      <c r="L511" s="283"/>
      <c r="M511" s="276"/>
      <c r="N511" s="283"/>
      <c r="O511" s="276"/>
      <c r="P511" s="283"/>
      <c r="Q511" s="276"/>
      <c r="S511" s="283"/>
      <c r="T511" s="276"/>
      <c r="W511" s="283"/>
      <c r="X511" s="276"/>
      <c r="Y511" s="283"/>
      <c r="Z511" s="276"/>
      <c r="AA511" s="283"/>
      <c r="AB511" s="276"/>
      <c r="AC511" s="283"/>
      <c r="AE511" s="283"/>
      <c r="AF511" s="276"/>
      <c r="AI511" s="283"/>
      <c r="AJ511" s="276"/>
      <c r="AK511" s="283"/>
      <c r="AL511" s="276"/>
      <c r="AM511" s="283"/>
      <c r="AN511" s="276"/>
      <c r="AO511" s="283"/>
      <c r="AP511" s="276"/>
      <c r="AQ511" s="283"/>
      <c r="AR511" s="276"/>
      <c r="AT511" s="283"/>
      <c r="AU511" s="276"/>
      <c r="AV511" s="283"/>
      <c r="AW511" s="276"/>
      <c r="AX511" s="283"/>
      <c r="AY511" s="276"/>
      <c r="AZ511" s="283"/>
      <c r="BA511" s="276"/>
      <c r="BB511" s="283"/>
      <c r="BC511" s="276"/>
      <c r="BD511" s="283"/>
      <c r="BE511" s="276"/>
      <c r="BG511" s="283"/>
      <c r="BH511" s="276"/>
      <c r="BI511" s="283"/>
      <c r="BJ511" s="276"/>
      <c r="BK511" s="283"/>
      <c r="BL511" s="276"/>
      <c r="BM511" s="283"/>
      <c r="BN511" s="276"/>
      <c r="BO511" s="283"/>
      <c r="BP511" s="276"/>
      <c r="BQ511" s="283"/>
      <c r="BR511" s="283"/>
      <c r="BS511" s="276"/>
    </row>
    <row r="512" spans="12:71" ht="12" customHeight="1">
      <c r="L512" s="283"/>
      <c r="M512" s="276"/>
      <c r="N512" s="283"/>
      <c r="O512" s="276"/>
      <c r="P512" s="283"/>
      <c r="Q512" s="276"/>
      <c r="S512" s="283"/>
      <c r="T512" s="276"/>
      <c r="W512" s="283"/>
      <c r="X512" s="276"/>
      <c r="Y512" s="283"/>
      <c r="Z512" s="276"/>
      <c r="AA512" s="283"/>
      <c r="AB512" s="276"/>
      <c r="AC512" s="283"/>
      <c r="AE512" s="283"/>
      <c r="AF512" s="276"/>
      <c r="AI512" s="283"/>
      <c r="AJ512" s="276"/>
      <c r="AK512" s="283"/>
      <c r="AL512" s="276"/>
      <c r="AM512" s="283"/>
      <c r="AN512" s="276"/>
      <c r="AO512" s="283"/>
      <c r="AP512" s="276"/>
      <c r="AQ512" s="283"/>
      <c r="AR512" s="276"/>
      <c r="AT512" s="283"/>
      <c r="AU512" s="276"/>
      <c r="AV512" s="283"/>
      <c r="AW512" s="276"/>
      <c r="AX512" s="283"/>
      <c r="AY512" s="276"/>
      <c r="AZ512" s="283"/>
      <c r="BA512" s="276"/>
      <c r="BB512" s="283"/>
      <c r="BC512" s="276"/>
      <c r="BD512" s="283"/>
      <c r="BE512" s="276"/>
      <c r="BG512" s="283"/>
      <c r="BH512" s="276"/>
      <c r="BI512" s="283"/>
      <c r="BJ512" s="276"/>
      <c r="BK512" s="283"/>
      <c r="BL512" s="276"/>
      <c r="BM512" s="283"/>
      <c r="BN512" s="276"/>
      <c r="BO512" s="283"/>
      <c r="BP512" s="276"/>
      <c r="BQ512" s="283"/>
      <c r="BR512" s="283"/>
      <c r="BS512" s="276"/>
    </row>
    <row r="513" spans="12:71" ht="12" customHeight="1">
      <c r="L513" s="283"/>
      <c r="M513" s="276"/>
      <c r="N513" s="283"/>
      <c r="O513" s="276"/>
      <c r="P513" s="283"/>
      <c r="Q513" s="276"/>
      <c r="S513" s="283"/>
      <c r="T513" s="276"/>
      <c r="W513" s="283"/>
      <c r="X513" s="276"/>
      <c r="Y513" s="283"/>
      <c r="Z513" s="276"/>
      <c r="AA513" s="283"/>
      <c r="AB513" s="276"/>
      <c r="AC513" s="283"/>
      <c r="AE513" s="283"/>
      <c r="AF513" s="276"/>
      <c r="AI513" s="283"/>
      <c r="AJ513" s="276"/>
      <c r="AK513" s="283"/>
      <c r="AL513" s="276"/>
      <c r="AM513" s="283"/>
      <c r="AN513" s="276"/>
      <c r="AO513" s="283"/>
      <c r="AP513" s="276"/>
      <c r="AQ513" s="283"/>
      <c r="AR513" s="276"/>
      <c r="AT513" s="283"/>
      <c r="AU513" s="276"/>
      <c r="AV513" s="283"/>
      <c r="AW513" s="276"/>
      <c r="AX513" s="283"/>
      <c r="AY513" s="276"/>
      <c r="AZ513" s="283"/>
      <c r="BA513" s="276"/>
      <c r="BB513" s="283"/>
      <c r="BC513" s="276"/>
      <c r="BD513" s="283"/>
      <c r="BE513" s="276"/>
      <c r="BG513" s="283"/>
      <c r="BH513" s="276"/>
      <c r="BI513" s="283"/>
      <c r="BJ513" s="276"/>
      <c r="BK513" s="283"/>
      <c r="BL513" s="276"/>
      <c r="BM513" s="283"/>
      <c r="BN513" s="276"/>
      <c r="BO513" s="283"/>
      <c r="BP513" s="276"/>
      <c r="BQ513" s="283"/>
      <c r="BR513" s="283"/>
      <c r="BS513" s="276"/>
    </row>
    <row r="514" spans="12:71" ht="12" customHeight="1">
      <c r="L514" s="283"/>
      <c r="M514" s="276"/>
      <c r="N514" s="283"/>
      <c r="O514" s="276"/>
      <c r="P514" s="283"/>
      <c r="Q514" s="276"/>
      <c r="S514" s="283"/>
      <c r="T514" s="276"/>
      <c r="W514" s="283"/>
      <c r="X514" s="276"/>
      <c r="Y514" s="283"/>
      <c r="Z514" s="276"/>
      <c r="AA514" s="283"/>
      <c r="AB514" s="276"/>
      <c r="AC514" s="283"/>
      <c r="AE514" s="283"/>
      <c r="AF514" s="276"/>
      <c r="AI514" s="283"/>
      <c r="AJ514" s="276"/>
      <c r="AK514" s="283"/>
      <c r="AL514" s="276"/>
      <c r="AM514" s="283"/>
      <c r="AN514" s="276"/>
      <c r="AO514" s="283"/>
      <c r="AP514" s="276"/>
      <c r="AQ514" s="283"/>
      <c r="AR514" s="276"/>
      <c r="AT514" s="283"/>
      <c r="AU514" s="276"/>
      <c r="AV514" s="283"/>
      <c r="AW514" s="276"/>
      <c r="AX514" s="283"/>
      <c r="AY514" s="276"/>
      <c r="AZ514" s="283"/>
      <c r="BA514" s="276"/>
      <c r="BB514" s="283"/>
      <c r="BC514" s="276"/>
      <c r="BD514" s="283"/>
      <c r="BE514" s="276"/>
      <c r="BG514" s="283"/>
      <c r="BH514" s="276"/>
      <c r="BI514" s="283"/>
      <c r="BJ514" s="276"/>
      <c r="BK514" s="283"/>
      <c r="BL514" s="276"/>
      <c r="BM514" s="283"/>
      <c r="BN514" s="276"/>
      <c r="BO514" s="283"/>
      <c r="BP514" s="276"/>
      <c r="BQ514" s="283"/>
      <c r="BR514" s="283"/>
      <c r="BS514" s="276"/>
    </row>
    <row r="515" spans="12:71" ht="12" customHeight="1">
      <c r="L515" s="283"/>
      <c r="M515" s="276"/>
      <c r="N515" s="283"/>
      <c r="O515" s="276"/>
      <c r="P515" s="283"/>
      <c r="Q515" s="276"/>
      <c r="S515" s="283"/>
      <c r="T515" s="276"/>
      <c r="W515" s="283"/>
      <c r="X515" s="276"/>
      <c r="Y515" s="283"/>
      <c r="Z515" s="276"/>
      <c r="AA515" s="283"/>
      <c r="AB515" s="276"/>
      <c r="AC515" s="283"/>
      <c r="AE515" s="283"/>
      <c r="AF515" s="276"/>
      <c r="AI515" s="283"/>
      <c r="AJ515" s="276"/>
      <c r="AK515" s="283"/>
      <c r="AL515" s="276"/>
      <c r="AM515" s="283"/>
      <c r="AN515" s="276"/>
      <c r="AO515" s="283"/>
      <c r="AP515" s="276"/>
      <c r="AQ515" s="283"/>
      <c r="AR515" s="276"/>
      <c r="AT515" s="283"/>
      <c r="AU515" s="276"/>
      <c r="AV515" s="283"/>
      <c r="AW515" s="276"/>
      <c r="AX515" s="283"/>
      <c r="AY515" s="276"/>
      <c r="AZ515" s="283"/>
      <c r="BA515" s="276"/>
      <c r="BB515" s="283"/>
      <c r="BC515" s="276"/>
      <c r="BD515" s="283"/>
      <c r="BE515" s="276"/>
      <c r="BG515" s="283"/>
      <c r="BH515" s="276"/>
      <c r="BI515" s="283"/>
      <c r="BJ515" s="276"/>
      <c r="BK515" s="283"/>
      <c r="BL515" s="276"/>
      <c r="BM515" s="283"/>
      <c r="BN515" s="276"/>
      <c r="BO515" s="283"/>
      <c r="BP515" s="276"/>
      <c r="BQ515" s="283"/>
      <c r="BR515" s="283"/>
      <c r="BS515" s="276"/>
    </row>
    <row r="516" spans="12:71" ht="12" customHeight="1">
      <c r="L516" s="283"/>
      <c r="M516" s="276"/>
      <c r="N516" s="283"/>
      <c r="O516" s="276"/>
      <c r="P516" s="283"/>
      <c r="Q516" s="276"/>
      <c r="S516" s="283"/>
      <c r="T516" s="276"/>
      <c r="W516" s="283"/>
      <c r="X516" s="276"/>
      <c r="Y516" s="283"/>
      <c r="Z516" s="276"/>
      <c r="AA516" s="283"/>
      <c r="AB516" s="276"/>
      <c r="AC516" s="283"/>
      <c r="AE516" s="283"/>
      <c r="AF516" s="276"/>
      <c r="AI516" s="283"/>
      <c r="AJ516" s="276"/>
      <c r="AK516" s="283"/>
      <c r="AL516" s="276"/>
      <c r="AM516" s="283"/>
      <c r="AN516" s="276"/>
      <c r="AO516" s="283"/>
      <c r="AP516" s="276"/>
      <c r="AQ516" s="283"/>
      <c r="AR516" s="276"/>
      <c r="AT516" s="283"/>
      <c r="AU516" s="276"/>
      <c r="AV516" s="283"/>
      <c r="AW516" s="276"/>
      <c r="AX516" s="283"/>
      <c r="AY516" s="276"/>
      <c r="AZ516" s="283"/>
      <c r="BA516" s="276"/>
      <c r="BB516" s="283"/>
      <c r="BC516" s="276"/>
      <c r="BD516" s="283"/>
      <c r="BE516" s="276"/>
      <c r="BG516" s="283"/>
      <c r="BH516" s="276"/>
      <c r="BI516" s="283"/>
      <c r="BJ516" s="276"/>
      <c r="BK516" s="283"/>
      <c r="BL516" s="276"/>
      <c r="BM516" s="283"/>
      <c r="BN516" s="276"/>
      <c r="BO516" s="283"/>
      <c r="BP516" s="276"/>
      <c r="BQ516" s="283"/>
      <c r="BR516" s="283"/>
      <c r="BS516" s="276"/>
    </row>
    <row r="517" spans="12:71" ht="12" customHeight="1">
      <c r="L517" s="283"/>
      <c r="M517" s="276"/>
      <c r="N517" s="283"/>
      <c r="O517" s="276"/>
      <c r="P517" s="283"/>
      <c r="Q517" s="276"/>
      <c r="S517" s="283"/>
      <c r="T517" s="276"/>
      <c r="W517" s="283"/>
      <c r="X517" s="276"/>
      <c r="Y517" s="283"/>
      <c r="Z517" s="276"/>
      <c r="AA517" s="283"/>
      <c r="AB517" s="276"/>
      <c r="AC517" s="283"/>
      <c r="AE517" s="283"/>
      <c r="AF517" s="276"/>
      <c r="AI517" s="283"/>
      <c r="AJ517" s="276"/>
      <c r="AK517" s="283"/>
      <c r="AL517" s="276"/>
      <c r="AM517" s="283"/>
      <c r="AN517" s="276"/>
      <c r="AO517" s="283"/>
      <c r="AP517" s="276"/>
      <c r="AQ517" s="283"/>
      <c r="AR517" s="276"/>
      <c r="AT517" s="283"/>
      <c r="AU517" s="276"/>
      <c r="AV517" s="283"/>
      <c r="AW517" s="276"/>
      <c r="AX517" s="283"/>
      <c r="AY517" s="276"/>
      <c r="AZ517" s="283"/>
      <c r="BA517" s="276"/>
      <c r="BB517" s="283"/>
      <c r="BC517" s="276"/>
      <c r="BD517" s="283"/>
      <c r="BE517" s="276"/>
      <c r="BG517" s="283"/>
      <c r="BH517" s="276"/>
      <c r="BI517" s="283"/>
      <c r="BJ517" s="276"/>
      <c r="BK517" s="283"/>
      <c r="BL517" s="276"/>
      <c r="BM517" s="283"/>
      <c r="BN517" s="276"/>
      <c r="BO517" s="283"/>
      <c r="BP517" s="276"/>
      <c r="BQ517" s="283"/>
      <c r="BR517" s="283"/>
      <c r="BS517" s="276"/>
    </row>
    <row r="518" spans="12:71" ht="12" customHeight="1">
      <c r="L518" s="283"/>
      <c r="M518" s="276"/>
      <c r="N518" s="283"/>
      <c r="O518" s="276"/>
      <c r="P518" s="283"/>
      <c r="Q518" s="276"/>
      <c r="S518" s="283"/>
      <c r="T518" s="276"/>
      <c r="W518" s="283"/>
      <c r="X518" s="276"/>
      <c r="Y518" s="283"/>
      <c r="Z518" s="276"/>
      <c r="AA518" s="283"/>
      <c r="AB518" s="276"/>
      <c r="AC518" s="283"/>
      <c r="AE518" s="283"/>
      <c r="AF518" s="276"/>
      <c r="AI518" s="283"/>
      <c r="AJ518" s="276"/>
      <c r="AK518" s="283"/>
      <c r="AL518" s="276"/>
      <c r="AM518" s="283"/>
      <c r="AN518" s="276"/>
      <c r="AO518" s="283"/>
      <c r="AP518" s="276"/>
      <c r="AQ518" s="283"/>
      <c r="AR518" s="276"/>
      <c r="AT518" s="283"/>
      <c r="AU518" s="276"/>
      <c r="AV518" s="283"/>
      <c r="AW518" s="276"/>
      <c r="AX518" s="283"/>
      <c r="AY518" s="276"/>
      <c r="AZ518" s="283"/>
      <c r="BA518" s="276"/>
      <c r="BB518" s="283"/>
      <c r="BC518" s="276"/>
      <c r="BD518" s="283"/>
      <c r="BE518" s="276"/>
      <c r="BG518" s="283"/>
      <c r="BH518" s="276"/>
      <c r="BI518" s="283"/>
      <c r="BJ518" s="276"/>
      <c r="BK518" s="283"/>
      <c r="BL518" s="276"/>
      <c r="BM518" s="283"/>
      <c r="BN518" s="276"/>
      <c r="BO518" s="283"/>
      <c r="BP518" s="276"/>
      <c r="BQ518" s="283"/>
      <c r="BR518" s="283"/>
      <c r="BS518" s="276"/>
    </row>
    <row r="519" spans="12:71" ht="12" customHeight="1">
      <c r="L519" s="283"/>
      <c r="M519" s="276"/>
      <c r="N519" s="283"/>
      <c r="O519" s="276"/>
      <c r="P519" s="283"/>
      <c r="Q519" s="276"/>
      <c r="S519" s="283"/>
      <c r="T519" s="276"/>
      <c r="W519" s="283"/>
      <c r="X519" s="276"/>
      <c r="Y519" s="283"/>
      <c r="Z519" s="276"/>
      <c r="AA519" s="283"/>
      <c r="AB519" s="276"/>
      <c r="AC519" s="283"/>
      <c r="AE519" s="283"/>
      <c r="AF519" s="276"/>
      <c r="AI519" s="283"/>
      <c r="AJ519" s="276"/>
      <c r="AK519" s="283"/>
      <c r="AL519" s="276"/>
      <c r="AM519" s="283"/>
      <c r="AN519" s="276"/>
      <c r="AO519" s="283"/>
      <c r="AP519" s="276"/>
      <c r="AQ519" s="283"/>
      <c r="AR519" s="276"/>
      <c r="AT519" s="283"/>
      <c r="AU519" s="276"/>
      <c r="AV519" s="283"/>
      <c r="AW519" s="276"/>
      <c r="AX519" s="283"/>
      <c r="AY519" s="276"/>
      <c r="AZ519" s="283"/>
      <c r="BA519" s="276"/>
      <c r="BB519" s="283"/>
      <c r="BC519" s="276"/>
      <c r="BD519" s="283"/>
      <c r="BE519" s="276"/>
      <c r="BG519" s="283"/>
      <c r="BH519" s="276"/>
      <c r="BI519" s="283"/>
      <c r="BJ519" s="276"/>
      <c r="BK519" s="283"/>
      <c r="BL519" s="276"/>
      <c r="BM519" s="283"/>
      <c r="BN519" s="276"/>
      <c r="BO519" s="283"/>
      <c r="BP519" s="276"/>
      <c r="BQ519" s="283"/>
      <c r="BR519" s="283"/>
      <c r="BS519" s="276"/>
    </row>
    <row r="520" spans="12:71" ht="12" customHeight="1">
      <c r="L520" s="283"/>
      <c r="M520" s="276"/>
      <c r="N520" s="283"/>
      <c r="O520" s="276"/>
      <c r="P520" s="283"/>
      <c r="Q520" s="276"/>
      <c r="S520" s="283"/>
      <c r="T520" s="276"/>
      <c r="W520" s="283"/>
      <c r="X520" s="276"/>
      <c r="Y520" s="283"/>
      <c r="Z520" s="276"/>
      <c r="AA520" s="283"/>
      <c r="AB520" s="276"/>
      <c r="AC520" s="283"/>
      <c r="AE520" s="283"/>
      <c r="AF520" s="276"/>
      <c r="AI520" s="283"/>
      <c r="AJ520" s="276"/>
      <c r="AK520" s="283"/>
      <c r="AL520" s="276"/>
      <c r="AM520" s="283"/>
      <c r="AN520" s="276"/>
      <c r="AO520" s="283"/>
      <c r="AP520" s="276"/>
      <c r="AQ520" s="283"/>
      <c r="AR520" s="276"/>
      <c r="AT520" s="283"/>
      <c r="AU520" s="276"/>
      <c r="AV520" s="283"/>
      <c r="AW520" s="276"/>
      <c r="AX520" s="283"/>
      <c r="AY520" s="276"/>
      <c r="AZ520" s="283"/>
      <c r="BA520" s="276"/>
      <c r="BB520" s="283"/>
      <c r="BC520" s="276"/>
      <c r="BD520" s="283"/>
      <c r="BE520" s="276"/>
      <c r="BG520" s="283"/>
      <c r="BH520" s="276"/>
      <c r="BI520" s="283"/>
      <c r="BJ520" s="276"/>
      <c r="BK520" s="283"/>
      <c r="BL520" s="276"/>
      <c r="BM520" s="283"/>
      <c r="BN520" s="276"/>
      <c r="BO520" s="283"/>
      <c r="BP520" s="276"/>
      <c r="BQ520" s="283"/>
      <c r="BR520" s="283"/>
      <c r="BS520" s="276"/>
    </row>
    <row r="521" spans="12:71" ht="12" customHeight="1">
      <c r="L521" s="283"/>
      <c r="M521" s="276"/>
      <c r="N521" s="283"/>
      <c r="O521" s="276"/>
      <c r="P521" s="283"/>
      <c r="Q521" s="276"/>
      <c r="S521" s="283"/>
      <c r="T521" s="276"/>
      <c r="W521" s="283"/>
      <c r="X521" s="276"/>
      <c r="Y521" s="283"/>
      <c r="Z521" s="276"/>
      <c r="AA521" s="283"/>
      <c r="AB521" s="276"/>
      <c r="AC521" s="283"/>
      <c r="AE521" s="283"/>
      <c r="AF521" s="276"/>
      <c r="AI521" s="283"/>
      <c r="AJ521" s="276"/>
      <c r="AK521" s="283"/>
      <c r="AL521" s="276"/>
      <c r="AM521" s="283"/>
      <c r="AN521" s="276"/>
      <c r="AO521" s="283"/>
      <c r="AP521" s="276"/>
      <c r="AQ521" s="283"/>
      <c r="AR521" s="276"/>
      <c r="AT521" s="283"/>
      <c r="AU521" s="276"/>
      <c r="AV521" s="283"/>
      <c r="AW521" s="276"/>
      <c r="AX521" s="283"/>
      <c r="AY521" s="276"/>
      <c r="AZ521" s="283"/>
      <c r="BA521" s="276"/>
      <c r="BB521" s="283"/>
      <c r="BC521" s="276"/>
      <c r="BD521" s="283"/>
      <c r="BE521" s="276"/>
      <c r="BG521" s="283"/>
      <c r="BH521" s="276"/>
      <c r="BI521" s="283"/>
      <c r="BJ521" s="276"/>
      <c r="BK521" s="283"/>
      <c r="BL521" s="276"/>
      <c r="BM521" s="283"/>
      <c r="BN521" s="276"/>
      <c r="BO521" s="283"/>
      <c r="BP521" s="276"/>
      <c r="BQ521" s="283"/>
      <c r="BR521" s="283"/>
      <c r="BS521" s="276"/>
    </row>
    <row r="522" spans="12:71" ht="12" customHeight="1">
      <c r="L522" s="283"/>
      <c r="M522" s="276"/>
      <c r="N522" s="283"/>
      <c r="O522" s="276"/>
      <c r="P522" s="283"/>
      <c r="Q522" s="276"/>
      <c r="S522" s="283"/>
      <c r="T522" s="276"/>
      <c r="W522" s="283"/>
      <c r="X522" s="276"/>
      <c r="Y522" s="283"/>
      <c r="Z522" s="276"/>
      <c r="AA522" s="283"/>
      <c r="AB522" s="276"/>
      <c r="AC522" s="283"/>
      <c r="AE522" s="283"/>
      <c r="AF522" s="276"/>
      <c r="AI522" s="283"/>
      <c r="AJ522" s="276"/>
      <c r="AK522" s="283"/>
      <c r="AL522" s="276"/>
      <c r="AM522" s="283"/>
      <c r="AN522" s="276"/>
      <c r="AO522" s="283"/>
      <c r="AP522" s="276"/>
      <c r="AQ522" s="283"/>
      <c r="AR522" s="276"/>
      <c r="AT522" s="283"/>
      <c r="AU522" s="276"/>
      <c r="AV522" s="283"/>
      <c r="AW522" s="276"/>
      <c r="AX522" s="283"/>
      <c r="AY522" s="276"/>
      <c r="AZ522" s="283"/>
      <c r="BA522" s="276"/>
      <c r="BB522" s="283"/>
      <c r="BC522" s="276"/>
      <c r="BD522" s="283"/>
      <c r="BE522" s="276"/>
      <c r="BG522" s="283"/>
      <c r="BH522" s="276"/>
      <c r="BI522" s="283"/>
      <c r="BJ522" s="276"/>
      <c r="BK522" s="283"/>
      <c r="BL522" s="276"/>
      <c r="BM522" s="283"/>
      <c r="BN522" s="276"/>
      <c r="BO522" s="283"/>
      <c r="BP522" s="276"/>
      <c r="BQ522" s="283"/>
      <c r="BR522" s="283"/>
      <c r="BS522" s="276"/>
    </row>
    <row r="523" spans="12:71" ht="12" customHeight="1">
      <c r="L523" s="283"/>
      <c r="M523" s="276"/>
      <c r="N523" s="283"/>
      <c r="O523" s="276"/>
      <c r="P523" s="283"/>
      <c r="Q523" s="276"/>
      <c r="S523" s="283"/>
      <c r="T523" s="276"/>
      <c r="W523" s="283"/>
      <c r="X523" s="276"/>
      <c r="Y523" s="283"/>
      <c r="Z523" s="276"/>
      <c r="AA523" s="283"/>
      <c r="AB523" s="276"/>
      <c r="AC523" s="283"/>
      <c r="AE523" s="283"/>
      <c r="AF523" s="276"/>
      <c r="AI523" s="283"/>
      <c r="AJ523" s="276"/>
      <c r="AK523" s="283"/>
      <c r="AL523" s="276"/>
      <c r="AM523" s="283"/>
      <c r="AN523" s="276"/>
      <c r="AO523" s="283"/>
      <c r="AP523" s="276"/>
      <c r="AQ523" s="283"/>
      <c r="AR523" s="276"/>
      <c r="AT523" s="283"/>
      <c r="AU523" s="276"/>
      <c r="AV523" s="283"/>
      <c r="AW523" s="276"/>
      <c r="AX523" s="283"/>
      <c r="AY523" s="276"/>
      <c r="AZ523" s="283"/>
      <c r="BA523" s="276"/>
      <c r="BB523" s="283"/>
      <c r="BC523" s="276"/>
      <c r="BD523" s="283"/>
      <c r="BE523" s="276"/>
      <c r="BG523" s="283"/>
      <c r="BH523" s="276"/>
      <c r="BI523" s="283"/>
      <c r="BJ523" s="276"/>
      <c r="BK523" s="283"/>
      <c r="BL523" s="276"/>
      <c r="BM523" s="283"/>
      <c r="BN523" s="276"/>
      <c r="BO523" s="283"/>
      <c r="BP523" s="276"/>
      <c r="BQ523" s="283"/>
      <c r="BR523" s="283"/>
      <c r="BS523" s="276"/>
    </row>
    <row r="524" spans="12:71" ht="12" customHeight="1">
      <c r="L524" s="283"/>
      <c r="M524" s="276"/>
      <c r="N524" s="283"/>
      <c r="O524" s="276"/>
      <c r="P524" s="283"/>
      <c r="Q524" s="276"/>
      <c r="S524" s="283"/>
      <c r="T524" s="276"/>
      <c r="W524" s="283"/>
      <c r="X524" s="276"/>
      <c r="Y524" s="283"/>
      <c r="Z524" s="276"/>
      <c r="AA524" s="283"/>
      <c r="AB524" s="276"/>
      <c r="AC524" s="283"/>
      <c r="AE524" s="283"/>
      <c r="AF524" s="276"/>
      <c r="AI524" s="283"/>
      <c r="AJ524" s="276"/>
      <c r="AK524" s="283"/>
      <c r="AL524" s="276"/>
      <c r="AM524" s="283"/>
      <c r="AN524" s="276"/>
      <c r="AO524" s="283"/>
      <c r="AP524" s="276"/>
      <c r="AQ524" s="283"/>
      <c r="AR524" s="276"/>
      <c r="AT524" s="283"/>
      <c r="AU524" s="276"/>
      <c r="AV524" s="283"/>
      <c r="AW524" s="276"/>
      <c r="AX524" s="283"/>
      <c r="AY524" s="276"/>
      <c r="AZ524" s="283"/>
      <c r="BA524" s="276"/>
      <c r="BB524" s="283"/>
      <c r="BC524" s="276"/>
      <c r="BD524" s="283"/>
      <c r="BE524" s="276"/>
      <c r="BG524" s="283"/>
      <c r="BH524" s="276"/>
      <c r="BI524" s="283"/>
      <c r="BJ524" s="276"/>
      <c r="BK524" s="283"/>
      <c r="BL524" s="276"/>
      <c r="BM524" s="283"/>
      <c r="BN524" s="276"/>
      <c r="BO524" s="283"/>
      <c r="BP524" s="276"/>
      <c r="BQ524" s="283"/>
      <c r="BR524" s="283"/>
      <c r="BS524" s="276"/>
    </row>
    <row r="525" spans="12:71" ht="12" customHeight="1">
      <c r="L525" s="283"/>
      <c r="M525" s="276"/>
      <c r="N525" s="283"/>
      <c r="O525" s="276"/>
      <c r="P525" s="283"/>
      <c r="Q525" s="276"/>
      <c r="S525" s="283"/>
      <c r="T525" s="276"/>
      <c r="W525" s="283"/>
      <c r="X525" s="276"/>
      <c r="Y525" s="283"/>
      <c r="Z525" s="276"/>
      <c r="AA525" s="283"/>
      <c r="AB525" s="276"/>
      <c r="AC525" s="283"/>
      <c r="AE525" s="283"/>
      <c r="AF525" s="276"/>
      <c r="AI525" s="283"/>
      <c r="AJ525" s="276"/>
      <c r="AK525" s="283"/>
      <c r="AL525" s="276"/>
      <c r="AM525" s="283"/>
      <c r="AN525" s="276"/>
      <c r="AO525" s="283"/>
      <c r="AP525" s="276"/>
      <c r="AQ525" s="283"/>
      <c r="AR525" s="276"/>
      <c r="AT525" s="283"/>
      <c r="AU525" s="276"/>
      <c r="AV525" s="283"/>
      <c r="AW525" s="276"/>
      <c r="AX525" s="283"/>
      <c r="AY525" s="276"/>
      <c r="AZ525" s="283"/>
      <c r="BA525" s="276"/>
      <c r="BB525" s="283"/>
      <c r="BC525" s="276"/>
      <c r="BD525" s="283"/>
      <c r="BE525" s="276"/>
      <c r="BG525" s="283"/>
      <c r="BH525" s="276"/>
      <c r="BI525" s="283"/>
      <c r="BJ525" s="276"/>
      <c r="BK525" s="283"/>
      <c r="BL525" s="276"/>
      <c r="BM525" s="283"/>
      <c r="BN525" s="276"/>
      <c r="BO525" s="283"/>
      <c r="BP525" s="276"/>
      <c r="BQ525" s="283"/>
      <c r="BR525" s="283"/>
      <c r="BS525" s="276"/>
    </row>
    <row r="526" spans="12:71" ht="12" customHeight="1">
      <c r="L526" s="283"/>
      <c r="M526" s="276"/>
      <c r="N526" s="283"/>
      <c r="O526" s="276"/>
      <c r="P526" s="283"/>
      <c r="Q526" s="276"/>
      <c r="S526" s="283"/>
      <c r="T526" s="276"/>
      <c r="W526" s="283"/>
      <c r="X526" s="276"/>
      <c r="Y526" s="283"/>
      <c r="Z526" s="276"/>
      <c r="AA526" s="283"/>
      <c r="AB526" s="276"/>
      <c r="AC526" s="283"/>
      <c r="AE526" s="283"/>
      <c r="AF526" s="276"/>
      <c r="AI526" s="283"/>
      <c r="AJ526" s="276"/>
      <c r="AK526" s="283"/>
      <c r="AL526" s="276"/>
      <c r="AM526" s="283"/>
      <c r="AN526" s="276"/>
      <c r="AO526" s="283"/>
      <c r="AP526" s="276"/>
      <c r="AQ526" s="283"/>
      <c r="AR526" s="276"/>
      <c r="AT526" s="283"/>
      <c r="AU526" s="276"/>
      <c r="AV526" s="283"/>
      <c r="AW526" s="276"/>
      <c r="AX526" s="283"/>
      <c r="AY526" s="276"/>
      <c r="AZ526" s="283"/>
      <c r="BA526" s="276"/>
      <c r="BB526" s="283"/>
      <c r="BC526" s="276"/>
      <c r="BD526" s="283"/>
      <c r="BE526" s="276"/>
      <c r="BG526" s="283"/>
      <c r="BH526" s="276"/>
      <c r="BI526" s="283"/>
      <c r="BJ526" s="276"/>
      <c r="BK526" s="283"/>
      <c r="BL526" s="276"/>
      <c r="BM526" s="283"/>
      <c r="BN526" s="276"/>
      <c r="BO526" s="283"/>
      <c r="BP526" s="276"/>
      <c r="BQ526" s="283"/>
      <c r="BR526" s="283"/>
      <c r="BS526" s="276"/>
    </row>
    <row r="527" spans="12:71" ht="12" customHeight="1">
      <c r="L527" s="283"/>
      <c r="M527" s="276"/>
      <c r="N527" s="283"/>
      <c r="O527" s="276"/>
      <c r="P527" s="283"/>
      <c r="Q527" s="276"/>
      <c r="S527" s="283"/>
      <c r="T527" s="276"/>
      <c r="W527" s="283"/>
      <c r="X527" s="276"/>
      <c r="Y527" s="283"/>
      <c r="Z527" s="276"/>
      <c r="AA527" s="283"/>
      <c r="AB527" s="276"/>
      <c r="AC527" s="283"/>
      <c r="AE527" s="283"/>
      <c r="AF527" s="276"/>
      <c r="AI527" s="283"/>
      <c r="AJ527" s="276"/>
      <c r="AK527" s="283"/>
      <c r="AL527" s="276"/>
      <c r="AM527" s="283"/>
      <c r="AN527" s="276"/>
      <c r="AO527" s="283"/>
      <c r="AP527" s="276"/>
      <c r="AQ527" s="283"/>
      <c r="AR527" s="276"/>
      <c r="AT527" s="283"/>
      <c r="AU527" s="276"/>
      <c r="AV527" s="283"/>
      <c r="AW527" s="276"/>
      <c r="AX527" s="283"/>
      <c r="AY527" s="276"/>
      <c r="AZ527" s="283"/>
      <c r="BA527" s="276"/>
      <c r="BB527" s="283"/>
      <c r="BC527" s="276"/>
      <c r="BD527" s="283"/>
      <c r="BE527" s="276"/>
      <c r="BG527" s="283"/>
      <c r="BH527" s="276"/>
      <c r="BI527" s="283"/>
      <c r="BJ527" s="276"/>
      <c r="BK527" s="283"/>
      <c r="BL527" s="276"/>
      <c r="BM527" s="283"/>
      <c r="BN527" s="276"/>
      <c r="BO527" s="283"/>
      <c r="BP527" s="276"/>
      <c r="BQ527" s="283"/>
      <c r="BR527" s="283"/>
      <c r="BS527" s="276"/>
    </row>
    <row r="528" spans="12:71" ht="12" customHeight="1">
      <c r="L528" s="283"/>
      <c r="M528" s="276"/>
      <c r="N528" s="283"/>
      <c r="O528" s="276"/>
      <c r="P528" s="283"/>
      <c r="Q528" s="276"/>
      <c r="S528" s="283"/>
      <c r="T528" s="276"/>
      <c r="W528" s="283"/>
      <c r="X528" s="276"/>
      <c r="Y528" s="283"/>
      <c r="Z528" s="276"/>
      <c r="AA528" s="283"/>
      <c r="AB528" s="276"/>
      <c r="AC528" s="283"/>
      <c r="AE528" s="283"/>
      <c r="AF528" s="276"/>
      <c r="AI528" s="283"/>
      <c r="AJ528" s="276"/>
      <c r="AK528" s="283"/>
      <c r="AL528" s="276"/>
      <c r="AM528" s="283"/>
      <c r="AN528" s="276"/>
      <c r="AO528" s="283"/>
      <c r="AP528" s="276"/>
      <c r="AQ528" s="283"/>
      <c r="AR528" s="276"/>
      <c r="AT528" s="283"/>
      <c r="AU528" s="276"/>
      <c r="AV528" s="283"/>
      <c r="AW528" s="276"/>
      <c r="AX528" s="283"/>
      <c r="AY528" s="276"/>
      <c r="AZ528" s="283"/>
      <c r="BA528" s="276"/>
      <c r="BB528" s="283"/>
      <c r="BC528" s="276"/>
      <c r="BD528" s="283"/>
      <c r="BE528" s="276"/>
      <c r="BG528" s="283"/>
      <c r="BH528" s="276"/>
      <c r="BI528" s="283"/>
      <c r="BJ528" s="276"/>
      <c r="BK528" s="283"/>
      <c r="BL528" s="276"/>
      <c r="BM528" s="283"/>
      <c r="BN528" s="276"/>
      <c r="BO528" s="283"/>
      <c r="BP528" s="276"/>
      <c r="BQ528" s="283"/>
      <c r="BR528" s="283"/>
      <c r="BS528" s="276"/>
    </row>
    <row r="529" spans="12:71" ht="12" customHeight="1">
      <c r="L529" s="283"/>
      <c r="M529" s="276"/>
      <c r="N529" s="283"/>
      <c r="O529" s="276"/>
      <c r="P529" s="283"/>
      <c r="Q529" s="276"/>
      <c r="S529" s="283"/>
      <c r="T529" s="276"/>
      <c r="W529" s="283"/>
      <c r="X529" s="276"/>
      <c r="Y529" s="283"/>
      <c r="Z529" s="276"/>
      <c r="AA529" s="283"/>
      <c r="AB529" s="276"/>
      <c r="AC529" s="283"/>
      <c r="AE529" s="283"/>
      <c r="AF529" s="276"/>
      <c r="AI529" s="283"/>
      <c r="AJ529" s="276"/>
      <c r="AK529" s="283"/>
      <c r="AL529" s="276"/>
      <c r="AM529" s="283"/>
      <c r="AN529" s="276"/>
      <c r="AO529" s="283"/>
      <c r="AP529" s="276"/>
      <c r="AQ529" s="283"/>
      <c r="AR529" s="276"/>
      <c r="AT529" s="283"/>
      <c r="AU529" s="276"/>
      <c r="AV529" s="283"/>
      <c r="AW529" s="276"/>
      <c r="AX529" s="283"/>
      <c r="AY529" s="276"/>
      <c r="AZ529" s="283"/>
      <c r="BA529" s="276"/>
      <c r="BB529" s="283"/>
      <c r="BC529" s="276"/>
      <c r="BD529" s="283"/>
      <c r="BE529" s="276"/>
      <c r="BG529" s="283"/>
      <c r="BH529" s="276"/>
      <c r="BI529" s="283"/>
      <c r="BJ529" s="276"/>
      <c r="BK529" s="283"/>
      <c r="BL529" s="276"/>
      <c r="BM529" s="283"/>
      <c r="BN529" s="276"/>
      <c r="BO529" s="283"/>
      <c r="BP529" s="276"/>
      <c r="BQ529" s="283"/>
      <c r="BR529" s="283"/>
      <c r="BS529" s="276"/>
    </row>
    <row r="530" spans="12:71" ht="12" customHeight="1">
      <c r="L530" s="283"/>
      <c r="M530" s="276"/>
      <c r="N530" s="283"/>
      <c r="O530" s="276"/>
      <c r="P530" s="283"/>
      <c r="Q530" s="276"/>
      <c r="S530" s="283"/>
      <c r="T530" s="276"/>
      <c r="W530" s="283"/>
      <c r="X530" s="276"/>
      <c r="Y530" s="283"/>
      <c r="Z530" s="276"/>
      <c r="AA530" s="283"/>
      <c r="AB530" s="276"/>
      <c r="AC530" s="283"/>
      <c r="AE530" s="283"/>
      <c r="AF530" s="276"/>
      <c r="AI530" s="283"/>
      <c r="AJ530" s="276"/>
      <c r="AK530" s="283"/>
      <c r="AL530" s="276"/>
      <c r="AM530" s="283"/>
      <c r="AN530" s="276"/>
      <c r="AO530" s="283"/>
      <c r="AP530" s="276"/>
      <c r="AQ530" s="283"/>
      <c r="AR530" s="276"/>
      <c r="AT530" s="283"/>
      <c r="AU530" s="276"/>
      <c r="AV530" s="283"/>
      <c r="AW530" s="276"/>
      <c r="AX530" s="283"/>
      <c r="AY530" s="276"/>
      <c r="AZ530" s="283"/>
      <c r="BA530" s="276"/>
      <c r="BB530" s="283"/>
      <c r="BC530" s="276"/>
      <c r="BD530" s="283"/>
      <c r="BE530" s="276"/>
      <c r="BG530" s="283"/>
      <c r="BH530" s="276"/>
      <c r="BI530" s="283"/>
      <c r="BJ530" s="276"/>
      <c r="BK530" s="283"/>
      <c r="BL530" s="276"/>
      <c r="BM530" s="283"/>
      <c r="BN530" s="276"/>
      <c r="BO530" s="283"/>
      <c r="BP530" s="276"/>
      <c r="BQ530" s="283"/>
      <c r="BR530" s="283"/>
      <c r="BS530" s="276"/>
    </row>
    <row r="531" spans="12:71" ht="12" customHeight="1">
      <c r="L531" s="283"/>
      <c r="M531" s="276"/>
      <c r="N531" s="283"/>
      <c r="O531" s="276"/>
      <c r="P531" s="283"/>
      <c r="Q531" s="276"/>
      <c r="S531" s="283"/>
      <c r="T531" s="276"/>
      <c r="W531" s="283"/>
      <c r="X531" s="276"/>
      <c r="Y531" s="283"/>
      <c r="Z531" s="276"/>
      <c r="AA531" s="283"/>
      <c r="AB531" s="276"/>
      <c r="AC531" s="283"/>
      <c r="AE531" s="283"/>
      <c r="AF531" s="276"/>
      <c r="AI531" s="283"/>
      <c r="AJ531" s="276"/>
      <c r="AK531" s="283"/>
      <c r="AL531" s="276"/>
      <c r="AM531" s="283"/>
      <c r="AN531" s="276"/>
      <c r="AO531" s="283"/>
      <c r="AP531" s="276"/>
      <c r="AQ531" s="283"/>
      <c r="AR531" s="276"/>
      <c r="AT531" s="283"/>
      <c r="AU531" s="276"/>
      <c r="AV531" s="283"/>
      <c r="AW531" s="276"/>
      <c r="AX531" s="283"/>
      <c r="AY531" s="276"/>
      <c r="AZ531" s="283"/>
      <c r="BA531" s="276"/>
      <c r="BB531" s="283"/>
      <c r="BC531" s="276"/>
      <c r="BD531" s="283"/>
      <c r="BE531" s="276"/>
      <c r="BG531" s="283"/>
      <c r="BH531" s="276"/>
      <c r="BI531" s="283"/>
      <c r="BJ531" s="276"/>
      <c r="BK531" s="283"/>
      <c r="BL531" s="276"/>
      <c r="BM531" s="283"/>
      <c r="BN531" s="276"/>
      <c r="BO531" s="283"/>
      <c r="BP531" s="276"/>
      <c r="BQ531" s="283"/>
      <c r="BR531" s="283"/>
      <c r="BS531" s="276"/>
    </row>
    <row r="532" spans="12:71" ht="12" customHeight="1">
      <c r="L532" s="283"/>
      <c r="M532" s="276"/>
      <c r="N532" s="283"/>
      <c r="O532" s="276"/>
      <c r="P532" s="283"/>
      <c r="Q532" s="276"/>
      <c r="S532" s="283"/>
      <c r="T532" s="276"/>
      <c r="W532" s="283"/>
      <c r="X532" s="276"/>
      <c r="Y532" s="283"/>
      <c r="Z532" s="276"/>
      <c r="AA532" s="283"/>
      <c r="AB532" s="276"/>
      <c r="AC532" s="283"/>
      <c r="AE532" s="283"/>
      <c r="AF532" s="276"/>
      <c r="AI532" s="283"/>
      <c r="AJ532" s="276"/>
      <c r="AK532" s="283"/>
      <c r="AL532" s="276"/>
      <c r="AM532" s="283"/>
      <c r="AN532" s="276"/>
      <c r="AO532" s="283"/>
      <c r="AP532" s="276"/>
      <c r="AQ532" s="283"/>
      <c r="AR532" s="276"/>
      <c r="AT532" s="283"/>
      <c r="AU532" s="276"/>
      <c r="AV532" s="283"/>
      <c r="AW532" s="276"/>
      <c r="AX532" s="283"/>
      <c r="AY532" s="276"/>
      <c r="AZ532" s="283"/>
      <c r="BA532" s="276"/>
      <c r="BB532" s="283"/>
      <c r="BC532" s="276"/>
      <c r="BD532" s="283"/>
      <c r="BE532" s="276"/>
      <c r="BG532" s="283"/>
      <c r="BH532" s="276"/>
      <c r="BI532" s="283"/>
      <c r="BJ532" s="276"/>
      <c r="BK532" s="283"/>
      <c r="BL532" s="276"/>
      <c r="BM532" s="283"/>
      <c r="BN532" s="276"/>
      <c r="BO532" s="283"/>
      <c r="BP532" s="276"/>
      <c r="BQ532" s="283"/>
      <c r="BR532" s="283"/>
      <c r="BS532" s="276"/>
    </row>
    <row r="533" spans="12:71" ht="12" customHeight="1">
      <c r="L533" s="283"/>
      <c r="M533" s="276"/>
      <c r="N533" s="283"/>
      <c r="O533" s="276"/>
      <c r="P533" s="283"/>
      <c r="Q533" s="276"/>
      <c r="S533" s="283"/>
      <c r="T533" s="276"/>
      <c r="W533" s="283"/>
      <c r="X533" s="276"/>
      <c r="Y533" s="283"/>
      <c r="Z533" s="276"/>
      <c r="AA533" s="283"/>
      <c r="AB533" s="276"/>
      <c r="AC533" s="283"/>
      <c r="AE533" s="283"/>
      <c r="AF533" s="276"/>
      <c r="AI533" s="283"/>
      <c r="AJ533" s="276"/>
      <c r="AK533" s="283"/>
      <c r="AL533" s="276"/>
      <c r="AM533" s="283"/>
      <c r="AN533" s="276"/>
      <c r="AO533" s="283"/>
      <c r="AP533" s="276"/>
      <c r="AQ533" s="283"/>
      <c r="AR533" s="276"/>
      <c r="AT533" s="283"/>
      <c r="AU533" s="276"/>
      <c r="AV533" s="283"/>
      <c r="AW533" s="276"/>
      <c r="AX533" s="283"/>
      <c r="AY533" s="276"/>
      <c r="AZ533" s="283"/>
      <c r="BA533" s="276"/>
      <c r="BB533" s="283"/>
      <c r="BC533" s="276"/>
      <c r="BD533" s="283"/>
      <c r="BE533" s="276"/>
      <c r="BG533" s="283"/>
      <c r="BH533" s="276"/>
      <c r="BI533" s="283"/>
      <c r="BJ533" s="276"/>
      <c r="BK533" s="283"/>
      <c r="BL533" s="276"/>
      <c r="BM533" s="283"/>
      <c r="BN533" s="276"/>
      <c r="BO533" s="283"/>
      <c r="BP533" s="276"/>
      <c r="BQ533" s="283"/>
      <c r="BR533" s="283"/>
      <c r="BS533" s="276"/>
    </row>
    <row r="534" spans="12:71" ht="12" customHeight="1">
      <c r="L534" s="283"/>
      <c r="M534" s="276"/>
      <c r="N534" s="283"/>
      <c r="O534" s="276"/>
      <c r="P534" s="283"/>
      <c r="Q534" s="276"/>
      <c r="S534" s="283"/>
      <c r="T534" s="276"/>
      <c r="W534" s="283"/>
      <c r="X534" s="276"/>
      <c r="Y534" s="283"/>
      <c r="Z534" s="276"/>
      <c r="AA534" s="283"/>
      <c r="AB534" s="276"/>
      <c r="AC534" s="283"/>
      <c r="AE534" s="283"/>
      <c r="AF534" s="276"/>
      <c r="AI534" s="283"/>
      <c r="AJ534" s="276"/>
      <c r="AK534" s="283"/>
      <c r="AL534" s="276"/>
      <c r="AM534" s="283"/>
      <c r="AN534" s="276"/>
      <c r="AO534" s="283"/>
      <c r="AP534" s="276"/>
      <c r="AQ534" s="283"/>
      <c r="AR534" s="276"/>
      <c r="AT534" s="283"/>
      <c r="AU534" s="276"/>
      <c r="AV534" s="283"/>
      <c r="AW534" s="276"/>
      <c r="AX534" s="283"/>
      <c r="AY534" s="276"/>
      <c r="AZ534" s="283"/>
      <c r="BA534" s="276"/>
      <c r="BB534" s="283"/>
      <c r="BC534" s="276"/>
      <c r="BD534" s="283"/>
      <c r="BE534" s="276"/>
      <c r="BG534" s="283"/>
      <c r="BH534" s="276"/>
      <c r="BI534" s="283"/>
      <c r="BJ534" s="276"/>
      <c r="BK534" s="283"/>
      <c r="BL534" s="276"/>
      <c r="BM534" s="283"/>
      <c r="BN534" s="276"/>
      <c r="BO534" s="283"/>
      <c r="BP534" s="276"/>
      <c r="BQ534" s="283"/>
      <c r="BR534" s="283"/>
      <c r="BS534" s="276"/>
    </row>
    <row r="535" spans="12:71" ht="12" customHeight="1">
      <c r="L535" s="283"/>
      <c r="M535" s="276"/>
      <c r="N535" s="283"/>
      <c r="O535" s="276"/>
      <c r="P535" s="283"/>
      <c r="Q535" s="276"/>
      <c r="S535" s="283"/>
      <c r="T535" s="276"/>
      <c r="W535" s="283"/>
      <c r="X535" s="276"/>
      <c r="Y535" s="283"/>
      <c r="Z535" s="276"/>
      <c r="AA535" s="283"/>
      <c r="AB535" s="276"/>
      <c r="AC535" s="283"/>
      <c r="AE535" s="283"/>
      <c r="AF535" s="276"/>
      <c r="AI535" s="283"/>
      <c r="AJ535" s="276"/>
      <c r="AK535" s="283"/>
      <c r="AL535" s="276"/>
      <c r="AM535" s="283"/>
      <c r="AN535" s="276"/>
      <c r="AO535" s="283"/>
      <c r="AP535" s="276"/>
      <c r="AQ535" s="283"/>
      <c r="AR535" s="276"/>
      <c r="AT535" s="283"/>
      <c r="AU535" s="276"/>
      <c r="AV535" s="283"/>
      <c r="AW535" s="276"/>
      <c r="AX535" s="283"/>
      <c r="AY535" s="276"/>
      <c r="AZ535" s="283"/>
      <c r="BA535" s="276"/>
      <c r="BB535" s="283"/>
      <c r="BC535" s="276"/>
      <c r="BD535" s="283"/>
      <c r="BE535" s="276"/>
      <c r="BG535" s="283"/>
      <c r="BH535" s="276"/>
      <c r="BI535" s="283"/>
      <c r="BJ535" s="276"/>
      <c r="BK535" s="283"/>
      <c r="BL535" s="276"/>
      <c r="BM535" s="283"/>
      <c r="BN535" s="276"/>
      <c r="BO535" s="283"/>
      <c r="BP535" s="276"/>
      <c r="BQ535" s="283"/>
      <c r="BR535" s="283"/>
      <c r="BS535" s="276"/>
    </row>
    <row r="536" spans="12:71" ht="12" customHeight="1">
      <c r="L536" s="283"/>
      <c r="M536" s="276"/>
      <c r="N536" s="283"/>
      <c r="O536" s="276"/>
      <c r="P536" s="283"/>
      <c r="Q536" s="276"/>
      <c r="S536" s="283"/>
      <c r="T536" s="276"/>
      <c r="W536" s="283"/>
      <c r="X536" s="276"/>
      <c r="Y536" s="283"/>
      <c r="Z536" s="276"/>
      <c r="AA536" s="283"/>
      <c r="AB536" s="276"/>
      <c r="AC536" s="283"/>
      <c r="AE536" s="283"/>
      <c r="AF536" s="276"/>
      <c r="AI536" s="283"/>
      <c r="AJ536" s="276"/>
      <c r="AK536" s="283"/>
      <c r="AL536" s="276"/>
      <c r="AM536" s="283"/>
      <c r="AN536" s="276"/>
      <c r="AO536" s="283"/>
      <c r="AP536" s="276"/>
      <c r="AQ536" s="283"/>
      <c r="AR536" s="276"/>
      <c r="AT536" s="283"/>
      <c r="AU536" s="276"/>
      <c r="AV536" s="283"/>
      <c r="AW536" s="276"/>
      <c r="AX536" s="283"/>
      <c r="AY536" s="276"/>
      <c r="AZ536" s="283"/>
      <c r="BA536" s="276"/>
      <c r="BB536" s="283"/>
      <c r="BC536" s="276"/>
      <c r="BD536" s="283"/>
      <c r="BE536" s="276"/>
      <c r="BG536" s="283"/>
      <c r="BH536" s="276"/>
      <c r="BI536" s="283"/>
      <c r="BJ536" s="276"/>
      <c r="BK536" s="283"/>
      <c r="BL536" s="276"/>
      <c r="BM536" s="283"/>
      <c r="BN536" s="276"/>
      <c r="BO536" s="283"/>
      <c r="BP536" s="276"/>
      <c r="BQ536" s="283"/>
      <c r="BR536" s="283"/>
      <c r="BS536" s="276"/>
    </row>
    <row r="537" spans="12:71" ht="12" customHeight="1">
      <c r="L537" s="283"/>
      <c r="M537" s="276"/>
      <c r="N537" s="283"/>
      <c r="O537" s="276"/>
      <c r="P537" s="283"/>
      <c r="Q537" s="276"/>
      <c r="S537" s="283"/>
      <c r="T537" s="276"/>
      <c r="W537" s="283"/>
      <c r="X537" s="276"/>
      <c r="Y537" s="283"/>
      <c r="Z537" s="276"/>
      <c r="AA537" s="283"/>
      <c r="AB537" s="276"/>
      <c r="AC537" s="283"/>
      <c r="AE537" s="283"/>
      <c r="AF537" s="276"/>
      <c r="AI537" s="283"/>
      <c r="AJ537" s="276"/>
      <c r="AK537" s="283"/>
      <c r="AL537" s="276"/>
      <c r="AM537" s="283"/>
      <c r="AN537" s="276"/>
      <c r="AO537" s="283"/>
      <c r="AP537" s="276"/>
      <c r="AQ537" s="283"/>
      <c r="AR537" s="276"/>
      <c r="AT537" s="283"/>
      <c r="AU537" s="276"/>
      <c r="AV537" s="283"/>
      <c r="AW537" s="276"/>
      <c r="AX537" s="283"/>
      <c r="AY537" s="276"/>
      <c r="AZ537" s="283"/>
      <c r="BA537" s="276"/>
      <c r="BB537" s="283"/>
      <c r="BC537" s="276"/>
      <c r="BD537" s="283"/>
      <c r="BE537" s="276"/>
      <c r="BG537" s="283"/>
      <c r="BH537" s="276"/>
      <c r="BI537" s="283"/>
      <c r="BJ537" s="276"/>
      <c r="BK537" s="283"/>
      <c r="BL537" s="276"/>
      <c r="BM537" s="283"/>
      <c r="BN537" s="276"/>
      <c r="BO537" s="283"/>
      <c r="BP537" s="276"/>
      <c r="BQ537" s="283"/>
      <c r="BR537" s="283"/>
      <c r="BS537" s="276"/>
    </row>
    <row r="538" spans="12:71" ht="12" customHeight="1">
      <c r="L538" s="283"/>
      <c r="M538" s="276"/>
      <c r="N538" s="283"/>
      <c r="O538" s="276"/>
      <c r="P538" s="283"/>
      <c r="Q538" s="276"/>
      <c r="S538" s="283"/>
      <c r="T538" s="276"/>
      <c r="W538" s="283"/>
      <c r="X538" s="276"/>
      <c r="Y538" s="283"/>
      <c r="Z538" s="276"/>
      <c r="AA538" s="283"/>
      <c r="AB538" s="276"/>
      <c r="AC538" s="283"/>
      <c r="AE538" s="283"/>
      <c r="AF538" s="276"/>
      <c r="AI538" s="283"/>
      <c r="AJ538" s="276"/>
      <c r="AK538" s="283"/>
      <c r="AL538" s="276"/>
      <c r="AM538" s="283"/>
      <c r="AN538" s="276"/>
      <c r="AO538" s="283"/>
      <c r="AP538" s="276"/>
      <c r="AQ538" s="283"/>
      <c r="AR538" s="276"/>
      <c r="AT538" s="283"/>
      <c r="AU538" s="276"/>
      <c r="AV538" s="283"/>
      <c r="AW538" s="276"/>
      <c r="AX538" s="283"/>
      <c r="AY538" s="276"/>
      <c r="AZ538" s="283"/>
      <c r="BA538" s="276"/>
      <c r="BB538" s="283"/>
      <c r="BC538" s="276"/>
      <c r="BD538" s="283"/>
      <c r="BE538" s="276"/>
      <c r="BG538" s="283"/>
      <c r="BH538" s="276"/>
      <c r="BI538" s="283"/>
      <c r="BJ538" s="276"/>
      <c r="BK538" s="283"/>
      <c r="BL538" s="276"/>
      <c r="BM538" s="283"/>
      <c r="BN538" s="276"/>
      <c r="BO538" s="283"/>
      <c r="BP538" s="276"/>
      <c r="BQ538" s="283"/>
      <c r="BR538" s="283"/>
      <c r="BS538" s="276"/>
    </row>
    <row r="539" spans="12:71" ht="12" customHeight="1">
      <c r="L539" s="283"/>
      <c r="M539" s="276"/>
      <c r="N539" s="283"/>
      <c r="O539" s="276"/>
      <c r="P539" s="283"/>
      <c r="Q539" s="276"/>
      <c r="S539" s="283"/>
      <c r="T539" s="276"/>
      <c r="W539" s="283"/>
      <c r="X539" s="276"/>
      <c r="Y539" s="283"/>
      <c r="Z539" s="276"/>
      <c r="AA539" s="283"/>
      <c r="AB539" s="276"/>
      <c r="AC539" s="283"/>
      <c r="AE539" s="283"/>
      <c r="AF539" s="276"/>
      <c r="AI539" s="283"/>
      <c r="AJ539" s="276"/>
      <c r="AK539" s="283"/>
      <c r="AL539" s="276"/>
      <c r="AM539" s="283"/>
      <c r="AN539" s="276"/>
      <c r="AO539" s="283"/>
      <c r="AP539" s="276"/>
      <c r="AQ539" s="283"/>
      <c r="AR539" s="276"/>
      <c r="AT539" s="283"/>
      <c r="AU539" s="276"/>
      <c r="AV539" s="283"/>
      <c r="AW539" s="276"/>
      <c r="AX539" s="283"/>
      <c r="AY539" s="276"/>
      <c r="AZ539" s="283"/>
      <c r="BA539" s="276"/>
      <c r="BB539" s="283"/>
      <c r="BC539" s="276"/>
      <c r="BD539" s="283"/>
      <c r="BE539" s="276"/>
      <c r="BG539" s="283"/>
      <c r="BH539" s="276"/>
      <c r="BI539" s="283"/>
      <c r="BJ539" s="276"/>
      <c r="BK539" s="283"/>
      <c r="BL539" s="276"/>
      <c r="BM539" s="283"/>
      <c r="BN539" s="276"/>
      <c r="BO539" s="283"/>
      <c r="BP539" s="276"/>
      <c r="BQ539" s="283"/>
      <c r="BR539" s="283"/>
      <c r="BS539" s="276"/>
    </row>
    <row r="540" spans="12:71" ht="12" customHeight="1">
      <c r="L540" s="283"/>
      <c r="M540" s="276"/>
      <c r="N540" s="283"/>
      <c r="O540" s="276"/>
      <c r="P540" s="283"/>
      <c r="Q540" s="276"/>
      <c r="S540" s="283"/>
      <c r="T540" s="276"/>
      <c r="W540" s="283"/>
      <c r="X540" s="276"/>
      <c r="Y540" s="283"/>
      <c r="Z540" s="276"/>
      <c r="AA540" s="283"/>
      <c r="AB540" s="276"/>
      <c r="AC540" s="283"/>
      <c r="AE540" s="283"/>
      <c r="AF540" s="276"/>
      <c r="AI540" s="283"/>
      <c r="AJ540" s="276"/>
      <c r="AK540" s="283"/>
      <c r="AL540" s="276"/>
      <c r="AM540" s="283"/>
      <c r="AN540" s="276"/>
      <c r="AO540" s="283"/>
      <c r="AP540" s="276"/>
      <c r="AQ540" s="283"/>
      <c r="AR540" s="276"/>
      <c r="AT540" s="283"/>
      <c r="AU540" s="276"/>
      <c r="AV540" s="283"/>
      <c r="AW540" s="276"/>
      <c r="AX540" s="283"/>
      <c r="AY540" s="276"/>
      <c r="AZ540" s="283"/>
      <c r="BA540" s="276"/>
      <c r="BB540" s="283"/>
      <c r="BC540" s="276"/>
      <c r="BD540" s="283"/>
      <c r="BE540" s="276"/>
      <c r="BG540" s="283"/>
      <c r="BH540" s="276"/>
      <c r="BI540" s="283"/>
      <c r="BJ540" s="276"/>
      <c r="BK540" s="283"/>
      <c r="BL540" s="276"/>
      <c r="BM540" s="283"/>
      <c r="BN540" s="276"/>
      <c r="BO540" s="283"/>
      <c r="BP540" s="276"/>
      <c r="BQ540" s="283"/>
      <c r="BR540" s="283"/>
      <c r="BS540" s="276"/>
    </row>
    <row r="541" spans="12:71" ht="12" customHeight="1">
      <c r="L541" s="283"/>
      <c r="M541" s="276"/>
      <c r="N541" s="283"/>
      <c r="O541" s="276"/>
      <c r="P541" s="283"/>
      <c r="Q541" s="276"/>
      <c r="S541" s="283"/>
      <c r="T541" s="276"/>
      <c r="W541" s="283"/>
      <c r="X541" s="276"/>
      <c r="Y541" s="283"/>
      <c r="Z541" s="276"/>
      <c r="AA541" s="283"/>
      <c r="AB541" s="276"/>
      <c r="AC541" s="283"/>
      <c r="AE541" s="283"/>
      <c r="AF541" s="276"/>
      <c r="AI541" s="283"/>
      <c r="AJ541" s="276"/>
      <c r="AK541" s="283"/>
      <c r="AL541" s="276"/>
      <c r="AM541" s="283"/>
      <c r="AN541" s="276"/>
      <c r="AO541" s="283"/>
      <c r="AP541" s="276"/>
      <c r="AQ541" s="283"/>
      <c r="AR541" s="276"/>
      <c r="AT541" s="283"/>
      <c r="AU541" s="276"/>
      <c r="AV541" s="283"/>
      <c r="AW541" s="276"/>
      <c r="AX541" s="283"/>
      <c r="AY541" s="276"/>
      <c r="AZ541" s="283"/>
      <c r="BA541" s="276"/>
      <c r="BB541" s="283"/>
      <c r="BC541" s="276"/>
      <c r="BD541" s="283"/>
      <c r="BE541" s="276"/>
      <c r="BG541" s="283"/>
      <c r="BH541" s="276"/>
      <c r="BI541" s="283"/>
      <c r="BJ541" s="276"/>
      <c r="BK541" s="283"/>
      <c r="BL541" s="276"/>
      <c r="BM541" s="283"/>
      <c r="BN541" s="276"/>
      <c r="BO541" s="283"/>
      <c r="BP541" s="276"/>
      <c r="BQ541" s="283"/>
      <c r="BR541" s="283"/>
      <c r="BS541" s="276"/>
    </row>
    <row r="542" spans="12:71" ht="12" customHeight="1">
      <c r="L542" s="283"/>
      <c r="M542" s="276"/>
      <c r="N542" s="283"/>
      <c r="O542" s="276"/>
      <c r="P542" s="283"/>
      <c r="Q542" s="276"/>
      <c r="S542" s="283"/>
      <c r="T542" s="276"/>
      <c r="W542" s="283"/>
      <c r="X542" s="276"/>
      <c r="Y542" s="283"/>
      <c r="Z542" s="276"/>
      <c r="AA542" s="283"/>
      <c r="AB542" s="276"/>
      <c r="AC542" s="283"/>
      <c r="AE542" s="283"/>
      <c r="AF542" s="276"/>
      <c r="AI542" s="283"/>
      <c r="AJ542" s="276"/>
      <c r="AK542" s="283"/>
      <c r="AL542" s="276"/>
      <c r="AM542" s="283"/>
      <c r="AN542" s="276"/>
      <c r="AO542" s="283"/>
      <c r="AP542" s="276"/>
      <c r="AQ542" s="283"/>
      <c r="AR542" s="276"/>
      <c r="AT542" s="283"/>
      <c r="AU542" s="276"/>
      <c r="AV542" s="283"/>
      <c r="AW542" s="276"/>
      <c r="AX542" s="283"/>
      <c r="AY542" s="276"/>
      <c r="AZ542" s="283"/>
      <c r="BA542" s="276"/>
      <c r="BB542" s="283"/>
      <c r="BC542" s="276"/>
      <c r="BD542" s="283"/>
      <c r="BE542" s="276"/>
      <c r="BG542" s="283"/>
      <c r="BH542" s="276"/>
      <c r="BI542" s="283"/>
      <c r="BJ542" s="276"/>
      <c r="BK542" s="283"/>
      <c r="BL542" s="276"/>
      <c r="BM542" s="283"/>
      <c r="BN542" s="276"/>
      <c r="BO542" s="283"/>
      <c r="BP542" s="276"/>
      <c r="BQ542" s="283"/>
      <c r="BR542" s="283"/>
      <c r="BS542" s="276"/>
    </row>
    <row r="543" spans="12:71" ht="12" customHeight="1">
      <c r="L543" s="283"/>
      <c r="M543" s="276"/>
      <c r="N543" s="283"/>
      <c r="O543" s="276"/>
      <c r="P543" s="283"/>
      <c r="Q543" s="276"/>
      <c r="S543" s="283"/>
      <c r="T543" s="276"/>
      <c r="W543" s="283"/>
      <c r="X543" s="276"/>
      <c r="Y543" s="283"/>
      <c r="Z543" s="276"/>
      <c r="AA543" s="283"/>
      <c r="AB543" s="276"/>
      <c r="AC543" s="283"/>
      <c r="AE543" s="283"/>
      <c r="AF543" s="276"/>
      <c r="AI543" s="283"/>
      <c r="AJ543" s="276"/>
      <c r="AK543" s="283"/>
      <c r="AL543" s="276"/>
      <c r="AM543" s="283"/>
      <c r="AN543" s="276"/>
      <c r="AO543" s="283"/>
      <c r="AP543" s="276"/>
      <c r="AQ543" s="283"/>
      <c r="AR543" s="276"/>
      <c r="AT543" s="283"/>
      <c r="AU543" s="276"/>
      <c r="AV543" s="283"/>
      <c r="AW543" s="276"/>
      <c r="AX543" s="283"/>
      <c r="AY543" s="276"/>
      <c r="AZ543" s="283"/>
      <c r="BA543" s="276"/>
      <c r="BB543" s="283"/>
      <c r="BC543" s="276"/>
      <c r="BD543" s="283"/>
      <c r="BE543" s="276"/>
      <c r="BG543" s="283"/>
      <c r="BH543" s="276"/>
      <c r="BI543" s="283"/>
      <c r="BJ543" s="276"/>
      <c r="BK543" s="283"/>
      <c r="BL543" s="276"/>
      <c r="BM543" s="283"/>
      <c r="BN543" s="276"/>
      <c r="BO543" s="283"/>
      <c r="BP543" s="276"/>
      <c r="BQ543" s="283"/>
      <c r="BR543" s="283"/>
      <c r="BS543" s="276"/>
    </row>
    <row r="544" spans="12:71" ht="12" customHeight="1">
      <c r="L544" s="283"/>
      <c r="M544" s="276"/>
      <c r="N544" s="283"/>
      <c r="O544" s="276"/>
      <c r="P544" s="283"/>
      <c r="Q544" s="276"/>
      <c r="S544" s="283"/>
      <c r="T544" s="276"/>
      <c r="W544" s="283"/>
      <c r="X544" s="276"/>
      <c r="Y544" s="283"/>
      <c r="Z544" s="276"/>
      <c r="AA544" s="283"/>
      <c r="AB544" s="276"/>
      <c r="AC544" s="283"/>
      <c r="AE544" s="283"/>
      <c r="AF544" s="276"/>
      <c r="AI544" s="283"/>
      <c r="AJ544" s="276"/>
      <c r="AK544" s="283"/>
      <c r="AL544" s="276"/>
      <c r="AM544" s="283"/>
      <c r="AN544" s="276"/>
      <c r="AO544" s="283"/>
      <c r="AP544" s="276"/>
      <c r="AQ544" s="283"/>
      <c r="AR544" s="276"/>
      <c r="AT544" s="283"/>
      <c r="AU544" s="276"/>
      <c r="AV544" s="283"/>
      <c r="AW544" s="276"/>
      <c r="AX544" s="283"/>
      <c r="AY544" s="276"/>
      <c r="AZ544" s="283"/>
      <c r="BA544" s="276"/>
      <c r="BB544" s="283"/>
      <c r="BC544" s="276"/>
      <c r="BD544" s="283"/>
      <c r="BE544" s="276"/>
      <c r="BG544" s="283"/>
      <c r="BH544" s="276"/>
      <c r="BI544" s="283"/>
      <c r="BJ544" s="276"/>
      <c r="BK544" s="283"/>
      <c r="BL544" s="276"/>
      <c r="BM544" s="283"/>
      <c r="BN544" s="276"/>
      <c r="BO544" s="283"/>
      <c r="BP544" s="276"/>
      <c r="BQ544" s="283"/>
      <c r="BR544" s="283"/>
      <c r="BS544" s="276"/>
    </row>
    <row r="545" spans="12:71" ht="12" customHeight="1">
      <c r="L545" s="283"/>
      <c r="M545" s="276"/>
      <c r="N545" s="283"/>
      <c r="O545" s="276"/>
      <c r="P545" s="283"/>
      <c r="Q545" s="276"/>
      <c r="S545" s="283"/>
      <c r="T545" s="276"/>
      <c r="W545" s="283"/>
      <c r="X545" s="276"/>
      <c r="Y545" s="283"/>
      <c r="Z545" s="276"/>
      <c r="AA545" s="283"/>
      <c r="AB545" s="276"/>
      <c r="AC545" s="283"/>
      <c r="AE545" s="283"/>
      <c r="AF545" s="276"/>
      <c r="AI545" s="283"/>
      <c r="AJ545" s="276"/>
      <c r="AK545" s="283"/>
      <c r="AL545" s="276"/>
      <c r="AM545" s="283"/>
      <c r="AN545" s="276"/>
      <c r="AO545" s="283"/>
      <c r="AP545" s="276"/>
      <c r="AQ545" s="283"/>
      <c r="AR545" s="276"/>
      <c r="AT545" s="283"/>
      <c r="AU545" s="276"/>
      <c r="AV545" s="283"/>
      <c r="AW545" s="276"/>
      <c r="AX545" s="283"/>
      <c r="AY545" s="276"/>
      <c r="AZ545" s="283"/>
      <c r="BA545" s="276"/>
      <c r="BB545" s="283"/>
      <c r="BC545" s="276"/>
      <c r="BD545" s="283"/>
      <c r="BE545" s="276"/>
      <c r="BG545" s="283"/>
      <c r="BH545" s="276"/>
      <c r="BI545" s="283"/>
      <c r="BJ545" s="276"/>
      <c r="BK545" s="283"/>
      <c r="BL545" s="276"/>
      <c r="BM545" s="283"/>
      <c r="BN545" s="276"/>
      <c r="BO545" s="283"/>
      <c r="BP545" s="276"/>
      <c r="BQ545" s="283"/>
      <c r="BR545" s="283"/>
      <c r="BS545" s="276"/>
    </row>
    <row r="546" spans="12:71" ht="12" customHeight="1">
      <c r="L546" s="283"/>
      <c r="M546" s="276"/>
      <c r="N546" s="283"/>
      <c r="O546" s="276"/>
      <c r="P546" s="283"/>
      <c r="Q546" s="276"/>
      <c r="S546" s="283"/>
      <c r="T546" s="276"/>
      <c r="W546" s="283"/>
      <c r="X546" s="276"/>
      <c r="Y546" s="283"/>
      <c r="Z546" s="276"/>
      <c r="AA546" s="283"/>
      <c r="AB546" s="276"/>
      <c r="AC546" s="283"/>
      <c r="AE546" s="283"/>
      <c r="AF546" s="276"/>
      <c r="AI546" s="283"/>
      <c r="AJ546" s="276"/>
      <c r="AK546" s="283"/>
      <c r="AL546" s="276"/>
      <c r="AM546" s="283"/>
      <c r="AN546" s="276"/>
      <c r="AO546" s="283"/>
      <c r="AP546" s="276"/>
      <c r="AQ546" s="283"/>
      <c r="AR546" s="276"/>
      <c r="AT546" s="283"/>
      <c r="AU546" s="276"/>
      <c r="AV546" s="283"/>
      <c r="AW546" s="276"/>
      <c r="AX546" s="283"/>
      <c r="AY546" s="276"/>
      <c r="AZ546" s="283"/>
      <c r="BA546" s="276"/>
      <c r="BB546" s="283"/>
      <c r="BC546" s="276"/>
      <c r="BD546" s="283"/>
      <c r="BE546" s="276"/>
      <c r="BG546" s="283"/>
      <c r="BH546" s="276"/>
      <c r="BI546" s="283"/>
      <c r="BJ546" s="276"/>
      <c r="BK546" s="283"/>
      <c r="BL546" s="276"/>
      <c r="BM546" s="283"/>
      <c r="BN546" s="276"/>
      <c r="BO546" s="283"/>
      <c r="BP546" s="276"/>
      <c r="BQ546" s="283"/>
      <c r="BR546" s="283"/>
      <c r="BS546" s="276"/>
    </row>
    <row r="547" spans="12:71" ht="12" customHeight="1">
      <c r="L547" s="283"/>
      <c r="M547" s="276"/>
      <c r="N547" s="283"/>
      <c r="O547" s="276"/>
      <c r="P547" s="283"/>
      <c r="Q547" s="276"/>
      <c r="S547" s="283"/>
      <c r="T547" s="276"/>
      <c r="W547" s="283"/>
      <c r="X547" s="276"/>
      <c r="Y547" s="283"/>
      <c r="Z547" s="276"/>
      <c r="AA547" s="283"/>
      <c r="AB547" s="276"/>
      <c r="AC547" s="283"/>
      <c r="AE547" s="283"/>
      <c r="AF547" s="276"/>
      <c r="AI547" s="283"/>
      <c r="AJ547" s="276"/>
      <c r="AK547" s="283"/>
      <c r="AL547" s="276"/>
      <c r="AM547" s="283"/>
      <c r="AN547" s="276"/>
      <c r="AO547" s="283"/>
      <c r="AP547" s="276"/>
      <c r="AQ547" s="283"/>
      <c r="AR547" s="276"/>
      <c r="AT547" s="283"/>
      <c r="AU547" s="276"/>
      <c r="AV547" s="283"/>
      <c r="AW547" s="276"/>
      <c r="AX547" s="283"/>
      <c r="AY547" s="276"/>
      <c r="AZ547" s="283"/>
      <c r="BA547" s="276"/>
      <c r="BB547" s="283"/>
      <c r="BC547" s="276"/>
      <c r="BD547" s="283"/>
      <c r="BE547" s="276"/>
      <c r="BG547" s="283"/>
      <c r="BH547" s="276"/>
      <c r="BI547" s="283"/>
      <c r="BJ547" s="276"/>
      <c r="BK547" s="283"/>
      <c r="BL547" s="276"/>
      <c r="BM547" s="283"/>
      <c r="BN547" s="276"/>
      <c r="BO547" s="283"/>
      <c r="BP547" s="276"/>
      <c r="BQ547" s="283"/>
      <c r="BR547" s="283"/>
      <c r="BS547" s="276"/>
    </row>
    <row r="548" spans="12:71" ht="12" customHeight="1">
      <c r="L548" s="283"/>
      <c r="M548" s="276"/>
      <c r="N548" s="283"/>
      <c r="O548" s="276"/>
      <c r="P548" s="283"/>
      <c r="Q548" s="276"/>
      <c r="S548" s="283"/>
      <c r="T548" s="276"/>
      <c r="W548" s="283"/>
      <c r="X548" s="276"/>
      <c r="Y548" s="283"/>
      <c r="Z548" s="276"/>
      <c r="AA548" s="283"/>
      <c r="AB548" s="276"/>
      <c r="AC548" s="283"/>
      <c r="AE548" s="283"/>
      <c r="AF548" s="276"/>
      <c r="AI548" s="283"/>
      <c r="AJ548" s="276"/>
      <c r="AK548" s="283"/>
      <c r="AL548" s="276"/>
      <c r="AM548" s="283"/>
      <c r="AN548" s="276"/>
      <c r="AO548" s="283"/>
      <c r="AP548" s="276"/>
      <c r="AQ548" s="283"/>
      <c r="AR548" s="276"/>
      <c r="AT548" s="283"/>
      <c r="AU548" s="276"/>
      <c r="AV548" s="283"/>
      <c r="AW548" s="276"/>
      <c r="AX548" s="283"/>
      <c r="AY548" s="276"/>
      <c r="AZ548" s="283"/>
      <c r="BA548" s="276"/>
      <c r="BB548" s="283"/>
      <c r="BC548" s="276"/>
      <c r="BD548" s="283"/>
      <c r="BE548" s="276"/>
      <c r="BG548" s="283"/>
      <c r="BH548" s="276"/>
      <c r="BI548" s="283"/>
      <c r="BJ548" s="276"/>
      <c r="BK548" s="283"/>
      <c r="BL548" s="276"/>
      <c r="BM548" s="283"/>
      <c r="BN548" s="276"/>
      <c r="BO548" s="283"/>
      <c r="BP548" s="276"/>
      <c r="BQ548" s="283"/>
      <c r="BR548" s="283"/>
      <c r="BS548" s="276"/>
    </row>
    <row r="549" spans="12:71" ht="12" customHeight="1">
      <c r="L549" s="283"/>
      <c r="M549" s="276"/>
      <c r="N549" s="283"/>
      <c r="O549" s="276"/>
      <c r="P549" s="283"/>
      <c r="Q549" s="276"/>
      <c r="S549" s="283"/>
      <c r="T549" s="276"/>
      <c r="W549" s="283"/>
      <c r="X549" s="276"/>
      <c r="Y549" s="283"/>
      <c r="Z549" s="276"/>
      <c r="AA549" s="283"/>
      <c r="AB549" s="276"/>
      <c r="AC549" s="283"/>
      <c r="AE549" s="283"/>
      <c r="AF549" s="276"/>
      <c r="AI549" s="283"/>
      <c r="AJ549" s="276"/>
      <c r="AK549" s="283"/>
      <c r="AL549" s="276"/>
      <c r="AM549" s="283"/>
      <c r="AN549" s="276"/>
      <c r="AO549" s="283"/>
      <c r="AP549" s="276"/>
      <c r="AQ549" s="283"/>
      <c r="AR549" s="276"/>
      <c r="AT549" s="283"/>
      <c r="AU549" s="276"/>
      <c r="AV549" s="283"/>
      <c r="AW549" s="276"/>
      <c r="AX549" s="283"/>
      <c r="AY549" s="276"/>
      <c r="AZ549" s="283"/>
      <c r="BA549" s="276"/>
      <c r="BB549" s="283"/>
      <c r="BC549" s="276"/>
      <c r="BD549" s="283"/>
      <c r="BE549" s="276"/>
      <c r="BG549" s="283"/>
      <c r="BH549" s="276"/>
      <c r="BI549" s="283"/>
      <c r="BJ549" s="276"/>
      <c r="BK549" s="283"/>
      <c r="BL549" s="276"/>
      <c r="BM549" s="283"/>
      <c r="BN549" s="276"/>
      <c r="BO549" s="283"/>
      <c r="BP549" s="276"/>
      <c r="BQ549" s="283"/>
      <c r="BR549" s="283"/>
      <c r="BS549" s="276"/>
    </row>
    <row r="550" spans="12:71" ht="12" customHeight="1">
      <c r="L550" s="283"/>
      <c r="M550" s="276"/>
      <c r="N550" s="283"/>
      <c r="O550" s="276"/>
      <c r="P550" s="283"/>
      <c r="Q550" s="276"/>
      <c r="S550" s="283"/>
      <c r="T550" s="276"/>
      <c r="W550" s="283"/>
      <c r="X550" s="276"/>
      <c r="Y550" s="283"/>
      <c r="Z550" s="276"/>
      <c r="AA550" s="283"/>
      <c r="AB550" s="276"/>
      <c r="AC550" s="283"/>
      <c r="AE550" s="283"/>
      <c r="AF550" s="276"/>
      <c r="AI550" s="283"/>
      <c r="AJ550" s="276"/>
      <c r="AK550" s="283"/>
      <c r="AL550" s="276"/>
      <c r="AM550" s="283"/>
      <c r="AN550" s="276"/>
      <c r="AO550" s="283"/>
      <c r="AP550" s="276"/>
      <c r="AQ550" s="283"/>
      <c r="AR550" s="276"/>
      <c r="AT550" s="283"/>
      <c r="AU550" s="276"/>
      <c r="AV550" s="283"/>
      <c r="AW550" s="276"/>
      <c r="AX550" s="283"/>
      <c r="AY550" s="276"/>
      <c r="AZ550" s="283"/>
      <c r="BA550" s="276"/>
      <c r="BB550" s="283"/>
      <c r="BC550" s="276"/>
      <c r="BD550" s="283"/>
      <c r="BE550" s="276"/>
      <c r="BG550" s="283"/>
      <c r="BH550" s="276"/>
      <c r="BI550" s="283"/>
      <c r="BJ550" s="276"/>
      <c r="BK550" s="283"/>
      <c r="BL550" s="276"/>
      <c r="BM550" s="283"/>
      <c r="BN550" s="276"/>
      <c r="BO550" s="283"/>
      <c r="BP550" s="276"/>
      <c r="BQ550" s="283"/>
      <c r="BR550" s="283"/>
      <c r="BS550" s="276"/>
    </row>
    <row r="551" spans="12:71" ht="12" customHeight="1">
      <c r="L551" s="283"/>
      <c r="M551" s="276"/>
      <c r="N551" s="283"/>
      <c r="O551" s="276"/>
      <c r="P551" s="283"/>
      <c r="Q551" s="276"/>
      <c r="S551" s="283"/>
      <c r="T551" s="276"/>
      <c r="W551" s="283"/>
      <c r="X551" s="276"/>
      <c r="Y551" s="283"/>
      <c r="Z551" s="276"/>
      <c r="AA551" s="283"/>
      <c r="AB551" s="276"/>
      <c r="AC551" s="283"/>
      <c r="AE551" s="283"/>
      <c r="AF551" s="276"/>
      <c r="AI551" s="283"/>
      <c r="AJ551" s="276"/>
      <c r="AK551" s="283"/>
      <c r="AL551" s="276"/>
      <c r="AM551" s="283"/>
      <c r="AN551" s="276"/>
      <c r="AO551" s="283"/>
      <c r="AP551" s="276"/>
      <c r="AQ551" s="283"/>
      <c r="AR551" s="276"/>
      <c r="AT551" s="283"/>
      <c r="AU551" s="276"/>
      <c r="AV551" s="283"/>
      <c r="AW551" s="276"/>
      <c r="AX551" s="283"/>
      <c r="AY551" s="276"/>
      <c r="AZ551" s="283"/>
      <c r="BA551" s="276"/>
      <c r="BB551" s="283"/>
      <c r="BC551" s="276"/>
      <c r="BD551" s="283"/>
      <c r="BE551" s="276"/>
      <c r="BG551" s="283"/>
      <c r="BH551" s="276"/>
      <c r="BI551" s="283"/>
      <c r="BJ551" s="276"/>
      <c r="BK551" s="283"/>
      <c r="BL551" s="276"/>
      <c r="BM551" s="283"/>
      <c r="BN551" s="276"/>
      <c r="BO551" s="283"/>
      <c r="BP551" s="276"/>
      <c r="BQ551" s="283"/>
      <c r="BR551" s="283"/>
      <c r="BS551" s="276"/>
    </row>
    <row r="552" spans="12:71" ht="12" customHeight="1">
      <c r="L552" s="283"/>
      <c r="M552" s="276"/>
      <c r="N552" s="283"/>
      <c r="O552" s="276"/>
      <c r="P552" s="283"/>
      <c r="Q552" s="276"/>
      <c r="S552" s="283"/>
      <c r="T552" s="276"/>
      <c r="W552" s="283"/>
      <c r="X552" s="276"/>
      <c r="Y552" s="283"/>
      <c r="Z552" s="276"/>
      <c r="AA552" s="283"/>
      <c r="AB552" s="276"/>
      <c r="AC552" s="283"/>
      <c r="AE552" s="283"/>
      <c r="AF552" s="276"/>
      <c r="AI552" s="283"/>
      <c r="AJ552" s="276"/>
      <c r="AK552" s="283"/>
      <c r="AL552" s="276"/>
      <c r="AM552" s="283"/>
      <c r="AN552" s="276"/>
      <c r="AO552" s="283"/>
      <c r="AP552" s="276"/>
      <c r="AQ552" s="283"/>
      <c r="AR552" s="276"/>
      <c r="AT552" s="283"/>
      <c r="AU552" s="276"/>
      <c r="AV552" s="283"/>
      <c r="AW552" s="276"/>
      <c r="AX552" s="283"/>
      <c r="AY552" s="276"/>
      <c r="AZ552" s="283"/>
      <c r="BA552" s="276"/>
      <c r="BB552" s="283"/>
      <c r="BC552" s="276"/>
      <c r="BD552" s="283"/>
      <c r="BE552" s="276"/>
      <c r="BG552" s="283"/>
      <c r="BH552" s="276"/>
      <c r="BI552" s="283"/>
      <c r="BJ552" s="276"/>
      <c r="BK552" s="283"/>
      <c r="BL552" s="276"/>
      <c r="BM552" s="283"/>
      <c r="BN552" s="276"/>
      <c r="BO552" s="283"/>
      <c r="BP552" s="276"/>
      <c r="BQ552" s="283"/>
      <c r="BR552" s="283"/>
      <c r="BS552" s="276"/>
    </row>
    <row r="553" spans="12:71" ht="12" customHeight="1">
      <c r="L553" s="283"/>
      <c r="M553" s="276"/>
      <c r="N553" s="283"/>
      <c r="O553" s="276"/>
      <c r="P553" s="283"/>
      <c r="Q553" s="276"/>
      <c r="S553" s="283"/>
      <c r="T553" s="276"/>
      <c r="W553" s="283"/>
      <c r="X553" s="276"/>
      <c r="Y553" s="283"/>
      <c r="Z553" s="276"/>
      <c r="AA553" s="283"/>
      <c r="AB553" s="276"/>
      <c r="AC553" s="283"/>
      <c r="AE553" s="283"/>
      <c r="AF553" s="276"/>
      <c r="AI553" s="283"/>
      <c r="AJ553" s="276"/>
      <c r="AK553" s="283"/>
      <c r="AL553" s="276"/>
      <c r="AM553" s="283"/>
      <c r="AN553" s="276"/>
      <c r="AO553" s="283"/>
      <c r="AP553" s="276"/>
      <c r="AQ553" s="283"/>
      <c r="AR553" s="276"/>
      <c r="AT553" s="283"/>
      <c r="AU553" s="276"/>
      <c r="AV553" s="283"/>
      <c r="AW553" s="276"/>
      <c r="AX553" s="283"/>
      <c r="AY553" s="276"/>
      <c r="AZ553" s="283"/>
      <c r="BA553" s="276"/>
      <c r="BB553" s="283"/>
      <c r="BC553" s="276"/>
      <c r="BD553" s="283"/>
      <c r="BE553" s="276"/>
      <c r="BG553" s="283"/>
      <c r="BH553" s="276"/>
      <c r="BI553" s="283"/>
      <c r="BJ553" s="276"/>
      <c r="BK553" s="283"/>
      <c r="BL553" s="276"/>
      <c r="BM553" s="283"/>
      <c r="BN553" s="276"/>
      <c r="BO553" s="283"/>
      <c r="BP553" s="276"/>
      <c r="BQ553" s="283"/>
      <c r="BR553" s="283"/>
      <c r="BS553" s="276"/>
    </row>
    <row r="554" spans="12:71" ht="12" customHeight="1">
      <c r="L554" s="283"/>
      <c r="M554" s="276"/>
      <c r="N554" s="283"/>
      <c r="O554" s="276"/>
      <c r="P554" s="283"/>
      <c r="Q554" s="276"/>
      <c r="S554" s="283"/>
      <c r="T554" s="276"/>
      <c r="W554" s="283"/>
      <c r="X554" s="276"/>
      <c r="Y554" s="283"/>
      <c r="Z554" s="276"/>
      <c r="AA554" s="283"/>
      <c r="AB554" s="276"/>
      <c r="AC554" s="283"/>
      <c r="AE554" s="283"/>
      <c r="AF554" s="276"/>
      <c r="AI554" s="283"/>
      <c r="AJ554" s="276"/>
      <c r="AK554" s="283"/>
      <c r="AL554" s="276"/>
      <c r="AM554" s="283"/>
      <c r="AN554" s="276"/>
      <c r="AO554" s="283"/>
      <c r="AP554" s="276"/>
      <c r="AQ554" s="283"/>
      <c r="AR554" s="276"/>
      <c r="AT554" s="283"/>
      <c r="AU554" s="276"/>
      <c r="AV554" s="283"/>
      <c r="AW554" s="276"/>
      <c r="AX554" s="283"/>
      <c r="AY554" s="276"/>
      <c r="AZ554" s="283"/>
      <c r="BA554" s="276"/>
      <c r="BB554" s="283"/>
      <c r="BC554" s="276"/>
      <c r="BD554" s="283"/>
      <c r="BE554" s="276"/>
      <c r="BG554" s="283"/>
      <c r="BH554" s="276"/>
      <c r="BI554" s="283"/>
      <c r="BJ554" s="276"/>
      <c r="BK554" s="283"/>
      <c r="BL554" s="276"/>
      <c r="BM554" s="283"/>
      <c r="BN554" s="276"/>
      <c r="BO554" s="283"/>
      <c r="BP554" s="276"/>
      <c r="BQ554" s="283"/>
      <c r="BR554" s="283"/>
      <c r="BS554" s="276"/>
    </row>
    <row r="555" spans="12:71" ht="12" customHeight="1">
      <c r="L555" s="283"/>
      <c r="M555" s="276"/>
      <c r="N555" s="283"/>
      <c r="O555" s="276"/>
      <c r="P555" s="283"/>
      <c r="Q555" s="276"/>
      <c r="S555" s="283"/>
      <c r="T555" s="276"/>
      <c r="W555" s="283"/>
      <c r="X555" s="276"/>
      <c r="Y555" s="283"/>
      <c r="Z555" s="276"/>
      <c r="AA555" s="283"/>
      <c r="AB555" s="276"/>
      <c r="AC555" s="283"/>
      <c r="AE555" s="283"/>
      <c r="AF555" s="276"/>
      <c r="AI555" s="283"/>
      <c r="AJ555" s="276"/>
      <c r="AK555" s="283"/>
      <c r="AL555" s="276"/>
      <c r="AM555" s="283"/>
      <c r="AN555" s="276"/>
      <c r="AO555" s="283"/>
      <c r="AP555" s="276"/>
      <c r="AQ555" s="283"/>
      <c r="AR555" s="276"/>
      <c r="AT555" s="283"/>
      <c r="AU555" s="276"/>
      <c r="AV555" s="283"/>
      <c r="AW555" s="276"/>
      <c r="AX555" s="283"/>
      <c r="AY555" s="276"/>
      <c r="AZ555" s="283"/>
      <c r="BA555" s="276"/>
      <c r="BB555" s="283"/>
      <c r="BC555" s="276"/>
      <c r="BD555" s="283"/>
      <c r="BE555" s="276"/>
      <c r="BG555" s="283"/>
      <c r="BH555" s="276"/>
      <c r="BI555" s="283"/>
      <c r="BJ555" s="276"/>
      <c r="BK555" s="283"/>
      <c r="BL555" s="276"/>
      <c r="BM555" s="283"/>
      <c r="BN555" s="276"/>
      <c r="BO555" s="283"/>
      <c r="BP555" s="276"/>
      <c r="BQ555" s="283"/>
      <c r="BR555" s="283"/>
      <c r="BS555" s="276"/>
    </row>
    <row r="556" spans="12:71" ht="12" customHeight="1">
      <c r="L556" s="283"/>
      <c r="M556" s="276"/>
      <c r="N556" s="283"/>
      <c r="O556" s="276"/>
      <c r="P556" s="283"/>
      <c r="Q556" s="276"/>
      <c r="S556" s="283"/>
      <c r="T556" s="276"/>
      <c r="W556" s="283"/>
      <c r="X556" s="276"/>
      <c r="Y556" s="283"/>
      <c r="Z556" s="276"/>
      <c r="AA556" s="283"/>
      <c r="AB556" s="276"/>
      <c r="AC556" s="283"/>
      <c r="AE556" s="283"/>
      <c r="AF556" s="276"/>
      <c r="AI556" s="283"/>
      <c r="AJ556" s="276"/>
      <c r="AK556" s="283"/>
      <c r="AL556" s="276"/>
      <c r="AM556" s="283"/>
      <c r="AN556" s="276"/>
      <c r="AO556" s="283"/>
      <c r="AP556" s="276"/>
      <c r="AQ556" s="283"/>
      <c r="AR556" s="276"/>
      <c r="AT556" s="283"/>
      <c r="AU556" s="276"/>
      <c r="AV556" s="283"/>
      <c r="AW556" s="276"/>
      <c r="AX556" s="283"/>
      <c r="AY556" s="276"/>
      <c r="AZ556" s="283"/>
      <c r="BA556" s="276"/>
      <c r="BB556" s="283"/>
      <c r="BC556" s="276"/>
      <c r="BD556" s="283"/>
      <c r="BE556" s="276"/>
      <c r="BG556" s="283"/>
      <c r="BH556" s="276"/>
      <c r="BI556" s="283"/>
      <c r="BJ556" s="276"/>
      <c r="BK556" s="283"/>
      <c r="BL556" s="276"/>
      <c r="BM556" s="283"/>
      <c r="BN556" s="276"/>
      <c r="BO556" s="283"/>
      <c r="BP556" s="276"/>
      <c r="BQ556" s="283"/>
      <c r="BR556" s="283"/>
      <c r="BS556" s="276"/>
    </row>
    <row r="557" spans="12:71" ht="12" customHeight="1">
      <c r="L557" s="283"/>
      <c r="M557" s="276"/>
      <c r="N557" s="283"/>
      <c r="O557" s="276"/>
      <c r="P557" s="283"/>
      <c r="Q557" s="276"/>
      <c r="S557" s="283"/>
      <c r="T557" s="276"/>
      <c r="W557" s="283"/>
      <c r="X557" s="276"/>
      <c r="Y557" s="283"/>
      <c r="Z557" s="276"/>
      <c r="AA557" s="283"/>
      <c r="AB557" s="276"/>
      <c r="AC557" s="283"/>
      <c r="AE557" s="283"/>
      <c r="AF557" s="276"/>
      <c r="AI557" s="283"/>
      <c r="AJ557" s="276"/>
      <c r="AK557" s="283"/>
      <c r="AL557" s="276"/>
      <c r="AM557" s="283"/>
      <c r="AN557" s="276"/>
      <c r="AO557" s="283"/>
      <c r="AP557" s="276"/>
      <c r="AQ557" s="283"/>
      <c r="AR557" s="276"/>
      <c r="AT557" s="283"/>
      <c r="AU557" s="276"/>
      <c r="AV557" s="283"/>
      <c r="AW557" s="276"/>
      <c r="AX557" s="283"/>
      <c r="AY557" s="276"/>
      <c r="AZ557" s="283"/>
      <c r="BA557" s="276"/>
      <c r="BB557" s="283"/>
      <c r="BC557" s="276"/>
      <c r="BD557" s="283"/>
      <c r="BE557" s="276"/>
      <c r="BG557" s="283"/>
      <c r="BH557" s="276"/>
      <c r="BI557" s="283"/>
      <c r="BJ557" s="276"/>
      <c r="BK557" s="283"/>
      <c r="BL557" s="276"/>
      <c r="BM557" s="283"/>
      <c r="BN557" s="276"/>
      <c r="BO557" s="283"/>
      <c r="BP557" s="276"/>
      <c r="BQ557" s="283"/>
      <c r="BR557" s="283"/>
      <c r="BS557" s="276"/>
    </row>
    <row r="558" spans="12:71" ht="12" customHeight="1">
      <c r="L558" s="283"/>
      <c r="M558" s="276"/>
      <c r="N558" s="283"/>
      <c r="O558" s="276"/>
      <c r="P558" s="283"/>
      <c r="Q558" s="276"/>
      <c r="S558" s="283"/>
      <c r="T558" s="276"/>
      <c r="W558" s="283"/>
      <c r="X558" s="276"/>
      <c r="Y558" s="283"/>
      <c r="Z558" s="276"/>
      <c r="AA558" s="283"/>
      <c r="AB558" s="276"/>
      <c r="AC558" s="283"/>
      <c r="AE558" s="283"/>
      <c r="AF558" s="276"/>
      <c r="AI558" s="283"/>
      <c r="AJ558" s="276"/>
      <c r="AK558" s="283"/>
      <c r="AL558" s="276"/>
      <c r="AM558" s="283"/>
      <c r="AN558" s="276"/>
      <c r="AO558" s="283"/>
      <c r="AP558" s="276"/>
      <c r="AQ558" s="283"/>
      <c r="AR558" s="276"/>
      <c r="AT558" s="283"/>
      <c r="AU558" s="276"/>
      <c r="AV558" s="283"/>
      <c r="AW558" s="276"/>
      <c r="AX558" s="283"/>
      <c r="AY558" s="276"/>
      <c r="AZ558" s="283"/>
      <c r="BA558" s="276"/>
      <c r="BB558" s="283"/>
      <c r="BC558" s="276"/>
      <c r="BD558" s="283"/>
      <c r="BE558" s="276"/>
      <c r="BG558" s="283"/>
      <c r="BH558" s="276"/>
      <c r="BI558" s="283"/>
      <c r="BJ558" s="276"/>
      <c r="BK558" s="283"/>
      <c r="BL558" s="276"/>
      <c r="BM558" s="283"/>
      <c r="BN558" s="276"/>
      <c r="BO558" s="283"/>
      <c r="BP558" s="276"/>
      <c r="BQ558" s="283"/>
      <c r="BR558" s="283"/>
      <c r="BS558" s="276"/>
    </row>
    <row r="559" spans="12:71" ht="12" customHeight="1">
      <c r="L559" s="283"/>
      <c r="M559" s="276"/>
      <c r="N559" s="283"/>
      <c r="O559" s="276"/>
      <c r="P559" s="283"/>
      <c r="Q559" s="276"/>
      <c r="S559" s="283"/>
      <c r="T559" s="276"/>
      <c r="W559" s="283"/>
      <c r="X559" s="276"/>
      <c r="Y559" s="283"/>
      <c r="Z559" s="276"/>
      <c r="AA559" s="283"/>
      <c r="AB559" s="276"/>
      <c r="AC559" s="283"/>
      <c r="AE559" s="283"/>
      <c r="AF559" s="276"/>
      <c r="AI559" s="283"/>
      <c r="AJ559" s="276"/>
      <c r="AK559" s="283"/>
      <c r="AL559" s="276"/>
      <c r="AM559" s="283"/>
      <c r="AN559" s="276"/>
      <c r="AO559" s="283"/>
      <c r="AP559" s="276"/>
      <c r="AQ559" s="283"/>
      <c r="AR559" s="276"/>
      <c r="AT559" s="283"/>
      <c r="AU559" s="276"/>
      <c r="AV559" s="283"/>
      <c r="AW559" s="276"/>
      <c r="AX559" s="283"/>
      <c r="AY559" s="276"/>
      <c r="AZ559" s="283"/>
      <c r="BA559" s="276"/>
      <c r="BB559" s="283"/>
      <c r="BC559" s="276"/>
      <c r="BD559" s="283"/>
      <c r="BE559" s="276"/>
      <c r="BG559" s="283"/>
      <c r="BH559" s="276"/>
      <c r="BI559" s="283"/>
      <c r="BJ559" s="276"/>
      <c r="BK559" s="283"/>
      <c r="BL559" s="276"/>
      <c r="BM559" s="283"/>
      <c r="BN559" s="276"/>
      <c r="BO559" s="283"/>
      <c r="BP559" s="276"/>
      <c r="BQ559" s="283"/>
      <c r="BR559" s="283"/>
      <c r="BS559" s="276"/>
    </row>
    <row r="560" spans="12:71" ht="12" customHeight="1">
      <c r="L560" s="283"/>
      <c r="M560" s="276"/>
      <c r="N560" s="283"/>
      <c r="O560" s="276"/>
      <c r="P560" s="283"/>
      <c r="Q560" s="276"/>
      <c r="S560" s="283"/>
      <c r="T560" s="276"/>
      <c r="W560" s="283"/>
      <c r="X560" s="276"/>
      <c r="Y560" s="283"/>
      <c r="Z560" s="276"/>
      <c r="AA560" s="283"/>
      <c r="AB560" s="276"/>
      <c r="AC560" s="283"/>
      <c r="AE560" s="283"/>
      <c r="AF560" s="276"/>
      <c r="AI560" s="283"/>
      <c r="AJ560" s="276"/>
      <c r="AK560" s="283"/>
      <c r="AL560" s="276"/>
      <c r="AM560" s="283"/>
      <c r="AN560" s="276"/>
      <c r="AO560" s="283"/>
      <c r="AP560" s="276"/>
      <c r="AQ560" s="283"/>
      <c r="AR560" s="276"/>
      <c r="AT560" s="283"/>
      <c r="AU560" s="276"/>
      <c r="AV560" s="283"/>
      <c r="AW560" s="276"/>
      <c r="AX560" s="283"/>
      <c r="AY560" s="276"/>
      <c r="AZ560" s="283"/>
      <c r="BA560" s="276"/>
      <c r="BB560" s="283"/>
      <c r="BC560" s="276"/>
      <c r="BD560" s="283"/>
      <c r="BE560" s="276"/>
      <c r="BG560" s="283"/>
      <c r="BH560" s="276"/>
      <c r="BI560" s="283"/>
      <c r="BJ560" s="276"/>
      <c r="BK560" s="283"/>
      <c r="BL560" s="276"/>
      <c r="BM560" s="283"/>
      <c r="BN560" s="276"/>
      <c r="BO560" s="283"/>
      <c r="BP560" s="276"/>
      <c r="BQ560" s="283"/>
      <c r="BR560" s="283"/>
      <c r="BS560" s="276"/>
    </row>
    <row r="561" spans="12:71" ht="12" customHeight="1">
      <c r="L561" s="283"/>
      <c r="M561" s="276"/>
      <c r="N561" s="283"/>
      <c r="O561" s="276"/>
      <c r="P561" s="283"/>
      <c r="Q561" s="276"/>
      <c r="S561" s="283"/>
      <c r="T561" s="276"/>
      <c r="W561" s="283"/>
      <c r="X561" s="276"/>
      <c r="Y561" s="283"/>
      <c r="Z561" s="276"/>
      <c r="AA561" s="283"/>
      <c r="AB561" s="276"/>
      <c r="AC561" s="283"/>
      <c r="AE561" s="283"/>
      <c r="AF561" s="276"/>
      <c r="AI561" s="283"/>
      <c r="AJ561" s="276"/>
      <c r="AK561" s="283"/>
      <c r="AL561" s="276"/>
      <c r="AM561" s="283"/>
      <c r="AN561" s="276"/>
      <c r="AO561" s="283"/>
      <c r="AP561" s="276"/>
      <c r="AQ561" s="283"/>
      <c r="AR561" s="276"/>
      <c r="AT561" s="283"/>
      <c r="AU561" s="276"/>
      <c r="AV561" s="283"/>
      <c r="AW561" s="276"/>
      <c r="AX561" s="283"/>
      <c r="AY561" s="276"/>
      <c r="AZ561" s="283"/>
      <c r="BA561" s="276"/>
      <c r="BB561" s="283"/>
      <c r="BC561" s="276"/>
      <c r="BD561" s="283"/>
      <c r="BE561" s="276"/>
      <c r="BG561" s="283"/>
      <c r="BH561" s="276"/>
      <c r="BI561" s="283"/>
      <c r="BJ561" s="276"/>
      <c r="BK561" s="283"/>
      <c r="BL561" s="276"/>
      <c r="BM561" s="283"/>
      <c r="BN561" s="276"/>
      <c r="BO561" s="283"/>
      <c r="BP561" s="276"/>
      <c r="BQ561" s="283"/>
      <c r="BR561" s="283"/>
      <c r="BS561" s="276"/>
    </row>
    <row r="562" spans="12:71" ht="12" customHeight="1">
      <c r="L562" s="283"/>
      <c r="M562" s="276"/>
      <c r="N562" s="283"/>
      <c r="O562" s="276"/>
      <c r="P562" s="283"/>
      <c r="Q562" s="276"/>
      <c r="S562" s="283"/>
      <c r="T562" s="276"/>
      <c r="W562" s="283"/>
      <c r="X562" s="276"/>
      <c r="Y562" s="283"/>
      <c r="Z562" s="276"/>
      <c r="AA562" s="283"/>
      <c r="AB562" s="276"/>
      <c r="AC562" s="283"/>
      <c r="AE562" s="283"/>
      <c r="AF562" s="276"/>
      <c r="AI562" s="283"/>
      <c r="AJ562" s="276"/>
      <c r="AK562" s="283"/>
      <c r="AL562" s="276"/>
      <c r="AM562" s="283"/>
      <c r="AN562" s="276"/>
      <c r="AO562" s="283"/>
      <c r="AP562" s="276"/>
      <c r="AQ562" s="283"/>
      <c r="AR562" s="276"/>
      <c r="AT562" s="283"/>
      <c r="AU562" s="276"/>
      <c r="AV562" s="283"/>
      <c r="AW562" s="276"/>
      <c r="AX562" s="283"/>
      <c r="AY562" s="276"/>
      <c r="AZ562" s="283"/>
      <c r="BA562" s="276"/>
      <c r="BB562" s="283"/>
      <c r="BC562" s="276"/>
      <c r="BD562" s="283"/>
      <c r="BE562" s="276"/>
      <c r="BG562" s="283"/>
      <c r="BH562" s="276"/>
      <c r="BI562" s="283"/>
      <c r="BJ562" s="276"/>
      <c r="BK562" s="283"/>
      <c r="BL562" s="276"/>
      <c r="BM562" s="283"/>
      <c r="BN562" s="276"/>
      <c r="BO562" s="283"/>
      <c r="BP562" s="276"/>
      <c r="BQ562" s="283"/>
      <c r="BR562" s="283"/>
      <c r="BS562" s="276"/>
    </row>
    <row r="563" spans="12:71" ht="12" customHeight="1">
      <c r="L563" s="283"/>
      <c r="M563" s="276"/>
      <c r="N563" s="283"/>
      <c r="O563" s="276"/>
      <c r="P563" s="283"/>
      <c r="Q563" s="276"/>
      <c r="S563" s="283"/>
      <c r="T563" s="276"/>
      <c r="W563" s="283"/>
      <c r="X563" s="276"/>
      <c r="Y563" s="283"/>
      <c r="Z563" s="276"/>
      <c r="AA563" s="283"/>
      <c r="AB563" s="276"/>
      <c r="AC563" s="283"/>
      <c r="AE563" s="283"/>
      <c r="AF563" s="276"/>
      <c r="AI563" s="283"/>
      <c r="AJ563" s="276"/>
      <c r="AK563" s="283"/>
      <c r="AL563" s="276"/>
      <c r="AM563" s="283"/>
      <c r="AN563" s="276"/>
      <c r="AO563" s="283"/>
      <c r="AP563" s="276"/>
      <c r="AQ563" s="283"/>
      <c r="AR563" s="276"/>
      <c r="AT563" s="283"/>
      <c r="AU563" s="276"/>
      <c r="AV563" s="283"/>
      <c r="AW563" s="276"/>
      <c r="AX563" s="283"/>
      <c r="AY563" s="276"/>
      <c r="AZ563" s="283"/>
      <c r="BA563" s="276"/>
      <c r="BB563" s="283"/>
      <c r="BC563" s="276"/>
      <c r="BD563" s="283"/>
      <c r="BE563" s="276"/>
      <c r="BG563" s="283"/>
      <c r="BH563" s="276"/>
      <c r="BI563" s="283"/>
      <c r="BJ563" s="276"/>
      <c r="BK563" s="283"/>
      <c r="BL563" s="276"/>
      <c r="BM563" s="283"/>
      <c r="BN563" s="276"/>
      <c r="BO563" s="283"/>
      <c r="BP563" s="276"/>
      <c r="BQ563" s="283"/>
      <c r="BR563" s="283"/>
      <c r="BS563" s="276"/>
    </row>
    <row r="564" spans="12:71" ht="12" customHeight="1">
      <c r="L564" s="283"/>
      <c r="M564" s="276"/>
      <c r="N564" s="283"/>
      <c r="O564" s="276"/>
      <c r="P564" s="283"/>
      <c r="Q564" s="276"/>
      <c r="S564" s="283"/>
      <c r="T564" s="276"/>
      <c r="W564" s="283"/>
      <c r="X564" s="276"/>
      <c r="Y564" s="283"/>
      <c r="Z564" s="276"/>
      <c r="AA564" s="283"/>
      <c r="AB564" s="276"/>
      <c r="AC564" s="283"/>
      <c r="AE564" s="283"/>
      <c r="AF564" s="276"/>
      <c r="AI564" s="283"/>
      <c r="AJ564" s="276"/>
      <c r="AK564" s="283"/>
      <c r="AL564" s="276"/>
      <c r="AM564" s="283"/>
      <c r="AN564" s="276"/>
      <c r="AO564" s="283"/>
      <c r="AP564" s="276"/>
      <c r="AQ564" s="283"/>
      <c r="AR564" s="276"/>
      <c r="AT564" s="283"/>
      <c r="AU564" s="276"/>
      <c r="AV564" s="283"/>
      <c r="AW564" s="276"/>
      <c r="AX564" s="283"/>
      <c r="AY564" s="276"/>
      <c r="AZ564" s="283"/>
      <c r="BA564" s="276"/>
      <c r="BB564" s="283"/>
      <c r="BC564" s="276"/>
      <c r="BD564" s="283"/>
      <c r="BE564" s="276"/>
      <c r="BG564" s="283"/>
      <c r="BH564" s="276"/>
      <c r="BI564" s="283"/>
      <c r="BJ564" s="276"/>
      <c r="BK564" s="283"/>
      <c r="BL564" s="276"/>
      <c r="BM564" s="283"/>
      <c r="BN564" s="276"/>
      <c r="BO564" s="283"/>
      <c r="BP564" s="276"/>
      <c r="BQ564" s="283"/>
      <c r="BR564" s="283"/>
      <c r="BS564" s="276"/>
    </row>
    <row r="565" spans="12:71" ht="12" customHeight="1">
      <c r="L565" s="283"/>
      <c r="M565" s="276"/>
      <c r="N565" s="283"/>
      <c r="O565" s="276"/>
      <c r="P565" s="283"/>
      <c r="Q565" s="276"/>
      <c r="S565" s="283"/>
      <c r="T565" s="276"/>
      <c r="W565" s="283"/>
      <c r="X565" s="276"/>
      <c r="Y565" s="283"/>
      <c r="Z565" s="276"/>
      <c r="AA565" s="283"/>
      <c r="AB565" s="276"/>
      <c r="AC565" s="283"/>
      <c r="AE565" s="283"/>
      <c r="AF565" s="276"/>
      <c r="AI565" s="283"/>
      <c r="AJ565" s="276"/>
      <c r="AK565" s="283"/>
      <c r="AL565" s="276"/>
      <c r="AM565" s="283"/>
      <c r="AN565" s="276"/>
      <c r="AO565" s="283"/>
      <c r="AP565" s="276"/>
      <c r="AQ565" s="283"/>
      <c r="AR565" s="276"/>
      <c r="AT565" s="283"/>
      <c r="AU565" s="276"/>
      <c r="AV565" s="283"/>
      <c r="AW565" s="276"/>
      <c r="AX565" s="283"/>
      <c r="AY565" s="276"/>
      <c r="AZ565" s="283"/>
      <c r="BA565" s="276"/>
      <c r="BB565" s="283"/>
      <c r="BC565" s="276"/>
      <c r="BD565" s="283"/>
      <c r="BE565" s="276"/>
      <c r="BG565" s="283"/>
      <c r="BH565" s="276"/>
      <c r="BI565" s="283"/>
      <c r="BJ565" s="276"/>
      <c r="BK565" s="283"/>
      <c r="BL565" s="276"/>
      <c r="BM565" s="283"/>
      <c r="BN565" s="276"/>
      <c r="BO565" s="283"/>
      <c r="BP565" s="276"/>
      <c r="BQ565" s="283"/>
      <c r="BR565" s="283"/>
      <c r="BS565" s="276"/>
    </row>
    <row r="566" spans="12:71" ht="12" customHeight="1">
      <c r="L566" s="283"/>
      <c r="M566" s="276"/>
      <c r="N566" s="283"/>
      <c r="O566" s="276"/>
      <c r="P566" s="283"/>
      <c r="Q566" s="276"/>
      <c r="S566" s="283"/>
      <c r="T566" s="276"/>
      <c r="W566" s="283"/>
      <c r="X566" s="276"/>
      <c r="Y566" s="283"/>
      <c r="Z566" s="276"/>
      <c r="AA566" s="283"/>
      <c r="AB566" s="276"/>
      <c r="AC566" s="283"/>
      <c r="AE566" s="283"/>
      <c r="AF566" s="276"/>
      <c r="AI566" s="283"/>
      <c r="AJ566" s="276"/>
      <c r="AK566" s="283"/>
      <c r="AL566" s="276"/>
      <c r="AM566" s="283"/>
      <c r="AN566" s="276"/>
      <c r="AO566" s="283"/>
      <c r="AP566" s="276"/>
      <c r="AQ566" s="283"/>
      <c r="AR566" s="276"/>
      <c r="AT566" s="283"/>
      <c r="AU566" s="276"/>
      <c r="AV566" s="283"/>
      <c r="AW566" s="276"/>
      <c r="AX566" s="283"/>
      <c r="AY566" s="276"/>
      <c r="AZ566" s="283"/>
      <c r="BA566" s="276"/>
      <c r="BB566" s="283"/>
      <c r="BC566" s="276"/>
      <c r="BD566" s="283"/>
      <c r="BE566" s="276"/>
      <c r="BG566" s="283"/>
      <c r="BH566" s="276"/>
      <c r="BI566" s="283"/>
      <c r="BJ566" s="276"/>
      <c r="BK566" s="283"/>
      <c r="BL566" s="276"/>
      <c r="BM566" s="283"/>
      <c r="BN566" s="276"/>
      <c r="BO566" s="283"/>
      <c r="BP566" s="276"/>
      <c r="BQ566" s="283"/>
      <c r="BR566" s="283"/>
      <c r="BS566" s="276"/>
    </row>
    <row r="567" spans="12:71" ht="12" customHeight="1">
      <c r="L567" s="283"/>
      <c r="M567" s="276"/>
      <c r="N567" s="283"/>
      <c r="O567" s="276"/>
      <c r="P567" s="283"/>
      <c r="Q567" s="276"/>
      <c r="S567" s="283"/>
      <c r="T567" s="276"/>
      <c r="W567" s="283"/>
      <c r="X567" s="276"/>
      <c r="Y567" s="283"/>
      <c r="Z567" s="276"/>
      <c r="AA567" s="283"/>
      <c r="AB567" s="276"/>
      <c r="AC567" s="283"/>
      <c r="AE567" s="283"/>
      <c r="AF567" s="276"/>
      <c r="AI567" s="283"/>
      <c r="AJ567" s="276"/>
      <c r="AK567" s="283"/>
      <c r="AL567" s="276"/>
      <c r="AM567" s="283"/>
      <c r="AN567" s="276"/>
      <c r="AO567" s="283"/>
      <c r="AP567" s="276"/>
      <c r="AQ567" s="283"/>
      <c r="AR567" s="276"/>
      <c r="AT567" s="283"/>
      <c r="AU567" s="276"/>
      <c r="AV567" s="283"/>
      <c r="AW567" s="276"/>
      <c r="AX567" s="283"/>
      <c r="AY567" s="276"/>
      <c r="AZ567" s="283"/>
      <c r="BA567" s="276"/>
      <c r="BB567" s="283"/>
      <c r="BC567" s="276"/>
      <c r="BD567" s="283"/>
      <c r="BE567" s="276"/>
      <c r="BG567" s="283"/>
      <c r="BH567" s="276"/>
      <c r="BI567" s="283"/>
      <c r="BJ567" s="276"/>
      <c r="BK567" s="283"/>
      <c r="BL567" s="276"/>
      <c r="BM567" s="283"/>
      <c r="BN567" s="276"/>
      <c r="BO567" s="283"/>
      <c r="BP567" s="276"/>
      <c r="BQ567" s="283"/>
      <c r="BR567" s="283"/>
      <c r="BS567" s="276"/>
    </row>
    <row r="568" spans="12:71" ht="12" customHeight="1">
      <c r="L568" s="283"/>
      <c r="M568" s="276"/>
      <c r="N568" s="283"/>
      <c r="O568" s="276"/>
      <c r="P568" s="283"/>
      <c r="Q568" s="276"/>
      <c r="S568" s="283"/>
      <c r="T568" s="276"/>
      <c r="W568" s="283"/>
      <c r="X568" s="276"/>
      <c r="Y568" s="283"/>
      <c r="Z568" s="276"/>
      <c r="AA568" s="283"/>
      <c r="AB568" s="276"/>
      <c r="AC568" s="283"/>
      <c r="AE568" s="283"/>
      <c r="AF568" s="276"/>
      <c r="AI568" s="283"/>
      <c r="AJ568" s="276"/>
      <c r="AK568" s="283"/>
      <c r="AL568" s="276"/>
      <c r="AM568" s="283"/>
      <c r="AN568" s="276"/>
      <c r="AO568" s="283"/>
      <c r="AP568" s="276"/>
      <c r="AQ568" s="283"/>
      <c r="AR568" s="276"/>
      <c r="AT568" s="283"/>
      <c r="AU568" s="276"/>
      <c r="AV568" s="283"/>
      <c r="AW568" s="276"/>
      <c r="AX568" s="283"/>
      <c r="AY568" s="276"/>
      <c r="AZ568" s="283"/>
      <c r="BA568" s="276"/>
      <c r="BB568" s="283"/>
      <c r="BC568" s="276"/>
      <c r="BD568" s="283"/>
      <c r="BE568" s="276"/>
      <c r="BG568" s="283"/>
      <c r="BH568" s="276"/>
      <c r="BI568" s="283"/>
      <c r="BJ568" s="276"/>
      <c r="BK568" s="283"/>
      <c r="BL568" s="276"/>
      <c r="BM568" s="283"/>
      <c r="BN568" s="276"/>
      <c r="BO568" s="283"/>
      <c r="BP568" s="276"/>
      <c r="BQ568" s="283"/>
      <c r="BR568" s="283"/>
      <c r="BS568" s="276"/>
    </row>
    <row r="569" spans="12:71" ht="12" customHeight="1">
      <c r="L569" s="283"/>
      <c r="M569" s="276"/>
      <c r="N569" s="283"/>
      <c r="O569" s="276"/>
      <c r="P569" s="283"/>
      <c r="Q569" s="276"/>
      <c r="S569" s="283"/>
      <c r="T569" s="276"/>
      <c r="W569" s="283"/>
      <c r="X569" s="276"/>
      <c r="Y569" s="283"/>
      <c r="Z569" s="276"/>
      <c r="AA569" s="283"/>
      <c r="AB569" s="276"/>
      <c r="AC569" s="283"/>
      <c r="AE569" s="283"/>
      <c r="AF569" s="276"/>
      <c r="AI569" s="283"/>
      <c r="AJ569" s="276"/>
      <c r="AK569" s="283"/>
      <c r="AL569" s="276"/>
      <c r="AM569" s="283"/>
      <c r="AN569" s="276"/>
      <c r="AO569" s="283"/>
      <c r="AP569" s="276"/>
      <c r="AQ569" s="283"/>
      <c r="AR569" s="276"/>
      <c r="AT569" s="283"/>
      <c r="AU569" s="276"/>
      <c r="AV569" s="283"/>
      <c r="AW569" s="276"/>
      <c r="AX569" s="283"/>
      <c r="AY569" s="276"/>
      <c r="AZ569" s="283"/>
      <c r="BA569" s="276"/>
      <c r="BB569" s="283"/>
      <c r="BC569" s="276"/>
      <c r="BD569" s="283"/>
      <c r="BE569" s="276"/>
      <c r="BG569" s="283"/>
      <c r="BH569" s="276"/>
      <c r="BI569" s="283"/>
      <c r="BJ569" s="276"/>
      <c r="BK569" s="283"/>
      <c r="BL569" s="276"/>
      <c r="BM569" s="283"/>
      <c r="BN569" s="276"/>
      <c r="BO569" s="283"/>
      <c r="BP569" s="276"/>
      <c r="BQ569" s="283"/>
      <c r="BR569" s="283"/>
      <c r="BS569" s="276"/>
    </row>
    <row r="570" spans="12:71" ht="12" customHeight="1">
      <c r="L570" s="283"/>
      <c r="M570" s="276"/>
      <c r="N570" s="283"/>
      <c r="O570" s="276"/>
      <c r="P570" s="283"/>
      <c r="Q570" s="276"/>
      <c r="S570" s="283"/>
      <c r="T570" s="276"/>
      <c r="W570" s="283"/>
      <c r="X570" s="276"/>
      <c r="Y570" s="283"/>
      <c r="Z570" s="276"/>
      <c r="AA570" s="283"/>
      <c r="AB570" s="276"/>
      <c r="AC570" s="283"/>
      <c r="AE570" s="283"/>
      <c r="AF570" s="276"/>
      <c r="AI570" s="283"/>
      <c r="AJ570" s="276"/>
      <c r="AK570" s="283"/>
      <c r="AL570" s="276"/>
      <c r="AM570" s="283"/>
      <c r="AN570" s="276"/>
      <c r="AO570" s="283"/>
      <c r="AP570" s="276"/>
      <c r="AQ570" s="283"/>
      <c r="AR570" s="276"/>
      <c r="AT570" s="283"/>
      <c r="AU570" s="276"/>
      <c r="AV570" s="283"/>
      <c r="AW570" s="276"/>
      <c r="AX570" s="283"/>
      <c r="AY570" s="276"/>
      <c r="AZ570" s="283"/>
      <c r="BA570" s="276"/>
      <c r="BB570" s="283"/>
      <c r="BC570" s="276"/>
      <c r="BD570" s="283"/>
      <c r="BE570" s="276"/>
      <c r="BG570" s="283"/>
      <c r="BH570" s="276"/>
      <c r="BI570" s="283"/>
      <c r="BJ570" s="276"/>
      <c r="BK570" s="283"/>
      <c r="BL570" s="276"/>
      <c r="BM570" s="283"/>
      <c r="BN570" s="276"/>
      <c r="BO570" s="283"/>
      <c r="BP570" s="276"/>
      <c r="BQ570" s="283"/>
      <c r="BR570" s="283"/>
      <c r="BS570" s="276"/>
    </row>
    <row r="571" spans="12:71" ht="12" customHeight="1">
      <c r="L571" s="283"/>
      <c r="M571" s="276"/>
      <c r="N571" s="283"/>
      <c r="O571" s="276"/>
      <c r="P571" s="283"/>
      <c r="Q571" s="276"/>
      <c r="S571" s="283"/>
      <c r="T571" s="276"/>
      <c r="W571" s="283"/>
      <c r="X571" s="276"/>
      <c r="Y571" s="283"/>
      <c r="Z571" s="276"/>
      <c r="AA571" s="283"/>
      <c r="AB571" s="276"/>
      <c r="AC571" s="283"/>
      <c r="AE571" s="283"/>
      <c r="AF571" s="276"/>
      <c r="AI571" s="283"/>
      <c r="AJ571" s="276"/>
      <c r="AK571" s="283"/>
      <c r="AL571" s="276"/>
      <c r="AM571" s="283"/>
      <c r="AN571" s="276"/>
      <c r="AO571" s="283"/>
      <c r="AP571" s="276"/>
      <c r="AQ571" s="283"/>
      <c r="AR571" s="276"/>
      <c r="AT571" s="283"/>
      <c r="AU571" s="276"/>
      <c r="AV571" s="283"/>
      <c r="AW571" s="276"/>
      <c r="AX571" s="283"/>
      <c r="AY571" s="276"/>
      <c r="AZ571" s="283"/>
      <c r="BA571" s="276"/>
      <c r="BB571" s="283"/>
      <c r="BC571" s="276"/>
      <c r="BD571" s="283"/>
      <c r="BE571" s="276"/>
      <c r="BG571" s="283"/>
      <c r="BH571" s="276"/>
      <c r="BI571" s="283"/>
      <c r="BJ571" s="276"/>
      <c r="BK571" s="283"/>
      <c r="BL571" s="276"/>
      <c r="BM571" s="283"/>
      <c r="BN571" s="276"/>
      <c r="BO571" s="283"/>
      <c r="BP571" s="276"/>
      <c r="BQ571" s="283"/>
      <c r="BR571" s="283"/>
      <c r="BS571" s="276"/>
    </row>
    <row r="572" spans="12:71" ht="12" customHeight="1">
      <c r="L572" s="283"/>
      <c r="M572" s="276"/>
      <c r="N572" s="283"/>
      <c r="O572" s="276"/>
      <c r="P572" s="283"/>
      <c r="Q572" s="276"/>
      <c r="S572" s="283"/>
      <c r="T572" s="276"/>
      <c r="W572" s="283"/>
      <c r="X572" s="276"/>
      <c r="Y572" s="283"/>
      <c r="Z572" s="276"/>
      <c r="AA572" s="283"/>
      <c r="AB572" s="276"/>
      <c r="AC572" s="283"/>
      <c r="AE572" s="283"/>
      <c r="AF572" s="276"/>
      <c r="AI572" s="283"/>
      <c r="AJ572" s="276"/>
      <c r="AK572" s="283"/>
      <c r="AL572" s="276"/>
      <c r="AM572" s="283"/>
      <c r="AN572" s="276"/>
      <c r="AO572" s="283"/>
      <c r="AP572" s="276"/>
      <c r="AQ572" s="283"/>
      <c r="AR572" s="276"/>
      <c r="AT572" s="283"/>
      <c r="AU572" s="276"/>
      <c r="AV572" s="283"/>
      <c r="AW572" s="276"/>
      <c r="AX572" s="283"/>
      <c r="AY572" s="276"/>
      <c r="AZ572" s="283"/>
      <c r="BA572" s="276"/>
      <c r="BB572" s="283"/>
      <c r="BC572" s="276"/>
      <c r="BD572" s="283"/>
      <c r="BE572" s="276"/>
      <c r="BG572" s="283"/>
      <c r="BH572" s="276"/>
      <c r="BI572" s="283"/>
      <c r="BJ572" s="276"/>
      <c r="BK572" s="283"/>
      <c r="BL572" s="276"/>
      <c r="BM572" s="283"/>
      <c r="BN572" s="276"/>
      <c r="BO572" s="283"/>
      <c r="BP572" s="276"/>
      <c r="BQ572" s="283"/>
      <c r="BR572" s="283"/>
      <c r="BS572" s="276"/>
    </row>
    <row r="573" spans="12:71" ht="12" customHeight="1">
      <c r="L573" s="283"/>
      <c r="M573" s="276"/>
      <c r="N573" s="283"/>
      <c r="O573" s="276"/>
      <c r="P573" s="283"/>
      <c r="Q573" s="276"/>
      <c r="S573" s="283"/>
      <c r="T573" s="276"/>
      <c r="W573" s="283"/>
      <c r="X573" s="276"/>
      <c r="Y573" s="283"/>
      <c r="Z573" s="276"/>
      <c r="AA573" s="283"/>
      <c r="AB573" s="276"/>
      <c r="AC573" s="283"/>
      <c r="AE573" s="283"/>
      <c r="AF573" s="276"/>
      <c r="AI573" s="283"/>
      <c r="AJ573" s="276"/>
      <c r="AK573" s="283"/>
      <c r="AL573" s="276"/>
      <c r="AM573" s="283"/>
      <c r="AN573" s="276"/>
      <c r="AO573" s="283"/>
      <c r="AP573" s="276"/>
      <c r="AQ573" s="283"/>
      <c r="AR573" s="276"/>
      <c r="AT573" s="283"/>
      <c r="AU573" s="276"/>
      <c r="AV573" s="283"/>
      <c r="AW573" s="276"/>
      <c r="AX573" s="283"/>
      <c r="AY573" s="276"/>
      <c r="AZ573" s="283"/>
      <c r="BA573" s="276"/>
      <c r="BB573" s="283"/>
      <c r="BC573" s="276"/>
      <c r="BD573" s="283"/>
      <c r="BE573" s="276"/>
      <c r="BG573" s="283"/>
      <c r="BH573" s="276"/>
      <c r="BI573" s="283"/>
      <c r="BJ573" s="276"/>
      <c r="BK573" s="283"/>
      <c r="BL573" s="276"/>
      <c r="BM573" s="283"/>
      <c r="BN573" s="276"/>
      <c r="BO573" s="283"/>
      <c r="BP573" s="276"/>
      <c r="BQ573" s="283"/>
      <c r="BR573" s="283"/>
      <c r="BS573" s="276"/>
    </row>
    <row r="574" spans="12:71" ht="12" customHeight="1">
      <c r="L574" s="283"/>
      <c r="M574" s="276"/>
      <c r="N574" s="283"/>
      <c r="O574" s="276"/>
      <c r="P574" s="283"/>
      <c r="Q574" s="276"/>
      <c r="S574" s="283"/>
      <c r="T574" s="276"/>
      <c r="W574" s="283"/>
      <c r="X574" s="276"/>
      <c r="Y574" s="283"/>
      <c r="Z574" s="276"/>
      <c r="AA574" s="283"/>
      <c r="AB574" s="276"/>
      <c r="AC574" s="283"/>
      <c r="AE574" s="283"/>
      <c r="AF574" s="276"/>
      <c r="AI574" s="283"/>
      <c r="AJ574" s="276"/>
      <c r="AK574" s="283"/>
      <c r="AL574" s="276"/>
      <c r="AM574" s="283"/>
      <c r="AN574" s="276"/>
      <c r="AO574" s="283"/>
      <c r="AP574" s="276"/>
      <c r="AQ574" s="283"/>
      <c r="AR574" s="276"/>
      <c r="AT574" s="283"/>
      <c r="AU574" s="276"/>
      <c r="AV574" s="283"/>
      <c r="AW574" s="276"/>
      <c r="AX574" s="283"/>
      <c r="AY574" s="276"/>
      <c r="AZ574" s="283"/>
      <c r="BA574" s="276"/>
      <c r="BB574" s="283"/>
      <c r="BC574" s="276"/>
      <c r="BD574" s="283"/>
      <c r="BE574" s="276"/>
      <c r="BG574" s="283"/>
      <c r="BH574" s="276"/>
      <c r="BI574" s="283"/>
      <c r="BJ574" s="276"/>
      <c r="BK574" s="283"/>
      <c r="BL574" s="276"/>
      <c r="BM574" s="283"/>
      <c r="BN574" s="276"/>
      <c r="BO574" s="283"/>
      <c r="BP574" s="276"/>
      <c r="BQ574" s="283"/>
      <c r="BR574" s="283"/>
      <c r="BS574" s="276"/>
    </row>
    <row r="575" spans="12:71" ht="12" customHeight="1">
      <c r="L575" s="283"/>
      <c r="M575" s="276"/>
      <c r="N575" s="283"/>
      <c r="O575" s="276"/>
      <c r="P575" s="283"/>
      <c r="Q575" s="276"/>
      <c r="S575" s="283"/>
      <c r="T575" s="276"/>
      <c r="W575" s="283"/>
      <c r="X575" s="276"/>
      <c r="Y575" s="283"/>
      <c r="Z575" s="276"/>
      <c r="AA575" s="283"/>
      <c r="AB575" s="276"/>
      <c r="AC575" s="283"/>
      <c r="AE575" s="283"/>
      <c r="AF575" s="276"/>
      <c r="AI575" s="283"/>
      <c r="AJ575" s="276"/>
      <c r="AK575" s="283"/>
      <c r="AL575" s="276"/>
      <c r="AM575" s="283"/>
      <c r="AN575" s="276"/>
      <c r="AO575" s="283"/>
      <c r="AP575" s="276"/>
      <c r="AQ575" s="283"/>
      <c r="AR575" s="276"/>
      <c r="AT575" s="283"/>
      <c r="AU575" s="276"/>
      <c r="AV575" s="283"/>
      <c r="AW575" s="276"/>
      <c r="AX575" s="283"/>
      <c r="AY575" s="276"/>
      <c r="AZ575" s="283"/>
      <c r="BA575" s="276"/>
      <c r="BB575" s="283"/>
      <c r="BC575" s="276"/>
      <c r="BD575" s="283"/>
      <c r="BE575" s="276"/>
      <c r="BG575" s="283"/>
      <c r="BH575" s="276"/>
      <c r="BI575" s="283"/>
      <c r="BJ575" s="276"/>
      <c r="BK575" s="283"/>
      <c r="BL575" s="276"/>
      <c r="BM575" s="283"/>
      <c r="BN575" s="276"/>
      <c r="BO575" s="283"/>
      <c r="BP575" s="276"/>
      <c r="BQ575" s="283"/>
      <c r="BR575" s="283"/>
      <c r="BS575" s="276"/>
    </row>
    <row r="576" spans="12:71" ht="12" customHeight="1">
      <c r="L576" s="283"/>
      <c r="M576" s="276"/>
      <c r="N576" s="283"/>
      <c r="O576" s="276"/>
      <c r="P576" s="283"/>
      <c r="Q576" s="276"/>
      <c r="S576" s="283"/>
      <c r="T576" s="276"/>
      <c r="W576" s="283"/>
      <c r="X576" s="276"/>
      <c r="Y576" s="283"/>
      <c r="Z576" s="276"/>
      <c r="AA576" s="283"/>
      <c r="AB576" s="276"/>
      <c r="AC576" s="283"/>
      <c r="AE576" s="283"/>
      <c r="AF576" s="276"/>
      <c r="AI576" s="283"/>
      <c r="AJ576" s="276"/>
      <c r="AK576" s="283"/>
      <c r="AL576" s="276"/>
      <c r="AM576" s="283"/>
      <c r="AN576" s="276"/>
      <c r="AO576" s="283"/>
      <c r="AP576" s="276"/>
      <c r="AQ576" s="283"/>
      <c r="AR576" s="276"/>
      <c r="AT576" s="283"/>
      <c r="AU576" s="276"/>
      <c r="AV576" s="283"/>
      <c r="AW576" s="276"/>
      <c r="AX576" s="283"/>
      <c r="AY576" s="276"/>
      <c r="AZ576" s="283"/>
      <c r="BA576" s="276"/>
      <c r="BB576" s="283"/>
      <c r="BC576" s="276"/>
      <c r="BD576" s="283"/>
      <c r="BE576" s="276"/>
      <c r="BG576" s="283"/>
      <c r="BH576" s="276"/>
      <c r="BI576" s="283"/>
      <c r="BJ576" s="276"/>
      <c r="BK576" s="283"/>
      <c r="BL576" s="276"/>
      <c r="BM576" s="283"/>
      <c r="BN576" s="276"/>
      <c r="BO576" s="283"/>
      <c r="BP576" s="276"/>
      <c r="BQ576" s="283"/>
      <c r="BR576" s="283"/>
      <c r="BS576" s="276"/>
    </row>
    <row r="577" spans="12:71" ht="12" customHeight="1">
      <c r="L577" s="283"/>
      <c r="M577" s="276"/>
      <c r="N577" s="283"/>
      <c r="O577" s="276"/>
      <c r="P577" s="283"/>
      <c r="Q577" s="276"/>
      <c r="S577" s="283"/>
      <c r="T577" s="276"/>
      <c r="W577" s="283"/>
      <c r="X577" s="276"/>
      <c r="Y577" s="283"/>
      <c r="Z577" s="276"/>
      <c r="AA577" s="283"/>
      <c r="AB577" s="276"/>
      <c r="AC577" s="283"/>
      <c r="AE577" s="283"/>
      <c r="AF577" s="276"/>
      <c r="AI577" s="283"/>
      <c r="AJ577" s="276"/>
      <c r="AK577" s="283"/>
      <c r="AL577" s="276"/>
      <c r="AM577" s="283"/>
      <c r="AN577" s="276"/>
      <c r="AO577" s="283"/>
      <c r="AP577" s="276"/>
      <c r="AQ577" s="283"/>
      <c r="AR577" s="276"/>
      <c r="AT577" s="283"/>
      <c r="AU577" s="276"/>
      <c r="AV577" s="283"/>
      <c r="AW577" s="276"/>
      <c r="AX577" s="283"/>
      <c r="AY577" s="276"/>
      <c r="AZ577" s="283"/>
      <c r="BA577" s="276"/>
      <c r="BB577" s="283"/>
      <c r="BC577" s="276"/>
      <c r="BD577" s="283"/>
      <c r="BE577" s="276"/>
      <c r="BG577" s="283"/>
      <c r="BH577" s="276"/>
      <c r="BI577" s="283"/>
      <c r="BJ577" s="276"/>
      <c r="BK577" s="283"/>
      <c r="BL577" s="276"/>
      <c r="BM577" s="283"/>
      <c r="BN577" s="276"/>
      <c r="BO577" s="283"/>
      <c r="BP577" s="276"/>
      <c r="BQ577" s="283"/>
      <c r="BR577" s="283"/>
      <c r="BS577" s="276"/>
    </row>
    <row r="578" spans="12:71" ht="12" customHeight="1">
      <c r="L578" s="283"/>
      <c r="M578" s="276"/>
      <c r="N578" s="283"/>
      <c r="O578" s="276"/>
      <c r="P578" s="283"/>
      <c r="Q578" s="276"/>
      <c r="S578" s="283"/>
      <c r="T578" s="276"/>
      <c r="W578" s="283"/>
      <c r="X578" s="276"/>
      <c r="Y578" s="283"/>
      <c r="Z578" s="276"/>
      <c r="AA578" s="283"/>
      <c r="AB578" s="276"/>
      <c r="AC578" s="283"/>
      <c r="AE578" s="283"/>
      <c r="AF578" s="276"/>
      <c r="AI578" s="283"/>
      <c r="AJ578" s="276"/>
      <c r="AK578" s="283"/>
      <c r="AL578" s="276"/>
      <c r="AM578" s="283"/>
      <c r="AN578" s="276"/>
      <c r="AO578" s="283"/>
      <c r="AP578" s="276"/>
      <c r="AQ578" s="283"/>
      <c r="AR578" s="276"/>
      <c r="AT578" s="283"/>
      <c r="AU578" s="276"/>
      <c r="AV578" s="283"/>
      <c r="AW578" s="276"/>
      <c r="AX578" s="283"/>
      <c r="AY578" s="276"/>
      <c r="AZ578" s="283"/>
      <c r="BA578" s="276"/>
      <c r="BB578" s="283"/>
      <c r="BC578" s="276"/>
      <c r="BD578" s="283"/>
      <c r="BE578" s="276"/>
      <c r="BG578" s="283"/>
      <c r="BH578" s="276"/>
      <c r="BI578" s="283"/>
      <c r="BJ578" s="276"/>
      <c r="BK578" s="283"/>
      <c r="BL578" s="276"/>
      <c r="BM578" s="283"/>
      <c r="BN578" s="276"/>
      <c r="BO578" s="283"/>
      <c r="BP578" s="276"/>
      <c r="BQ578" s="283"/>
      <c r="BR578" s="283"/>
      <c r="BS578" s="276"/>
    </row>
    <row r="579" spans="12:71" ht="12" customHeight="1">
      <c r="L579" s="283"/>
      <c r="M579" s="276"/>
      <c r="N579" s="283"/>
      <c r="O579" s="276"/>
      <c r="P579" s="283"/>
      <c r="Q579" s="276"/>
      <c r="S579" s="283"/>
      <c r="T579" s="276"/>
      <c r="W579" s="283"/>
      <c r="X579" s="276"/>
      <c r="Y579" s="283"/>
      <c r="Z579" s="276"/>
      <c r="AA579" s="283"/>
      <c r="AB579" s="276"/>
      <c r="AC579" s="283"/>
      <c r="AE579" s="283"/>
      <c r="AF579" s="276"/>
      <c r="AI579" s="283"/>
      <c r="AJ579" s="276"/>
      <c r="AK579" s="283"/>
      <c r="AL579" s="276"/>
      <c r="AM579" s="283"/>
      <c r="AN579" s="276"/>
      <c r="AO579" s="283"/>
      <c r="AP579" s="276"/>
      <c r="AQ579" s="283"/>
      <c r="AR579" s="276"/>
      <c r="AT579" s="283"/>
      <c r="AU579" s="276"/>
      <c r="AV579" s="283"/>
      <c r="AW579" s="276"/>
      <c r="AX579" s="283"/>
      <c r="AY579" s="276"/>
      <c r="AZ579" s="283"/>
      <c r="BA579" s="276"/>
      <c r="BB579" s="283"/>
      <c r="BC579" s="276"/>
      <c r="BD579" s="283"/>
      <c r="BE579" s="276"/>
      <c r="BG579" s="283"/>
      <c r="BH579" s="276"/>
      <c r="BI579" s="283"/>
      <c r="BJ579" s="276"/>
      <c r="BK579" s="283"/>
      <c r="BL579" s="276"/>
      <c r="BM579" s="283"/>
      <c r="BN579" s="276"/>
      <c r="BO579" s="283"/>
      <c r="BP579" s="276"/>
      <c r="BQ579" s="283"/>
      <c r="BR579" s="283"/>
      <c r="BS579" s="276"/>
    </row>
    <row r="580" spans="12:71" ht="12" customHeight="1">
      <c r="L580" s="283"/>
      <c r="M580" s="276"/>
      <c r="N580" s="283"/>
      <c r="O580" s="276"/>
      <c r="P580" s="283"/>
      <c r="Q580" s="276"/>
      <c r="S580" s="283"/>
      <c r="T580" s="276"/>
      <c r="W580" s="283"/>
      <c r="X580" s="276"/>
      <c r="Y580" s="283"/>
      <c r="Z580" s="276"/>
      <c r="AA580" s="283"/>
      <c r="AB580" s="276"/>
      <c r="AC580" s="283"/>
      <c r="AE580" s="283"/>
      <c r="AF580" s="276"/>
      <c r="AI580" s="283"/>
      <c r="AJ580" s="276"/>
      <c r="AK580" s="283"/>
      <c r="AL580" s="276"/>
      <c r="AM580" s="283"/>
      <c r="AN580" s="276"/>
      <c r="AO580" s="283"/>
      <c r="AP580" s="276"/>
      <c r="AQ580" s="283"/>
      <c r="AR580" s="276"/>
      <c r="AT580" s="283"/>
      <c r="AU580" s="276"/>
      <c r="AV580" s="283"/>
      <c r="AW580" s="276"/>
      <c r="AX580" s="283"/>
      <c r="AY580" s="276"/>
      <c r="AZ580" s="283"/>
      <c r="BA580" s="276"/>
      <c r="BB580" s="283"/>
      <c r="BC580" s="276"/>
      <c r="BD580" s="283"/>
      <c r="BE580" s="276"/>
      <c r="BG580" s="283"/>
      <c r="BH580" s="276"/>
      <c r="BI580" s="283"/>
      <c r="BJ580" s="276"/>
      <c r="BK580" s="283"/>
      <c r="BL580" s="276"/>
      <c r="BM580" s="283"/>
      <c r="BN580" s="276"/>
      <c r="BO580" s="283"/>
      <c r="BP580" s="276"/>
      <c r="BQ580" s="283"/>
      <c r="BR580" s="283"/>
      <c r="BS580" s="276"/>
    </row>
    <row r="581" spans="12:71" ht="12" customHeight="1">
      <c r="L581" s="283"/>
      <c r="M581" s="276"/>
      <c r="N581" s="283"/>
      <c r="O581" s="276"/>
      <c r="P581" s="283"/>
      <c r="Q581" s="276"/>
      <c r="S581" s="283"/>
      <c r="T581" s="276"/>
      <c r="W581" s="283"/>
      <c r="X581" s="276"/>
      <c r="Y581" s="283"/>
      <c r="Z581" s="276"/>
      <c r="AA581" s="283"/>
      <c r="AB581" s="276"/>
      <c r="AC581" s="283"/>
      <c r="AE581" s="283"/>
      <c r="AF581" s="276"/>
      <c r="AI581" s="283"/>
      <c r="AJ581" s="276"/>
      <c r="AK581" s="283"/>
      <c r="AL581" s="276"/>
      <c r="AM581" s="283"/>
      <c r="AN581" s="276"/>
      <c r="AO581" s="283"/>
      <c r="AP581" s="276"/>
      <c r="AQ581" s="283"/>
      <c r="AR581" s="276"/>
      <c r="AT581" s="283"/>
      <c r="AU581" s="276"/>
      <c r="AV581" s="283"/>
      <c r="AW581" s="276"/>
      <c r="AX581" s="283"/>
      <c r="AY581" s="276"/>
      <c r="AZ581" s="283"/>
      <c r="BA581" s="276"/>
      <c r="BB581" s="283"/>
      <c r="BC581" s="276"/>
      <c r="BD581" s="283"/>
      <c r="BE581" s="276"/>
      <c r="BG581" s="283"/>
      <c r="BH581" s="276"/>
      <c r="BI581" s="283"/>
      <c r="BJ581" s="276"/>
      <c r="BK581" s="283"/>
      <c r="BL581" s="276"/>
      <c r="BM581" s="283"/>
      <c r="BN581" s="276"/>
      <c r="BO581" s="283"/>
      <c r="BP581" s="276"/>
      <c r="BQ581" s="283"/>
      <c r="BR581" s="283"/>
      <c r="BS581" s="276"/>
    </row>
    <row r="582" spans="12:71" ht="12" customHeight="1">
      <c r="L582" s="283"/>
      <c r="M582" s="276"/>
      <c r="N582" s="283"/>
      <c r="O582" s="276"/>
      <c r="P582" s="283"/>
      <c r="Q582" s="276"/>
      <c r="S582" s="283"/>
      <c r="T582" s="276"/>
      <c r="W582" s="283"/>
      <c r="X582" s="276"/>
      <c r="Y582" s="283"/>
      <c r="Z582" s="276"/>
      <c r="AA582" s="283"/>
      <c r="AB582" s="276"/>
      <c r="AC582" s="283"/>
      <c r="AE582" s="283"/>
      <c r="AF582" s="276"/>
      <c r="AI582" s="283"/>
      <c r="AJ582" s="276"/>
      <c r="AK582" s="283"/>
      <c r="AL582" s="276"/>
      <c r="AM582" s="283"/>
      <c r="AN582" s="276"/>
      <c r="AO582" s="283"/>
      <c r="AP582" s="276"/>
      <c r="AQ582" s="283"/>
      <c r="AR582" s="276"/>
      <c r="AT582" s="283"/>
      <c r="AU582" s="276"/>
      <c r="AV582" s="283"/>
      <c r="AW582" s="276"/>
      <c r="AX582" s="283"/>
      <c r="AY582" s="276"/>
      <c r="AZ582" s="283"/>
      <c r="BA582" s="276"/>
      <c r="BB582" s="283"/>
      <c r="BC582" s="276"/>
      <c r="BD582" s="283"/>
      <c r="BE582" s="276"/>
      <c r="BG582" s="283"/>
      <c r="BH582" s="276"/>
      <c r="BI582" s="283"/>
      <c r="BJ582" s="276"/>
      <c r="BK582" s="283"/>
      <c r="BL582" s="276"/>
      <c r="BM582" s="283"/>
      <c r="BN582" s="276"/>
      <c r="BO582" s="283"/>
      <c r="BP582" s="276"/>
      <c r="BQ582" s="283"/>
      <c r="BR582" s="283"/>
      <c r="BS582" s="276"/>
    </row>
    <row r="583" spans="12:71" ht="12" customHeight="1">
      <c r="L583" s="283"/>
      <c r="M583" s="276"/>
      <c r="N583" s="283"/>
      <c r="O583" s="276"/>
      <c r="P583" s="283"/>
      <c r="Q583" s="276"/>
      <c r="S583" s="283"/>
      <c r="T583" s="276"/>
      <c r="W583" s="283"/>
      <c r="X583" s="276"/>
      <c r="Y583" s="283"/>
      <c r="Z583" s="276"/>
      <c r="AA583" s="283"/>
      <c r="AB583" s="276"/>
      <c r="AC583" s="283"/>
      <c r="AE583" s="283"/>
      <c r="AF583" s="276"/>
      <c r="AI583" s="283"/>
      <c r="AJ583" s="276"/>
      <c r="AK583" s="283"/>
      <c r="AL583" s="276"/>
      <c r="AM583" s="283"/>
      <c r="AN583" s="276"/>
      <c r="AO583" s="283"/>
      <c r="AP583" s="276"/>
      <c r="AQ583" s="283"/>
      <c r="AR583" s="276"/>
      <c r="AT583" s="283"/>
      <c r="AU583" s="276"/>
      <c r="AV583" s="283"/>
      <c r="AW583" s="276"/>
      <c r="AX583" s="283"/>
      <c r="AY583" s="276"/>
      <c r="AZ583" s="283"/>
      <c r="BA583" s="276"/>
      <c r="BB583" s="283"/>
      <c r="BC583" s="276"/>
      <c r="BD583" s="283"/>
      <c r="BE583" s="276"/>
      <c r="BG583" s="283"/>
      <c r="BH583" s="276"/>
      <c r="BI583" s="283"/>
      <c r="BJ583" s="276"/>
      <c r="BK583" s="283"/>
      <c r="BL583" s="276"/>
      <c r="BM583" s="283"/>
      <c r="BN583" s="276"/>
      <c r="BO583" s="283"/>
      <c r="BP583" s="276"/>
      <c r="BQ583" s="283"/>
      <c r="BR583" s="283"/>
      <c r="BS583" s="276"/>
    </row>
    <row r="584" spans="12:71" ht="12" customHeight="1">
      <c r="L584" s="283"/>
      <c r="M584" s="276"/>
      <c r="N584" s="283"/>
      <c r="O584" s="276"/>
      <c r="P584" s="283"/>
      <c r="Q584" s="276"/>
      <c r="S584" s="283"/>
      <c r="T584" s="276"/>
      <c r="W584" s="283"/>
      <c r="X584" s="276"/>
      <c r="Y584" s="283"/>
      <c r="Z584" s="276"/>
      <c r="AA584" s="283"/>
      <c r="AB584" s="276"/>
      <c r="AC584" s="283"/>
      <c r="AE584" s="283"/>
      <c r="AF584" s="276"/>
      <c r="AI584" s="283"/>
      <c r="AJ584" s="276"/>
      <c r="AK584" s="283"/>
      <c r="AL584" s="276"/>
      <c r="AM584" s="283"/>
      <c r="AN584" s="276"/>
      <c r="AO584" s="283"/>
      <c r="AP584" s="276"/>
      <c r="AQ584" s="283"/>
      <c r="AR584" s="276"/>
      <c r="AT584" s="283"/>
      <c r="AU584" s="276"/>
      <c r="AV584" s="283"/>
      <c r="AW584" s="276"/>
      <c r="AX584" s="283"/>
      <c r="AY584" s="276"/>
      <c r="AZ584" s="283"/>
      <c r="BA584" s="276"/>
      <c r="BB584" s="283"/>
      <c r="BC584" s="276"/>
      <c r="BD584" s="283"/>
      <c r="BE584" s="276"/>
      <c r="BG584" s="283"/>
      <c r="BH584" s="276"/>
      <c r="BI584" s="283"/>
      <c r="BJ584" s="276"/>
      <c r="BK584" s="283"/>
      <c r="BL584" s="276"/>
      <c r="BM584" s="283"/>
      <c r="BN584" s="276"/>
      <c r="BO584" s="283"/>
      <c r="BP584" s="276"/>
      <c r="BQ584" s="283"/>
      <c r="BR584" s="283"/>
      <c r="BS584" s="276"/>
    </row>
    <row r="585" spans="12:71" ht="12" customHeight="1">
      <c r="L585" s="283"/>
      <c r="M585" s="276"/>
      <c r="N585" s="283"/>
      <c r="O585" s="276"/>
      <c r="P585" s="283"/>
      <c r="Q585" s="276"/>
      <c r="S585" s="283"/>
      <c r="T585" s="276"/>
      <c r="W585" s="283"/>
      <c r="X585" s="276"/>
      <c r="Y585" s="283"/>
      <c r="Z585" s="276"/>
      <c r="AA585" s="283"/>
      <c r="AB585" s="276"/>
      <c r="AC585" s="283"/>
      <c r="AE585" s="283"/>
      <c r="AF585" s="276"/>
      <c r="AI585" s="283"/>
      <c r="AJ585" s="276"/>
      <c r="AK585" s="283"/>
      <c r="AL585" s="276"/>
      <c r="AM585" s="283"/>
      <c r="AN585" s="276"/>
      <c r="AO585" s="283"/>
      <c r="AP585" s="276"/>
      <c r="AQ585" s="283"/>
      <c r="AR585" s="276"/>
      <c r="AT585" s="283"/>
      <c r="AU585" s="276"/>
      <c r="AV585" s="283"/>
      <c r="AW585" s="276"/>
      <c r="AX585" s="283"/>
      <c r="AY585" s="276"/>
      <c r="AZ585" s="283"/>
      <c r="BA585" s="276"/>
      <c r="BB585" s="283"/>
      <c r="BC585" s="276"/>
      <c r="BD585" s="283"/>
      <c r="BE585" s="276"/>
      <c r="BG585" s="283"/>
      <c r="BH585" s="276"/>
      <c r="BI585" s="283"/>
      <c r="BJ585" s="276"/>
      <c r="BK585" s="283"/>
      <c r="BL585" s="276"/>
      <c r="BM585" s="283"/>
      <c r="BN585" s="276"/>
      <c r="BO585" s="283"/>
      <c r="BP585" s="276"/>
      <c r="BQ585" s="283"/>
      <c r="BR585" s="283"/>
      <c r="BS585" s="276"/>
    </row>
    <row r="586" spans="12:71" ht="12" customHeight="1">
      <c r="L586" s="283"/>
      <c r="M586" s="276"/>
      <c r="N586" s="283"/>
      <c r="O586" s="276"/>
      <c r="P586" s="283"/>
      <c r="Q586" s="276"/>
      <c r="S586" s="283"/>
      <c r="T586" s="276"/>
      <c r="W586" s="283"/>
      <c r="X586" s="276"/>
      <c r="Y586" s="283"/>
      <c r="Z586" s="276"/>
      <c r="AA586" s="283"/>
      <c r="AB586" s="276"/>
      <c r="AC586" s="283"/>
      <c r="AE586" s="283"/>
      <c r="AF586" s="276"/>
      <c r="AI586" s="283"/>
      <c r="AJ586" s="276"/>
      <c r="AK586" s="283"/>
      <c r="AL586" s="276"/>
      <c r="AM586" s="283"/>
      <c r="AN586" s="276"/>
      <c r="AO586" s="283"/>
      <c r="AP586" s="276"/>
      <c r="AQ586" s="283"/>
      <c r="AR586" s="276"/>
      <c r="AT586" s="283"/>
      <c r="AU586" s="276"/>
      <c r="AV586" s="283"/>
      <c r="AW586" s="276"/>
      <c r="AX586" s="283"/>
      <c r="AY586" s="276"/>
      <c r="AZ586" s="283"/>
      <c r="BA586" s="276"/>
      <c r="BB586" s="283"/>
      <c r="BC586" s="276"/>
      <c r="BD586" s="283"/>
      <c r="BE586" s="276"/>
      <c r="BG586" s="283"/>
      <c r="BH586" s="276"/>
      <c r="BI586" s="283"/>
      <c r="BJ586" s="276"/>
      <c r="BK586" s="283"/>
      <c r="BL586" s="276"/>
      <c r="BM586" s="283"/>
      <c r="BN586" s="276"/>
      <c r="BO586" s="283"/>
      <c r="BP586" s="276"/>
      <c r="BQ586" s="283"/>
      <c r="BR586" s="283"/>
      <c r="BS586" s="276"/>
    </row>
    <row r="587" spans="12:71" ht="12" customHeight="1">
      <c r="L587" s="283"/>
      <c r="M587" s="276"/>
      <c r="N587" s="283"/>
      <c r="O587" s="276"/>
      <c r="P587" s="283"/>
      <c r="Q587" s="276"/>
      <c r="S587" s="283"/>
      <c r="T587" s="276"/>
      <c r="W587" s="283"/>
      <c r="X587" s="276"/>
      <c r="Y587" s="283"/>
      <c r="Z587" s="276"/>
      <c r="AA587" s="283"/>
      <c r="AB587" s="276"/>
      <c r="AC587" s="283"/>
      <c r="AE587" s="283"/>
      <c r="AF587" s="276"/>
      <c r="AI587" s="283"/>
      <c r="AJ587" s="276"/>
      <c r="AK587" s="283"/>
      <c r="AL587" s="276"/>
      <c r="AM587" s="283"/>
      <c r="AN587" s="276"/>
      <c r="AO587" s="283"/>
      <c r="AP587" s="276"/>
      <c r="AQ587" s="283"/>
      <c r="AR587" s="276"/>
      <c r="AT587" s="283"/>
      <c r="AU587" s="276"/>
      <c r="AV587" s="283"/>
      <c r="AW587" s="276"/>
      <c r="AX587" s="283"/>
      <c r="AY587" s="276"/>
      <c r="AZ587" s="283"/>
      <c r="BA587" s="276"/>
      <c r="BB587" s="283"/>
      <c r="BC587" s="276"/>
      <c r="BD587" s="283"/>
      <c r="BE587" s="276"/>
      <c r="BG587" s="283"/>
      <c r="BH587" s="276"/>
      <c r="BI587" s="283"/>
      <c r="BJ587" s="276"/>
      <c r="BK587" s="283"/>
      <c r="BL587" s="276"/>
      <c r="BM587" s="283"/>
      <c r="BN587" s="276"/>
      <c r="BO587" s="283"/>
      <c r="BP587" s="276"/>
      <c r="BQ587" s="283"/>
      <c r="BR587" s="283"/>
      <c r="BS587" s="276"/>
    </row>
    <row r="588" spans="12:71" ht="12" customHeight="1">
      <c r="L588" s="283"/>
      <c r="M588" s="276"/>
      <c r="N588" s="283"/>
      <c r="O588" s="276"/>
      <c r="P588" s="283"/>
      <c r="Q588" s="276"/>
      <c r="S588" s="283"/>
      <c r="T588" s="276"/>
      <c r="W588" s="283"/>
      <c r="X588" s="276"/>
      <c r="Y588" s="283"/>
      <c r="Z588" s="276"/>
      <c r="AA588" s="283"/>
      <c r="AB588" s="276"/>
      <c r="AC588" s="283"/>
      <c r="AE588" s="283"/>
      <c r="AF588" s="276"/>
      <c r="AI588" s="283"/>
      <c r="AJ588" s="276"/>
      <c r="AK588" s="283"/>
      <c r="AL588" s="276"/>
      <c r="AM588" s="283"/>
      <c r="AN588" s="276"/>
      <c r="AO588" s="283"/>
      <c r="AP588" s="276"/>
      <c r="AQ588" s="283"/>
      <c r="AR588" s="276"/>
      <c r="AT588" s="283"/>
      <c r="AU588" s="276"/>
      <c r="AV588" s="283"/>
      <c r="AW588" s="276"/>
      <c r="AX588" s="283"/>
      <c r="AY588" s="276"/>
      <c r="AZ588" s="283"/>
      <c r="BA588" s="276"/>
      <c r="BB588" s="283"/>
      <c r="BC588" s="276"/>
      <c r="BD588" s="283"/>
      <c r="BE588" s="276"/>
      <c r="BG588" s="283"/>
      <c r="BH588" s="276"/>
      <c r="BI588" s="283"/>
      <c r="BJ588" s="276"/>
      <c r="BK588" s="283"/>
      <c r="BL588" s="276"/>
      <c r="BM588" s="283"/>
      <c r="BN588" s="276"/>
      <c r="BO588" s="283"/>
      <c r="BP588" s="276"/>
      <c r="BQ588" s="283"/>
      <c r="BR588" s="283"/>
      <c r="BS588" s="276"/>
    </row>
    <row r="589" spans="12:71" ht="12" customHeight="1">
      <c r="L589" s="283"/>
      <c r="M589" s="276"/>
      <c r="N589" s="283"/>
      <c r="O589" s="276"/>
      <c r="P589" s="283"/>
      <c r="Q589" s="276"/>
      <c r="S589" s="283"/>
      <c r="T589" s="276"/>
      <c r="W589" s="283"/>
      <c r="X589" s="276"/>
      <c r="Y589" s="283"/>
      <c r="Z589" s="276"/>
      <c r="AA589" s="283"/>
      <c r="AB589" s="276"/>
      <c r="AC589" s="283"/>
      <c r="AE589" s="283"/>
      <c r="AF589" s="276"/>
      <c r="AI589" s="283"/>
      <c r="AJ589" s="276"/>
      <c r="AK589" s="283"/>
      <c r="AL589" s="276"/>
      <c r="AM589" s="283"/>
      <c r="AN589" s="276"/>
      <c r="AO589" s="283"/>
      <c r="AP589" s="276"/>
      <c r="AQ589" s="283"/>
      <c r="AR589" s="276"/>
      <c r="AT589" s="283"/>
      <c r="AU589" s="276"/>
      <c r="AV589" s="283"/>
      <c r="AW589" s="276"/>
      <c r="AX589" s="283"/>
      <c r="AY589" s="276"/>
      <c r="AZ589" s="283"/>
      <c r="BA589" s="276"/>
      <c r="BB589" s="283"/>
      <c r="BC589" s="276"/>
      <c r="BD589" s="283"/>
      <c r="BE589" s="276"/>
      <c r="BG589" s="283"/>
      <c r="BH589" s="276"/>
      <c r="BI589" s="283"/>
      <c r="BJ589" s="276"/>
      <c r="BK589" s="283"/>
      <c r="BL589" s="276"/>
      <c r="BM589" s="283"/>
      <c r="BN589" s="276"/>
      <c r="BO589" s="283"/>
      <c r="BP589" s="276"/>
      <c r="BQ589" s="283"/>
      <c r="BR589" s="283"/>
      <c r="BS589" s="276"/>
    </row>
    <row r="590" spans="12:71" ht="12" customHeight="1">
      <c r="L590" s="283"/>
      <c r="M590" s="276"/>
      <c r="N590" s="283"/>
      <c r="O590" s="276"/>
      <c r="P590" s="283"/>
      <c r="Q590" s="276"/>
      <c r="S590" s="283"/>
      <c r="T590" s="276"/>
      <c r="W590" s="283"/>
      <c r="X590" s="276"/>
      <c r="Y590" s="283"/>
      <c r="Z590" s="276"/>
      <c r="AA590" s="283"/>
      <c r="AB590" s="276"/>
      <c r="AC590" s="283"/>
      <c r="AE590" s="283"/>
      <c r="AF590" s="276"/>
      <c r="AI590" s="283"/>
      <c r="AJ590" s="276"/>
      <c r="AK590" s="283"/>
      <c r="AL590" s="276"/>
      <c r="AM590" s="283"/>
      <c r="AN590" s="276"/>
      <c r="AO590" s="283"/>
      <c r="AP590" s="276"/>
      <c r="AQ590" s="283"/>
      <c r="AR590" s="276"/>
      <c r="AT590" s="283"/>
      <c r="AU590" s="276"/>
      <c r="AV590" s="283"/>
      <c r="AW590" s="276"/>
      <c r="AX590" s="283"/>
      <c r="AY590" s="276"/>
      <c r="AZ590" s="283"/>
      <c r="BA590" s="276"/>
      <c r="BB590" s="283"/>
      <c r="BC590" s="276"/>
      <c r="BD590" s="283"/>
      <c r="BE590" s="276"/>
      <c r="BG590" s="283"/>
      <c r="BH590" s="276"/>
      <c r="BI590" s="283"/>
      <c r="BJ590" s="276"/>
      <c r="BK590" s="283"/>
      <c r="BL590" s="276"/>
      <c r="BM590" s="283"/>
      <c r="BN590" s="276"/>
      <c r="BO590" s="283"/>
      <c r="BP590" s="276"/>
      <c r="BQ590" s="283"/>
      <c r="BR590" s="283"/>
      <c r="BS590" s="276"/>
    </row>
    <row r="591" spans="12:71" ht="12" customHeight="1">
      <c r="L591" s="283"/>
      <c r="M591" s="276"/>
      <c r="N591" s="283"/>
      <c r="O591" s="276"/>
      <c r="P591" s="283"/>
      <c r="Q591" s="276"/>
      <c r="S591" s="283"/>
      <c r="T591" s="276"/>
      <c r="W591" s="283"/>
      <c r="X591" s="276"/>
      <c r="Y591" s="283"/>
      <c r="Z591" s="276"/>
      <c r="AA591" s="283"/>
      <c r="AB591" s="276"/>
      <c r="AC591" s="283"/>
      <c r="AE591" s="283"/>
      <c r="AF591" s="276"/>
      <c r="AI591" s="283"/>
      <c r="AJ591" s="276"/>
      <c r="AK591" s="283"/>
      <c r="AL591" s="276"/>
      <c r="AM591" s="283"/>
      <c r="AN591" s="276"/>
      <c r="AO591" s="283"/>
      <c r="AP591" s="276"/>
      <c r="AQ591" s="283"/>
      <c r="AR591" s="276"/>
      <c r="AT591" s="283"/>
      <c r="AU591" s="276"/>
      <c r="AV591" s="283"/>
      <c r="AW591" s="276"/>
      <c r="AX591" s="283"/>
      <c r="AY591" s="276"/>
      <c r="AZ591" s="283"/>
      <c r="BA591" s="276"/>
      <c r="BB591" s="283"/>
      <c r="BC591" s="276"/>
      <c r="BD591" s="283"/>
      <c r="BE591" s="276"/>
      <c r="BG591" s="283"/>
      <c r="BH591" s="276"/>
      <c r="BI591" s="283"/>
      <c r="BJ591" s="276"/>
      <c r="BK591" s="283"/>
      <c r="BL591" s="276"/>
      <c r="BM591" s="283"/>
      <c r="BN591" s="276"/>
      <c r="BO591" s="283"/>
      <c r="BP591" s="276"/>
      <c r="BQ591" s="283"/>
      <c r="BR591" s="283"/>
      <c r="BS591" s="276"/>
    </row>
    <row r="592" spans="12:71" ht="12" customHeight="1">
      <c r="L592" s="283"/>
      <c r="M592" s="276"/>
      <c r="N592" s="283"/>
      <c r="O592" s="276"/>
      <c r="P592" s="283"/>
      <c r="Q592" s="276"/>
      <c r="S592" s="283"/>
      <c r="T592" s="276"/>
      <c r="W592" s="283"/>
      <c r="X592" s="276"/>
      <c r="Y592" s="283"/>
      <c r="Z592" s="276"/>
      <c r="AA592" s="283"/>
      <c r="AB592" s="276"/>
      <c r="AC592" s="283"/>
      <c r="AE592" s="283"/>
      <c r="AF592" s="276"/>
      <c r="AI592" s="283"/>
      <c r="AJ592" s="276"/>
      <c r="AK592" s="283"/>
      <c r="AL592" s="276"/>
      <c r="AM592" s="283"/>
      <c r="AN592" s="276"/>
      <c r="AO592" s="283"/>
      <c r="AP592" s="276"/>
      <c r="AQ592" s="283"/>
      <c r="AR592" s="276"/>
      <c r="AT592" s="283"/>
      <c r="AU592" s="276"/>
      <c r="AV592" s="283"/>
      <c r="AW592" s="276"/>
      <c r="AX592" s="283"/>
      <c r="AY592" s="276"/>
      <c r="AZ592" s="283"/>
      <c r="BA592" s="276"/>
      <c r="BB592" s="283"/>
      <c r="BC592" s="276"/>
      <c r="BD592" s="283"/>
      <c r="BE592" s="276"/>
      <c r="BG592" s="283"/>
      <c r="BH592" s="276"/>
      <c r="BI592" s="283"/>
      <c r="BJ592" s="276"/>
      <c r="BK592" s="283"/>
      <c r="BL592" s="276"/>
      <c r="BM592" s="283"/>
      <c r="BN592" s="276"/>
      <c r="BO592" s="283"/>
      <c r="BP592" s="276"/>
      <c r="BQ592" s="283"/>
      <c r="BR592" s="283"/>
      <c r="BS592" s="276"/>
    </row>
    <row r="593" spans="12:71" ht="12" customHeight="1">
      <c r="L593" s="283"/>
      <c r="M593" s="276"/>
      <c r="N593" s="283"/>
      <c r="O593" s="276"/>
      <c r="P593" s="283"/>
      <c r="Q593" s="276"/>
      <c r="S593" s="283"/>
      <c r="T593" s="276"/>
      <c r="W593" s="283"/>
      <c r="X593" s="276"/>
      <c r="Y593" s="283"/>
      <c r="Z593" s="276"/>
      <c r="AA593" s="283"/>
      <c r="AB593" s="276"/>
      <c r="AC593" s="283"/>
      <c r="AE593" s="283"/>
      <c r="AF593" s="276"/>
      <c r="AI593" s="283"/>
      <c r="AJ593" s="276"/>
      <c r="AK593" s="283"/>
      <c r="AL593" s="276"/>
      <c r="AM593" s="283"/>
      <c r="AN593" s="276"/>
      <c r="AO593" s="283"/>
      <c r="AP593" s="276"/>
      <c r="AQ593" s="283"/>
      <c r="AR593" s="276"/>
      <c r="AT593" s="283"/>
      <c r="AU593" s="276"/>
      <c r="AV593" s="283"/>
      <c r="AW593" s="276"/>
      <c r="AX593" s="283"/>
      <c r="AY593" s="276"/>
      <c r="AZ593" s="283"/>
      <c r="BA593" s="276"/>
      <c r="BB593" s="283"/>
      <c r="BC593" s="276"/>
      <c r="BD593" s="283"/>
      <c r="BE593" s="276"/>
      <c r="BG593" s="283"/>
      <c r="BH593" s="276"/>
      <c r="BI593" s="283"/>
      <c r="BJ593" s="276"/>
      <c r="BK593" s="283"/>
      <c r="BL593" s="276"/>
      <c r="BM593" s="283"/>
      <c r="BN593" s="276"/>
      <c r="BO593" s="283"/>
      <c r="BP593" s="276"/>
      <c r="BQ593" s="283"/>
      <c r="BR593" s="283"/>
      <c r="BS593" s="276"/>
    </row>
    <row r="594" spans="12:71" ht="12" customHeight="1">
      <c r="L594" s="283"/>
      <c r="M594" s="276"/>
      <c r="N594" s="283"/>
      <c r="O594" s="276"/>
      <c r="P594" s="283"/>
      <c r="Q594" s="276"/>
      <c r="S594" s="283"/>
      <c r="T594" s="276"/>
      <c r="W594" s="283"/>
      <c r="X594" s="276"/>
      <c r="Y594" s="283"/>
      <c r="Z594" s="276"/>
      <c r="AA594" s="283"/>
      <c r="AB594" s="276"/>
      <c r="AC594" s="283"/>
      <c r="AE594" s="283"/>
      <c r="AF594" s="276"/>
      <c r="AI594" s="283"/>
      <c r="AJ594" s="276"/>
      <c r="AK594" s="283"/>
      <c r="AL594" s="276"/>
      <c r="AM594" s="283"/>
      <c r="AN594" s="276"/>
      <c r="AO594" s="283"/>
      <c r="AP594" s="276"/>
      <c r="AQ594" s="283"/>
      <c r="AR594" s="276"/>
      <c r="AT594" s="283"/>
      <c r="AU594" s="276"/>
      <c r="AV594" s="283"/>
      <c r="AW594" s="276"/>
      <c r="AX594" s="283"/>
      <c r="AY594" s="276"/>
      <c r="AZ594" s="283"/>
      <c r="BA594" s="276"/>
      <c r="BB594" s="283"/>
      <c r="BC594" s="276"/>
      <c r="BD594" s="283"/>
      <c r="BE594" s="276"/>
      <c r="BG594" s="283"/>
      <c r="BH594" s="276"/>
      <c r="BI594" s="283"/>
      <c r="BJ594" s="276"/>
      <c r="BK594" s="283"/>
      <c r="BL594" s="276"/>
      <c r="BM594" s="283"/>
      <c r="BN594" s="276"/>
      <c r="BO594" s="283"/>
      <c r="BP594" s="276"/>
      <c r="BQ594" s="283"/>
      <c r="BR594" s="283"/>
      <c r="BS594" s="276"/>
    </row>
    <row r="595" spans="12:71" ht="12" customHeight="1">
      <c r="L595" s="283"/>
      <c r="M595" s="276"/>
      <c r="N595" s="283"/>
      <c r="O595" s="276"/>
      <c r="P595" s="283"/>
      <c r="Q595" s="276"/>
      <c r="S595" s="283"/>
      <c r="T595" s="276"/>
      <c r="W595" s="283"/>
      <c r="X595" s="276"/>
      <c r="Y595" s="283"/>
      <c r="Z595" s="276"/>
      <c r="AA595" s="283"/>
      <c r="AB595" s="276"/>
      <c r="AC595" s="283"/>
      <c r="AE595" s="283"/>
      <c r="AF595" s="276"/>
      <c r="AI595" s="283"/>
      <c r="AJ595" s="276"/>
      <c r="AK595" s="283"/>
      <c r="AL595" s="276"/>
      <c r="AM595" s="283"/>
      <c r="AN595" s="276"/>
      <c r="AO595" s="283"/>
      <c r="AP595" s="276"/>
      <c r="AQ595" s="283"/>
      <c r="AR595" s="276"/>
      <c r="AT595" s="283"/>
      <c r="AU595" s="276"/>
      <c r="AV595" s="283"/>
      <c r="AW595" s="276"/>
      <c r="AX595" s="283"/>
      <c r="AY595" s="276"/>
      <c r="AZ595" s="283"/>
      <c r="BA595" s="276"/>
      <c r="BB595" s="283"/>
      <c r="BC595" s="276"/>
      <c r="BD595" s="283"/>
      <c r="BE595" s="276"/>
      <c r="BG595" s="283"/>
      <c r="BH595" s="276"/>
      <c r="BI595" s="283"/>
      <c r="BJ595" s="276"/>
      <c r="BK595" s="283"/>
      <c r="BL595" s="276"/>
      <c r="BM595" s="283"/>
      <c r="BN595" s="276"/>
      <c r="BO595" s="283"/>
      <c r="BP595" s="276"/>
      <c r="BQ595" s="283"/>
      <c r="BR595" s="283"/>
      <c r="BS595" s="276"/>
    </row>
    <row r="596" spans="12:71" ht="12" customHeight="1">
      <c r="L596" s="283"/>
      <c r="M596" s="276"/>
      <c r="N596" s="283"/>
      <c r="O596" s="276"/>
      <c r="P596" s="283"/>
      <c r="Q596" s="276"/>
      <c r="S596" s="283"/>
      <c r="T596" s="276"/>
      <c r="W596" s="283"/>
      <c r="X596" s="276"/>
      <c r="Y596" s="283"/>
      <c r="Z596" s="276"/>
      <c r="AA596" s="283"/>
      <c r="AB596" s="276"/>
      <c r="AC596" s="283"/>
      <c r="AE596" s="283"/>
      <c r="AF596" s="276"/>
      <c r="AI596" s="283"/>
      <c r="AJ596" s="276"/>
      <c r="AK596" s="283"/>
      <c r="AL596" s="276"/>
      <c r="AM596" s="283"/>
      <c r="AN596" s="276"/>
      <c r="AO596" s="283"/>
      <c r="AP596" s="276"/>
      <c r="AQ596" s="283"/>
      <c r="AR596" s="276"/>
      <c r="AT596" s="283"/>
      <c r="AU596" s="276"/>
      <c r="AV596" s="283"/>
      <c r="AW596" s="276"/>
      <c r="AX596" s="283"/>
      <c r="AY596" s="276"/>
      <c r="AZ596" s="283"/>
      <c r="BA596" s="276"/>
      <c r="BB596" s="283"/>
      <c r="BC596" s="276"/>
      <c r="BD596" s="283"/>
      <c r="BE596" s="276"/>
      <c r="BG596" s="283"/>
      <c r="BH596" s="276"/>
      <c r="BI596" s="283"/>
      <c r="BJ596" s="276"/>
      <c r="BK596" s="283"/>
      <c r="BL596" s="276"/>
      <c r="BM596" s="283"/>
      <c r="BN596" s="276"/>
      <c r="BO596" s="283"/>
      <c r="BP596" s="276"/>
      <c r="BQ596" s="283"/>
      <c r="BR596" s="283"/>
      <c r="BS596" s="276"/>
    </row>
    <row r="597" spans="12:71" ht="12" customHeight="1">
      <c r="L597" s="283"/>
      <c r="M597" s="276"/>
      <c r="N597" s="283"/>
      <c r="O597" s="276"/>
      <c r="P597" s="283"/>
      <c r="Q597" s="276"/>
      <c r="S597" s="283"/>
      <c r="T597" s="276"/>
      <c r="W597" s="283"/>
      <c r="X597" s="276"/>
      <c r="Y597" s="283"/>
      <c r="Z597" s="276"/>
      <c r="AA597" s="283"/>
      <c r="AB597" s="276"/>
      <c r="AC597" s="283"/>
      <c r="AE597" s="283"/>
      <c r="AF597" s="276"/>
      <c r="AI597" s="283"/>
      <c r="AJ597" s="276"/>
      <c r="AK597" s="283"/>
      <c r="AL597" s="276"/>
      <c r="AM597" s="283"/>
      <c r="AN597" s="276"/>
      <c r="AO597" s="283"/>
      <c r="AP597" s="276"/>
      <c r="AQ597" s="283"/>
      <c r="AR597" s="276"/>
      <c r="AT597" s="283"/>
      <c r="AU597" s="276"/>
      <c r="AV597" s="283"/>
      <c r="AW597" s="276"/>
      <c r="AX597" s="283"/>
      <c r="AY597" s="276"/>
      <c r="AZ597" s="283"/>
      <c r="BA597" s="276"/>
      <c r="BB597" s="283"/>
      <c r="BC597" s="276"/>
      <c r="BD597" s="283"/>
      <c r="BE597" s="276"/>
      <c r="BG597" s="283"/>
      <c r="BH597" s="276"/>
      <c r="BI597" s="283"/>
      <c r="BJ597" s="276"/>
      <c r="BK597" s="283"/>
      <c r="BL597" s="276"/>
      <c r="BM597" s="283"/>
      <c r="BN597" s="276"/>
      <c r="BO597" s="283"/>
      <c r="BP597" s="276"/>
      <c r="BQ597" s="283"/>
      <c r="BR597" s="283"/>
      <c r="BS597" s="276"/>
    </row>
    <row r="598" spans="12:71" ht="12" customHeight="1">
      <c r="L598" s="283"/>
      <c r="M598" s="276"/>
      <c r="N598" s="283"/>
      <c r="O598" s="276"/>
      <c r="P598" s="283"/>
      <c r="Q598" s="276"/>
      <c r="S598" s="283"/>
      <c r="T598" s="276"/>
      <c r="W598" s="283"/>
      <c r="X598" s="276"/>
      <c r="Y598" s="283"/>
      <c r="Z598" s="276"/>
      <c r="AA598" s="283"/>
      <c r="AB598" s="276"/>
      <c r="AC598" s="283"/>
      <c r="AE598" s="283"/>
      <c r="AF598" s="276"/>
      <c r="AI598" s="283"/>
      <c r="AJ598" s="276"/>
      <c r="AK598" s="283"/>
      <c r="AL598" s="276"/>
      <c r="AM598" s="283"/>
      <c r="AN598" s="276"/>
      <c r="AO598" s="283"/>
      <c r="AP598" s="276"/>
      <c r="AQ598" s="283"/>
      <c r="AR598" s="276"/>
      <c r="AT598" s="283"/>
      <c r="AU598" s="276"/>
      <c r="AV598" s="283"/>
      <c r="AW598" s="276"/>
      <c r="AX598" s="283"/>
      <c r="AY598" s="276"/>
      <c r="AZ598" s="283"/>
      <c r="BA598" s="276"/>
      <c r="BB598" s="283"/>
      <c r="BC598" s="276"/>
      <c r="BD598" s="283"/>
      <c r="BE598" s="276"/>
      <c r="BG598" s="283"/>
      <c r="BH598" s="276"/>
      <c r="BI598" s="283"/>
      <c r="BJ598" s="276"/>
      <c r="BK598" s="283"/>
      <c r="BL598" s="276"/>
      <c r="BM598" s="283"/>
      <c r="BN598" s="276"/>
      <c r="BO598" s="283"/>
      <c r="BP598" s="276"/>
      <c r="BQ598" s="283"/>
      <c r="BR598" s="283"/>
      <c r="BS598" s="276"/>
    </row>
    <row r="599" spans="12:71" ht="12" customHeight="1">
      <c r="L599" s="283"/>
      <c r="M599" s="276"/>
      <c r="N599" s="283"/>
      <c r="O599" s="276"/>
      <c r="P599" s="283"/>
      <c r="Q599" s="276"/>
      <c r="S599" s="283"/>
      <c r="T599" s="276"/>
      <c r="W599" s="283"/>
      <c r="X599" s="276"/>
      <c r="Y599" s="283"/>
      <c r="Z599" s="276"/>
      <c r="AA599" s="283"/>
      <c r="AB599" s="276"/>
      <c r="AC599" s="283"/>
      <c r="AE599" s="283"/>
      <c r="AF599" s="276"/>
      <c r="AI599" s="283"/>
      <c r="AJ599" s="276"/>
      <c r="AK599" s="283"/>
      <c r="AL599" s="276"/>
      <c r="AM599" s="283"/>
      <c r="AN599" s="276"/>
      <c r="AO599" s="283"/>
      <c r="AP599" s="276"/>
      <c r="AQ599" s="283"/>
      <c r="AR599" s="276"/>
      <c r="AT599" s="283"/>
      <c r="AU599" s="276"/>
      <c r="AV599" s="283"/>
      <c r="AW599" s="276"/>
      <c r="AX599" s="283"/>
      <c r="AY599" s="276"/>
      <c r="AZ599" s="283"/>
      <c r="BA599" s="276"/>
      <c r="BB599" s="283"/>
      <c r="BC599" s="276"/>
      <c r="BD599" s="283"/>
      <c r="BE599" s="276"/>
      <c r="BG599" s="283"/>
      <c r="BH599" s="276"/>
      <c r="BI599" s="283"/>
      <c r="BJ599" s="276"/>
      <c r="BK599" s="283"/>
      <c r="BL599" s="276"/>
      <c r="BM599" s="283"/>
      <c r="BN599" s="276"/>
      <c r="BO599" s="283"/>
      <c r="BP599" s="276"/>
      <c r="BQ599" s="283"/>
      <c r="BR599" s="283"/>
      <c r="BS599" s="276"/>
    </row>
    <row r="600" spans="12:71" ht="12" customHeight="1">
      <c r="L600" s="283"/>
      <c r="M600" s="276"/>
      <c r="N600" s="283"/>
      <c r="O600" s="276"/>
      <c r="P600" s="283"/>
      <c r="Q600" s="276"/>
      <c r="S600" s="283"/>
      <c r="T600" s="276"/>
      <c r="W600" s="283"/>
      <c r="X600" s="276"/>
      <c r="Y600" s="283"/>
      <c r="Z600" s="276"/>
      <c r="AA600" s="283"/>
      <c r="AB600" s="276"/>
      <c r="AC600" s="283"/>
      <c r="AE600" s="283"/>
      <c r="AF600" s="276"/>
      <c r="AI600" s="283"/>
      <c r="AJ600" s="276"/>
      <c r="AK600" s="283"/>
      <c r="AL600" s="276"/>
      <c r="AM600" s="283"/>
      <c r="AN600" s="276"/>
      <c r="AO600" s="283"/>
      <c r="AP600" s="276"/>
      <c r="AQ600" s="283"/>
      <c r="AR600" s="276"/>
      <c r="AT600" s="283"/>
      <c r="AU600" s="276"/>
      <c r="AV600" s="283"/>
      <c r="AW600" s="276"/>
      <c r="AX600" s="283"/>
      <c r="AY600" s="276"/>
      <c r="AZ600" s="283"/>
      <c r="BA600" s="276"/>
      <c r="BB600" s="283"/>
      <c r="BC600" s="276"/>
      <c r="BD600" s="283"/>
      <c r="BE600" s="276"/>
      <c r="BG600" s="283"/>
      <c r="BH600" s="276"/>
      <c r="BI600" s="283"/>
      <c r="BJ600" s="276"/>
      <c r="BK600" s="283"/>
      <c r="BL600" s="276"/>
      <c r="BM600" s="283"/>
      <c r="BN600" s="276"/>
      <c r="BO600" s="283"/>
      <c r="BP600" s="276"/>
      <c r="BQ600" s="283"/>
      <c r="BR600" s="283"/>
      <c r="BS600" s="276"/>
    </row>
    <row r="601" spans="12:71" ht="12" customHeight="1">
      <c r="L601" s="283"/>
      <c r="M601" s="276"/>
      <c r="N601" s="283"/>
      <c r="O601" s="276"/>
      <c r="P601" s="283"/>
      <c r="Q601" s="276"/>
      <c r="S601" s="283"/>
      <c r="T601" s="276"/>
      <c r="W601" s="283"/>
      <c r="X601" s="276"/>
      <c r="Y601" s="283"/>
      <c r="Z601" s="276"/>
      <c r="AA601" s="283"/>
      <c r="AB601" s="276"/>
      <c r="AC601" s="283"/>
      <c r="AE601" s="283"/>
      <c r="AF601" s="276"/>
      <c r="AI601" s="283"/>
      <c r="AJ601" s="276"/>
      <c r="AK601" s="283"/>
      <c r="AL601" s="276"/>
      <c r="AM601" s="283"/>
      <c r="AN601" s="276"/>
      <c r="AO601" s="283"/>
      <c r="AP601" s="276"/>
      <c r="AQ601" s="283"/>
      <c r="AR601" s="276"/>
      <c r="AT601" s="283"/>
      <c r="AU601" s="276"/>
      <c r="AV601" s="283"/>
      <c r="AW601" s="276"/>
      <c r="AX601" s="283"/>
      <c r="AY601" s="276"/>
      <c r="AZ601" s="283"/>
      <c r="BA601" s="276"/>
      <c r="BB601" s="283"/>
      <c r="BC601" s="276"/>
      <c r="BD601" s="283"/>
      <c r="BE601" s="276"/>
      <c r="BG601" s="283"/>
      <c r="BH601" s="276"/>
      <c r="BI601" s="283"/>
      <c r="BJ601" s="276"/>
      <c r="BK601" s="283"/>
      <c r="BL601" s="276"/>
      <c r="BM601" s="283"/>
      <c r="BN601" s="276"/>
      <c r="BO601" s="283"/>
      <c r="BP601" s="276"/>
      <c r="BQ601" s="283"/>
      <c r="BR601" s="283"/>
      <c r="BS601" s="276"/>
    </row>
    <row r="602" spans="12:71" ht="12" customHeight="1">
      <c r="L602" s="283"/>
      <c r="M602" s="276"/>
      <c r="N602" s="283"/>
      <c r="O602" s="276"/>
      <c r="P602" s="283"/>
      <c r="Q602" s="276"/>
      <c r="S602" s="283"/>
      <c r="T602" s="276"/>
      <c r="W602" s="283"/>
      <c r="X602" s="276"/>
      <c r="Y602" s="283"/>
      <c r="Z602" s="276"/>
      <c r="AA602" s="283"/>
      <c r="AB602" s="276"/>
      <c r="AC602" s="283"/>
      <c r="AE602" s="283"/>
      <c r="AF602" s="276"/>
      <c r="AI602" s="283"/>
      <c r="AJ602" s="276"/>
      <c r="AK602" s="283"/>
      <c r="AL602" s="276"/>
      <c r="AM602" s="283"/>
      <c r="AN602" s="276"/>
      <c r="AO602" s="283"/>
      <c r="AP602" s="276"/>
      <c r="AQ602" s="283"/>
      <c r="AR602" s="276"/>
      <c r="AT602" s="283"/>
      <c r="AU602" s="276"/>
      <c r="AV602" s="283"/>
      <c r="AW602" s="276"/>
      <c r="AX602" s="283"/>
      <c r="AY602" s="276"/>
      <c r="AZ602" s="283"/>
      <c r="BA602" s="276"/>
      <c r="BB602" s="283"/>
      <c r="BC602" s="276"/>
      <c r="BD602" s="283"/>
      <c r="BE602" s="276"/>
      <c r="BG602" s="283"/>
      <c r="BH602" s="276"/>
      <c r="BI602" s="283"/>
      <c r="BJ602" s="276"/>
      <c r="BK602" s="283"/>
      <c r="BL602" s="276"/>
      <c r="BM602" s="283"/>
      <c r="BN602" s="276"/>
      <c r="BO602" s="283"/>
      <c r="BP602" s="276"/>
      <c r="BQ602" s="283"/>
      <c r="BR602" s="283"/>
      <c r="BS602" s="276"/>
    </row>
    <row r="603" spans="12:71" ht="12" customHeight="1">
      <c r="L603" s="283"/>
      <c r="M603" s="276"/>
      <c r="N603" s="283"/>
      <c r="O603" s="276"/>
      <c r="P603" s="283"/>
      <c r="Q603" s="276"/>
      <c r="S603" s="283"/>
      <c r="T603" s="276"/>
      <c r="W603" s="283"/>
      <c r="X603" s="276"/>
      <c r="Y603" s="283"/>
      <c r="Z603" s="276"/>
      <c r="AA603" s="283"/>
      <c r="AB603" s="276"/>
      <c r="AC603" s="283"/>
      <c r="AE603" s="283"/>
      <c r="AF603" s="276"/>
      <c r="AI603" s="283"/>
      <c r="AJ603" s="276"/>
      <c r="AK603" s="283"/>
      <c r="AL603" s="276"/>
      <c r="AM603" s="283"/>
      <c r="AN603" s="276"/>
      <c r="AO603" s="283"/>
      <c r="AP603" s="276"/>
      <c r="AQ603" s="283"/>
      <c r="AR603" s="276"/>
      <c r="AT603" s="283"/>
      <c r="AU603" s="276"/>
      <c r="AV603" s="283"/>
      <c r="AW603" s="276"/>
      <c r="AX603" s="283"/>
      <c r="AY603" s="276"/>
      <c r="AZ603" s="283"/>
      <c r="BA603" s="276"/>
      <c r="BB603" s="283"/>
      <c r="BC603" s="276"/>
      <c r="BD603" s="283"/>
      <c r="BE603" s="276"/>
      <c r="BG603" s="283"/>
      <c r="BH603" s="276"/>
      <c r="BI603" s="283"/>
      <c r="BJ603" s="276"/>
      <c r="BK603" s="283"/>
      <c r="BL603" s="276"/>
      <c r="BM603" s="283"/>
      <c r="BN603" s="276"/>
      <c r="BO603" s="283"/>
      <c r="BP603" s="276"/>
      <c r="BQ603" s="283"/>
      <c r="BR603" s="283"/>
      <c r="BS603" s="276"/>
    </row>
    <row r="604" spans="12:71" ht="12" customHeight="1">
      <c r="L604" s="283"/>
      <c r="M604" s="276"/>
      <c r="N604" s="283"/>
      <c r="O604" s="276"/>
      <c r="P604" s="283"/>
      <c r="Q604" s="276"/>
      <c r="S604" s="283"/>
      <c r="T604" s="276"/>
      <c r="W604" s="283"/>
      <c r="X604" s="276"/>
      <c r="Y604" s="283"/>
      <c r="Z604" s="276"/>
      <c r="AA604" s="283"/>
      <c r="AB604" s="276"/>
      <c r="AC604" s="283"/>
      <c r="AE604" s="283"/>
      <c r="AF604" s="276"/>
      <c r="AI604" s="283"/>
      <c r="AJ604" s="276"/>
      <c r="AK604" s="283"/>
      <c r="AL604" s="276"/>
      <c r="AM604" s="283"/>
      <c r="AN604" s="276"/>
      <c r="AO604" s="283"/>
      <c r="AP604" s="276"/>
      <c r="AQ604" s="283"/>
      <c r="AR604" s="276"/>
      <c r="AT604" s="283"/>
      <c r="AU604" s="276"/>
      <c r="AV604" s="283"/>
      <c r="AW604" s="276"/>
      <c r="AX604" s="283"/>
      <c r="AY604" s="276"/>
      <c r="AZ604" s="283"/>
      <c r="BA604" s="276"/>
      <c r="BB604" s="283"/>
      <c r="BC604" s="276"/>
      <c r="BD604" s="283"/>
      <c r="BE604" s="276"/>
      <c r="BG604" s="283"/>
      <c r="BH604" s="276"/>
      <c r="BI604" s="283"/>
      <c r="BJ604" s="276"/>
      <c r="BK604" s="283"/>
      <c r="BL604" s="276"/>
      <c r="BM604" s="283"/>
      <c r="BN604" s="276"/>
      <c r="BO604" s="283"/>
      <c r="BP604" s="276"/>
      <c r="BQ604" s="283"/>
      <c r="BR604" s="283"/>
      <c r="BS604" s="276"/>
    </row>
    <row r="605" spans="12:71" ht="12" customHeight="1">
      <c r="L605" s="283"/>
      <c r="M605" s="276"/>
      <c r="N605" s="283"/>
      <c r="O605" s="276"/>
      <c r="P605" s="283"/>
      <c r="Q605" s="276"/>
      <c r="S605" s="283"/>
      <c r="T605" s="276"/>
      <c r="W605" s="283"/>
      <c r="X605" s="276"/>
      <c r="Y605" s="283"/>
      <c r="Z605" s="276"/>
      <c r="AA605" s="283"/>
      <c r="AB605" s="276"/>
      <c r="AC605" s="283"/>
      <c r="AE605" s="283"/>
      <c r="AF605" s="276"/>
      <c r="AI605" s="283"/>
      <c r="AJ605" s="276"/>
      <c r="AK605" s="283"/>
      <c r="AL605" s="276"/>
      <c r="AM605" s="283"/>
      <c r="AN605" s="276"/>
      <c r="AO605" s="283"/>
      <c r="AP605" s="276"/>
      <c r="AQ605" s="283"/>
      <c r="AR605" s="276"/>
      <c r="AT605" s="283"/>
      <c r="AU605" s="276"/>
      <c r="AV605" s="283"/>
      <c r="AW605" s="276"/>
      <c r="AX605" s="283"/>
      <c r="AY605" s="276"/>
      <c r="AZ605" s="283"/>
      <c r="BA605" s="276"/>
      <c r="BB605" s="283"/>
      <c r="BC605" s="276"/>
      <c r="BD605" s="283"/>
      <c r="BE605" s="276"/>
      <c r="BG605" s="283"/>
      <c r="BH605" s="276"/>
      <c r="BI605" s="283"/>
      <c r="BJ605" s="276"/>
      <c r="BK605" s="283"/>
      <c r="BL605" s="276"/>
      <c r="BM605" s="283"/>
      <c r="BN605" s="276"/>
      <c r="BO605" s="283"/>
      <c r="BP605" s="276"/>
      <c r="BQ605" s="283"/>
      <c r="BR605" s="283"/>
      <c r="BS605" s="276"/>
    </row>
    <row r="606" spans="12:71" ht="12" customHeight="1">
      <c r="L606" s="283"/>
      <c r="M606" s="276"/>
      <c r="N606" s="283"/>
      <c r="O606" s="276"/>
      <c r="P606" s="283"/>
      <c r="Q606" s="276"/>
      <c r="S606" s="283"/>
      <c r="T606" s="276"/>
      <c r="W606" s="283"/>
      <c r="X606" s="276"/>
      <c r="Y606" s="283"/>
      <c r="Z606" s="276"/>
      <c r="AA606" s="283"/>
      <c r="AB606" s="276"/>
      <c r="AC606" s="283"/>
      <c r="AE606" s="283"/>
      <c r="AF606" s="276"/>
      <c r="AI606" s="283"/>
      <c r="AJ606" s="276"/>
      <c r="AK606" s="283"/>
      <c r="AL606" s="276"/>
      <c r="AM606" s="283"/>
      <c r="AN606" s="276"/>
      <c r="AO606" s="283"/>
      <c r="AP606" s="276"/>
      <c r="AQ606" s="283"/>
      <c r="AR606" s="276"/>
      <c r="AT606" s="283"/>
      <c r="AU606" s="276"/>
      <c r="AV606" s="283"/>
      <c r="AW606" s="276"/>
      <c r="AX606" s="283"/>
      <c r="AY606" s="276"/>
      <c r="AZ606" s="283"/>
      <c r="BA606" s="276"/>
      <c r="BB606" s="283"/>
      <c r="BC606" s="276"/>
      <c r="BD606" s="283"/>
      <c r="BE606" s="276"/>
      <c r="BG606" s="283"/>
      <c r="BH606" s="276"/>
      <c r="BI606" s="283"/>
      <c r="BJ606" s="276"/>
      <c r="BK606" s="283"/>
      <c r="BL606" s="276"/>
      <c r="BM606" s="283"/>
      <c r="BN606" s="276"/>
      <c r="BO606" s="283"/>
      <c r="BP606" s="276"/>
      <c r="BQ606" s="283"/>
      <c r="BR606" s="283"/>
      <c r="BS606" s="276"/>
    </row>
    <row r="607" spans="12:71" ht="12" customHeight="1">
      <c r="L607" s="283"/>
      <c r="M607" s="276"/>
      <c r="N607" s="283"/>
      <c r="O607" s="276"/>
      <c r="P607" s="283"/>
      <c r="Q607" s="276"/>
      <c r="S607" s="283"/>
      <c r="T607" s="276"/>
      <c r="W607" s="283"/>
      <c r="X607" s="276"/>
      <c r="Y607" s="283"/>
      <c r="Z607" s="276"/>
      <c r="AA607" s="283"/>
      <c r="AB607" s="276"/>
      <c r="AC607" s="283"/>
      <c r="AE607" s="283"/>
      <c r="AF607" s="276"/>
      <c r="AI607" s="283"/>
      <c r="AJ607" s="276"/>
      <c r="AK607" s="283"/>
      <c r="AL607" s="276"/>
      <c r="AM607" s="283"/>
      <c r="AN607" s="276"/>
      <c r="AO607" s="283"/>
      <c r="AP607" s="276"/>
      <c r="AQ607" s="283"/>
      <c r="AR607" s="276"/>
      <c r="AT607" s="283"/>
      <c r="AU607" s="276"/>
      <c r="AV607" s="283"/>
      <c r="AW607" s="276"/>
      <c r="AX607" s="283"/>
      <c r="AY607" s="276"/>
      <c r="AZ607" s="283"/>
      <c r="BA607" s="276"/>
      <c r="BB607" s="283"/>
      <c r="BC607" s="276"/>
      <c r="BD607" s="283"/>
      <c r="BE607" s="276"/>
      <c r="BG607" s="283"/>
      <c r="BH607" s="276"/>
      <c r="BI607" s="283"/>
      <c r="BJ607" s="276"/>
      <c r="BK607" s="283"/>
      <c r="BL607" s="276"/>
      <c r="BM607" s="283"/>
      <c r="BN607" s="276"/>
      <c r="BO607" s="283"/>
      <c r="BP607" s="276"/>
      <c r="BQ607" s="283"/>
      <c r="BR607" s="283"/>
      <c r="BS607" s="276"/>
    </row>
    <row r="608" spans="12:71" ht="12" customHeight="1">
      <c r="L608" s="283"/>
      <c r="M608" s="276"/>
      <c r="N608" s="283"/>
      <c r="O608" s="276"/>
      <c r="P608" s="283"/>
      <c r="Q608" s="276"/>
      <c r="S608" s="283"/>
      <c r="T608" s="276"/>
      <c r="W608" s="283"/>
      <c r="X608" s="276"/>
      <c r="Y608" s="283"/>
      <c r="Z608" s="276"/>
      <c r="AA608" s="283"/>
      <c r="AB608" s="276"/>
      <c r="AC608" s="283"/>
      <c r="AE608" s="283"/>
      <c r="AF608" s="276"/>
      <c r="AI608" s="283"/>
      <c r="AJ608" s="276"/>
      <c r="AK608" s="283"/>
      <c r="AL608" s="276"/>
      <c r="AM608" s="283"/>
      <c r="AN608" s="276"/>
      <c r="AO608" s="283"/>
      <c r="AP608" s="276"/>
      <c r="AQ608" s="283"/>
      <c r="AR608" s="276"/>
      <c r="AT608" s="283"/>
      <c r="AU608" s="276"/>
      <c r="AV608" s="283"/>
      <c r="AW608" s="276"/>
      <c r="AX608" s="283"/>
      <c r="AY608" s="276"/>
      <c r="AZ608" s="283"/>
      <c r="BA608" s="276"/>
      <c r="BB608" s="283"/>
      <c r="BC608" s="276"/>
      <c r="BD608" s="283"/>
      <c r="BE608" s="276"/>
      <c r="BG608" s="283"/>
      <c r="BH608" s="276"/>
      <c r="BI608" s="283"/>
      <c r="BJ608" s="276"/>
      <c r="BK608" s="283"/>
      <c r="BL608" s="276"/>
      <c r="BM608" s="283"/>
      <c r="BN608" s="276"/>
      <c r="BO608" s="283"/>
      <c r="BP608" s="276"/>
      <c r="BQ608" s="283"/>
      <c r="BR608" s="283"/>
      <c r="BS608" s="276"/>
    </row>
    <row r="609" spans="12:71" ht="12" customHeight="1">
      <c r="L609" s="283"/>
      <c r="M609" s="276"/>
      <c r="N609" s="283"/>
      <c r="O609" s="276"/>
      <c r="P609" s="283"/>
      <c r="Q609" s="276"/>
      <c r="S609" s="283"/>
      <c r="T609" s="276"/>
      <c r="W609" s="283"/>
      <c r="X609" s="276"/>
      <c r="Y609" s="283"/>
      <c r="Z609" s="276"/>
      <c r="AA609" s="283"/>
      <c r="AB609" s="276"/>
      <c r="AC609" s="283"/>
      <c r="AE609" s="283"/>
      <c r="AF609" s="276"/>
      <c r="AI609" s="283"/>
      <c r="AJ609" s="276"/>
      <c r="AK609" s="283"/>
      <c r="AL609" s="276"/>
      <c r="AM609" s="283"/>
      <c r="AN609" s="276"/>
      <c r="AO609" s="283"/>
      <c r="AP609" s="276"/>
      <c r="AQ609" s="283"/>
      <c r="AR609" s="276"/>
      <c r="AT609" s="283"/>
      <c r="AU609" s="276"/>
      <c r="AV609" s="283"/>
      <c r="AW609" s="276"/>
      <c r="AX609" s="283"/>
      <c r="AY609" s="276"/>
      <c r="AZ609" s="283"/>
      <c r="BA609" s="276"/>
      <c r="BB609" s="283"/>
      <c r="BC609" s="276"/>
      <c r="BD609" s="283"/>
      <c r="BE609" s="276"/>
      <c r="BG609" s="283"/>
      <c r="BH609" s="276"/>
      <c r="BI609" s="283"/>
      <c r="BJ609" s="276"/>
      <c r="BK609" s="283"/>
      <c r="BL609" s="276"/>
      <c r="BM609" s="283"/>
      <c r="BN609" s="276"/>
      <c r="BO609" s="283"/>
      <c r="BP609" s="276"/>
      <c r="BQ609" s="283"/>
      <c r="BR609" s="283"/>
      <c r="BS609" s="276"/>
    </row>
    <row r="610" spans="12:71" ht="12" customHeight="1">
      <c r="L610" s="283"/>
      <c r="M610" s="276"/>
      <c r="N610" s="283"/>
      <c r="O610" s="276"/>
      <c r="P610" s="283"/>
      <c r="Q610" s="276"/>
      <c r="S610" s="283"/>
      <c r="T610" s="276"/>
      <c r="W610" s="283"/>
      <c r="X610" s="276"/>
      <c r="Y610" s="283"/>
      <c r="Z610" s="276"/>
      <c r="AA610" s="283"/>
      <c r="AB610" s="276"/>
      <c r="AC610" s="283"/>
      <c r="AE610" s="283"/>
      <c r="AF610" s="276"/>
      <c r="AI610" s="283"/>
      <c r="AJ610" s="276"/>
      <c r="AK610" s="283"/>
      <c r="AL610" s="276"/>
      <c r="AM610" s="283"/>
      <c r="AN610" s="276"/>
      <c r="AO610" s="283"/>
      <c r="AP610" s="276"/>
      <c r="AQ610" s="283"/>
      <c r="AR610" s="276"/>
      <c r="AT610" s="283"/>
      <c r="AU610" s="276"/>
      <c r="AV610" s="283"/>
      <c r="AW610" s="276"/>
      <c r="AX610" s="283"/>
      <c r="AY610" s="276"/>
      <c r="AZ610" s="283"/>
      <c r="BA610" s="276"/>
      <c r="BB610" s="283"/>
      <c r="BC610" s="276"/>
      <c r="BD610" s="283"/>
      <c r="BE610" s="276"/>
      <c r="BG610" s="283"/>
      <c r="BH610" s="276"/>
      <c r="BI610" s="283"/>
      <c r="BJ610" s="276"/>
      <c r="BK610" s="283"/>
      <c r="BL610" s="276"/>
      <c r="BM610" s="283"/>
      <c r="BN610" s="276"/>
      <c r="BO610" s="283"/>
      <c r="BP610" s="276"/>
      <c r="BQ610" s="283"/>
      <c r="BR610" s="283"/>
      <c r="BS610" s="276"/>
    </row>
    <row r="611" spans="12:71" ht="12" customHeight="1">
      <c r="L611" s="283"/>
      <c r="M611" s="276"/>
      <c r="N611" s="283"/>
      <c r="O611" s="276"/>
      <c r="P611" s="283"/>
      <c r="Q611" s="276"/>
      <c r="S611" s="283"/>
      <c r="T611" s="276"/>
      <c r="W611" s="283"/>
      <c r="X611" s="276"/>
      <c r="Y611" s="283"/>
      <c r="Z611" s="276"/>
      <c r="AA611" s="283"/>
      <c r="AB611" s="276"/>
      <c r="AC611" s="283"/>
      <c r="AE611" s="283"/>
      <c r="AF611" s="276"/>
      <c r="AI611" s="283"/>
      <c r="AJ611" s="276"/>
      <c r="AK611" s="283"/>
      <c r="AL611" s="276"/>
      <c r="AM611" s="283"/>
      <c r="AN611" s="276"/>
      <c r="AO611" s="283"/>
      <c r="AP611" s="276"/>
      <c r="AQ611" s="283"/>
      <c r="AR611" s="276"/>
      <c r="AT611" s="283"/>
      <c r="AU611" s="276"/>
      <c r="AV611" s="283"/>
      <c r="AW611" s="276"/>
      <c r="AX611" s="283"/>
      <c r="AY611" s="276"/>
      <c r="AZ611" s="283"/>
      <c r="BA611" s="276"/>
      <c r="BB611" s="283"/>
      <c r="BC611" s="276"/>
      <c r="BD611" s="283"/>
      <c r="BE611" s="276"/>
      <c r="BG611" s="283"/>
      <c r="BH611" s="276"/>
      <c r="BI611" s="283"/>
      <c r="BJ611" s="276"/>
      <c r="BK611" s="283"/>
      <c r="BL611" s="276"/>
      <c r="BM611" s="283"/>
      <c r="BN611" s="276"/>
      <c r="BO611" s="283"/>
      <c r="BP611" s="276"/>
      <c r="BQ611" s="283"/>
      <c r="BR611" s="283"/>
      <c r="BS611" s="276"/>
    </row>
    <row r="612" spans="12:71" ht="12" customHeight="1">
      <c r="L612" s="283"/>
      <c r="M612" s="276"/>
      <c r="N612" s="283"/>
      <c r="O612" s="276"/>
      <c r="P612" s="283"/>
      <c r="Q612" s="276"/>
      <c r="S612" s="283"/>
      <c r="T612" s="276"/>
      <c r="W612" s="283"/>
      <c r="X612" s="276"/>
      <c r="Y612" s="283"/>
      <c r="Z612" s="276"/>
      <c r="AA612" s="283"/>
      <c r="AB612" s="276"/>
      <c r="AC612" s="283"/>
      <c r="AE612" s="283"/>
      <c r="AF612" s="276"/>
      <c r="AI612" s="283"/>
      <c r="AJ612" s="276"/>
      <c r="AK612" s="283"/>
      <c r="AL612" s="276"/>
      <c r="AM612" s="283"/>
      <c r="AN612" s="276"/>
      <c r="AO612" s="283"/>
      <c r="AP612" s="276"/>
      <c r="AQ612" s="283"/>
      <c r="AR612" s="276"/>
      <c r="AT612" s="283"/>
      <c r="AU612" s="276"/>
      <c r="AV612" s="283"/>
      <c r="AW612" s="276"/>
      <c r="AX612" s="283"/>
      <c r="AY612" s="276"/>
      <c r="AZ612" s="283"/>
      <c r="BA612" s="276"/>
      <c r="BB612" s="283"/>
      <c r="BC612" s="276"/>
      <c r="BD612" s="283"/>
      <c r="BE612" s="276"/>
      <c r="BG612" s="283"/>
      <c r="BH612" s="276"/>
      <c r="BI612" s="283"/>
      <c r="BJ612" s="276"/>
      <c r="BK612" s="283"/>
      <c r="BL612" s="276"/>
      <c r="BM612" s="283"/>
      <c r="BN612" s="276"/>
      <c r="BO612" s="283"/>
      <c r="BP612" s="276"/>
      <c r="BQ612" s="283"/>
      <c r="BR612" s="283"/>
      <c r="BS612" s="276"/>
    </row>
    <row r="613" spans="12:71" ht="12" customHeight="1">
      <c r="L613" s="283"/>
      <c r="M613" s="276"/>
      <c r="N613" s="283"/>
      <c r="O613" s="276"/>
      <c r="P613" s="283"/>
      <c r="Q613" s="276"/>
      <c r="S613" s="283"/>
      <c r="T613" s="276"/>
      <c r="W613" s="283"/>
      <c r="X613" s="276"/>
      <c r="Y613" s="283"/>
      <c r="Z613" s="276"/>
      <c r="AA613" s="283"/>
      <c r="AB613" s="276"/>
      <c r="AC613" s="283"/>
      <c r="AE613" s="283"/>
      <c r="AF613" s="276"/>
      <c r="AI613" s="283"/>
      <c r="AJ613" s="276"/>
      <c r="AK613" s="283"/>
      <c r="AL613" s="276"/>
      <c r="AM613" s="283"/>
      <c r="AN613" s="276"/>
      <c r="AO613" s="283"/>
      <c r="AP613" s="276"/>
      <c r="AQ613" s="283"/>
      <c r="AR613" s="276"/>
      <c r="AT613" s="283"/>
      <c r="AU613" s="276"/>
      <c r="AV613" s="283"/>
      <c r="AW613" s="276"/>
      <c r="AX613" s="283"/>
      <c r="AY613" s="276"/>
      <c r="AZ613" s="283"/>
      <c r="BA613" s="276"/>
      <c r="BB613" s="283"/>
      <c r="BC613" s="276"/>
      <c r="BD613" s="283"/>
      <c r="BE613" s="276"/>
      <c r="BG613" s="283"/>
      <c r="BH613" s="276"/>
      <c r="BI613" s="283"/>
      <c r="BJ613" s="276"/>
      <c r="BK613" s="283"/>
      <c r="BL613" s="276"/>
      <c r="BM613" s="283"/>
      <c r="BN613" s="276"/>
      <c r="BO613" s="283"/>
      <c r="BP613" s="276"/>
      <c r="BQ613" s="283"/>
      <c r="BR613" s="283"/>
      <c r="BS613" s="276"/>
    </row>
    <row r="614" spans="12:71" ht="12" customHeight="1">
      <c r="L614" s="283"/>
      <c r="M614" s="276"/>
      <c r="N614" s="283"/>
      <c r="O614" s="276"/>
      <c r="P614" s="283"/>
      <c r="Q614" s="276"/>
      <c r="S614" s="283"/>
      <c r="T614" s="276"/>
      <c r="W614" s="283"/>
      <c r="X614" s="276"/>
      <c r="Y614" s="283"/>
      <c r="Z614" s="276"/>
      <c r="AA614" s="283"/>
      <c r="AB614" s="276"/>
      <c r="AC614" s="283"/>
      <c r="AE614" s="283"/>
      <c r="AF614" s="276"/>
      <c r="AI614" s="283"/>
      <c r="AJ614" s="276"/>
      <c r="AK614" s="283"/>
      <c r="AL614" s="276"/>
      <c r="AM614" s="283"/>
      <c r="AN614" s="276"/>
      <c r="AO614" s="283"/>
      <c r="AP614" s="276"/>
      <c r="AQ614" s="283"/>
      <c r="AR614" s="276"/>
      <c r="AT614" s="283"/>
      <c r="AU614" s="276"/>
      <c r="AV614" s="283"/>
      <c r="AW614" s="276"/>
      <c r="AX614" s="283"/>
      <c r="AY614" s="276"/>
      <c r="AZ614" s="283"/>
      <c r="BA614" s="276"/>
      <c r="BB614" s="283"/>
      <c r="BC614" s="276"/>
      <c r="BD614" s="283"/>
      <c r="BE614" s="276"/>
      <c r="BG614" s="283"/>
      <c r="BH614" s="276"/>
      <c r="BI614" s="283"/>
      <c r="BJ614" s="276"/>
      <c r="BK614" s="283"/>
      <c r="BL614" s="276"/>
      <c r="BM614" s="283"/>
      <c r="BN614" s="276"/>
      <c r="BO614" s="283"/>
      <c r="BP614" s="276"/>
      <c r="BQ614" s="283"/>
      <c r="BR614" s="283"/>
      <c r="BS614" s="276"/>
    </row>
    <row r="615" spans="12:71" ht="12" customHeight="1">
      <c r="L615" s="283"/>
      <c r="M615" s="276"/>
      <c r="N615" s="283"/>
      <c r="O615" s="276"/>
      <c r="P615" s="283"/>
      <c r="Q615" s="276"/>
      <c r="S615" s="283"/>
      <c r="T615" s="276"/>
      <c r="W615" s="283"/>
      <c r="X615" s="276"/>
      <c r="Y615" s="283"/>
      <c r="Z615" s="276"/>
      <c r="AA615" s="283"/>
      <c r="AB615" s="276"/>
      <c r="AC615" s="283"/>
      <c r="AE615" s="283"/>
      <c r="AF615" s="276"/>
      <c r="AI615" s="283"/>
      <c r="AJ615" s="276"/>
      <c r="AK615" s="283"/>
      <c r="AL615" s="276"/>
      <c r="AM615" s="283"/>
      <c r="AN615" s="276"/>
      <c r="AO615" s="283"/>
      <c r="AP615" s="276"/>
      <c r="AQ615" s="283"/>
      <c r="AR615" s="276"/>
      <c r="AT615" s="283"/>
      <c r="AU615" s="276"/>
      <c r="AV615" s="283"/>
      <c r="AW615" s="276"/>
      <c r="AX615" s="283"/>
      <c r="AY615" s="276"/>
      <c r="AZ615" s="283"/>
      <c r="BA615" s="276"/>
      <c r="BB615" s="283"/>
      <c r="BC615" s="276"/>
      <c r="BD615" s="283"/>
      <c r="BE615" s="276"/>
      <c r="BG615" s="283"/>
      <c r="BH615" s="276"/>
      <c r="BI615" s="283"/>
      <c r="BJ615" s="276"/>
      <c r="BK615" s="283"/>
      <c r="BL615" s="276"/>
      <c r="BM615" s="283"/>
      <c r="BN615" s="276"/>
      <c r="BO615" s="283"/>
      <c r="BP615" s="276"/>
      <c r="BQ615" s="283"/>
      <c r="BR615" s="283"/>
      <c r="BS615" s="276"/>
    </row>
    <row r="616" spans="12:71" ht="12" customHeight="1">
      <c r="L616" s="283"/>
      <c r="M616" s="276"/>
      <c r="N616" s="283"/>
      <c r="O616" s="276"/>
      <c r="P616" s="283"/>
      <c r="Q616" s="276"/>
      <c r="S616" s="283"/>
      <c r="T616" s="276"/>
      <c r="W616" s="283"/>
      <c r="X616" s="276"/>
      <c r="Y616" s="283"/>
      <c r="Z616" s="276"/>
      <c r="AA616" s="283"/>
      <c r="AB616" s="276"/>
      <c r="AC616" s="283"/>
      <c r="AE616" s="283"/>
      <c r="AF616" s="276"/>
      <c r="AI616" s="283"/>
      <c r="AJ616" s="276"/>
      <c r="AK616" s="283"/>
      <c r="AL616" s="276"/>
      <c r="AM616" s="283"/>
      <c r="AN616" s="276"/>
      <c r="AO616" s="283"/>
      <c r="AP616" s="276"/>
      <c r="AQ616" s="283"/>
      <c r="AR616" s="276"/>
      <c r="AT616" s="283"/>
      <c r="AU616" s="276"/>
      <c r="AV616" s="283"/>
      <c r="AW616" s="276"/>
      <c r="AX616" s="283"/>
      <c r="AY616" s="276"/>
      <c r="AZ616" s="283"/>
      <c r="BA616" s="276"/>
      <c r="BB616" s="283"/>
      <c r="BC616" s="276"/>
      <c r="BD616" s="283"/>
      <c r="BE616" s="276"/>
      <c r="BG616" s="283"/>
      <c r="BH616" s="276"/>
      <c r="BI616" s="283"/>
      <c r="BJ616" s="276"/>
      <c r="BK616" s="283"/>
      <c r="BL616" s="276"/>
      <c r="BM616" s="283"/>
      <c r="BN616" s="276"/>
      <c r="BO616" s="283"/>
      <c r="BP616" s="276"/>
      <c r="BQ616" s="283"/>
      <c r="BR616" s="283"/>
      <c r="BS616" s="276"/>
    </row>
    <row r="617" spans="12:71" ht="12" customHeight="1">
      <c r="L617" s="283"/>
      <c r="M617" s="276"/>
      <c r="N617" s="283"/>
      <c r="O617" s="276"/>
      <c r="P617" s="283"/>
      <c r="Q617" s="276"/>
      <c r="S617" s="283"/>
      <c r="T617" s="276"/>
      <c r="W617" s="283"/>
      <c r="X617" s="276"/>
      <c r="Y617" s="283"/>
      <c r="Z617" s="276"/>
      <c r="AA617" s="283"/>
      <c r="AB617" s="276"/>
      <c r="AC617" s="283"/>
      <c r="AE617" s="283"/>
      <c r="AF617" s="276"/>
      <c r="AI617" s="283"/>
      <c r="AJ617" s="276"/>
      <c r="AK617" s="283"/>
      <c r="AL617" s="276"/>
      <c r="AM617" s="283"/>
      <c r="AN617" s="276"/>
      <c r="AO617" s="283"/>
      <c r="AP617" s="276"/>
      <c r="AQ617" s="283"/>
      <c r="AR617" s="276"/>
      <c r="AT617" s="283"/>
      <c r="AU617" s="276"/>
      <c r="AV617" s="283"/>
      <c r="AW617" s="276"/>
      <c r="AX617" s="283"/>
      <c r="AY617" s="276"/>
      <c r="AZ617" s="283"/>
      <c r="BA617" s="276"/>
      <c r="BB617" s="283"/>
      <c r="BC617" s="276"/>
      <c r="BD617" s="283"/>
      <c r="BE617" s="276"/>
      <c r="BG617" s="283"/>
      <c r="BH617" s="276"/>
      <c r="BI617" s="283"/>
      <c r="BJ617" s="276"/>
      <c r="BK617" s="283"/>
      <c r="BL617" s="276"/>
      <c r="BM617" s="283"/>
      <c r="BN617" s="276"/>
      <c r="BO617" s="283"/>
      <c r="BP617" s="276"/>
      <c r="BQ617" s="283"/>
      <c r="BR617" s="283"/>
      <c r="BS617" s="276"/>
    </row>
    <row r="618" spans="12:71" ht="12" customHeight="1">
      <c r="L618" s="283"/>
      <c r="M618" s="276"/>
      <c r="N618" s="283"/>
      <c r="O618" s="276"/>
      <c r="P618" s="283"/>
      <c r="Q618" s="276"/>
      <c r="S618" s="283"/>
      <c r="T618" s="276"/>
      <c r="W618" s="283"/>
      <c r="X618" s="276"/>
      <c r="Y618" s="283"/>
      <c r="Z618" s="276"/>
      <c r="AA618" s="283"/>
      <c r="AB618" s="276"/>
      <c r="AC618" s="283"/>
      <c r="AE618" s="283"/>
      <c r="AF618" s="276"/>
      <c r="AI618" s="283"/>
      <c r="AJ618" s="276"/>
      <c r="AK618" s="283"/>
      <c r="AL618" s="276"/>
      <c r="AM618" s="283"/>
      <c r="AN618" s="276"/>
      <c r="AO618" s="283"/>
      <c r="AP618" s="276"/>
      <c r="AQ618" s="283"/>
      <c r="AR618" s="276"/>
      <c r="AT618" s="283"/>
      <c r="AU618" s="276"/>
      <c r="AV618" s="283"/>
      <c r="AW618" s="276"/>
      <c r="AX618" s="283"/>
      <c r="AY618" s="276"/>
      <c r="AZ618" s="283"/>
      <c r="BA618" s="276"/>
      <c r="BB618" s="283"/>
      <c r="BC618" s="276"/>
      <c r="BD618" s="283"/>
      <c r="BE618" s="276"/>
      <c r="BG618" s="283"/>
      <c r="BH618" s="276"/>
      <c r="BI618" s="283"/>
      <c r="BJ618" s="276"/>
      <c r="BK618" s="283"/>
      <c r="BL618" s="276"/>
      <c r="BM618" s="283"/>
      <c r="BN618" s="276"/>
      <c r="BO618" s="283"/>
      <c r="BP618" s="276"/>
      <c r="BQ618" s="283"/>
      <c r="BR618" s="283"/>
      <c r="BS618" s="276"/>
    </row>
    <row r="619" spans="12:71" ht="12" customHeight="1">
      <c r="L619" s="283"/>
      <c r="M619" s="276"/>
      <c r="N619" s="283"/>
      <c r="O619" s="276"/>
      <c r="P619" s="283"/>
      <c r="Q619" s="276"/>
      <c r="S619" s="283"/>
      <c r="T619" s="276"/>
      <c r="W619" s="283"/>
      <c r="X619" s="276"/>
      <c r="Y619" s="283"/>
      <c r="Z619" s="276"/>
      <c r="AA619" s="283"/>
      <c r="AB619" s="276"/>
      <c r="AC619" s="283"/>
      <c r="AE619" s="283"/>
      <c r="AF619" s="276"/>
      <c r="AI619" s="283"/>
      <c r="AJ619" s="276"/>
      <c r="AK619" s="283"/>
      <c r="AL619" s="276"/>
      <c r="AM619" s="283"/>
      <c r="AN619" s="276"/>
      <c r="AO619" s="283"/>
      <c r="AP619" s="276"/>
      <c r="AQ619" s="283"/>
      <c r="AR619" s="276"/>
      <c r="AT619" s="283"/>
      <c r="AU619" s="276"/>
      <c r="AV619" s="283"/>
      <c r="AW619" s="276"/>
      <c r="AX619" s="283"/>
      <c r="AY619" s="276"/>
      <c r="AZ619" s="283"/>
      <c r="BA619" s="276"/>
      <c r="BB619" s="283"/>
      <c r="BC619" s="276"/>
      <c r="BD619" s="283"/>
      <c r="BE619" s="276"/>
      <c r="BG619" s="283"/>
      <c r="BH619" s="276"/>
      <c r="BI619" s="283"/>
      <c r="BJ619" s="276"/>
      <c r="BK619" s="283"/>
      <c r="BL619" s="276"/>
      <c r="BM619" s="283"/>
      <c r="BN619" s="276"/>
      <c r="BO619" s="283"/>
      <c r="BP619" s="276"/>
      <c r="BQ619" s="283"/>
      <c r="BR619" s="283"/>
      <c r="BS619" s="276"/>
    </row>
    <row r="620" spans="12:71" ht="12" customHeight="1">
      <c r="L620" s="283"/>
      <c r="M620" s="276"/>
      <c r="N620" s="283"/>
      <c r="O620" s="276"/>
      <c r="P620" s="283"/>
      <c r="Q620" s="276"/>
      <c r="S620" s="283"/>
      <c r="T620" s="276"/>
      <c r="W620" s="283"/>
      <c r="X620" s="276"/>
      <c r="Y620" s="283"/>
      <c r="Z620" s="276"/>
      <c r="AA620" s="283"/>
      <c r="AB620" s="276"/>
      <c r="AC620" s="283"/>
      <c r="AE620" s="283"/>
      <c r="AF620" s="276"/>
      <c r="AI620" s="283"/>
      <c r="AJ620" s="276"/>
      <c r="AK620" s="283"/>
      <c r="AL620" s="276"/>
      <c r="AM620" s="283"/>
      <c r="AN620" s="276"/>
      <c r="AO620" s="283"/>
      <c r="AP620" s="276"/>
      <c r="AQ620" s="283"/>
      <c r="AR620" s="276"/>
      <c r="AT620" s="283"/>
      <c r="AU620" s="276"/>
      <c r="AV620" s="283"/>
      <c r="AW620" s="276"/>
      <c r="AX620" s="283"/>
      <c r="AY620" s="276"/>
      <c r="AZ620" s="283"/>
      <c r="BA620" s="276"/>
      <c r="BB620" s="283"/>
      <c r="BC620" s="276"/>
      <c r="BD620" s="283"/>
      <c r="BE620" s="276"/>
      <c r="BG620" s="283"/>
      <c r="BH620" s="276"/>
      <c r="BI620" s="283"/>
      <c r="BJ620" s="276"/>
      <c r="BK620" s="283"/>
      <c r="BL620" s="276"/>
      <c r="BM620" s="283"/>
      <c r="BN620" s="276"/>
      <c r="BO620" s="283"/>
      <c r="BP620" s="276"/>
      <c r="BQ620" s="283"/>
      <c r="BR620" s="283"/>
      <c r="BS620" s="276"/>
    </row>
    <row r="621" spans="12:71" ht="12" customHeight="1">
      <c r="L621" s="283"/>
      <c r="M621" s="276"/>
      <c r="N621" s="283"/>
      <c r="O621" s="276"/>
      <c r="P621" s="283"/>
      <c r="Q621" s="276"/>
      <c r="S621" s="283"/>
      <c r="T621" s="276"/>
      <c r="W621" s="283"/>
      <c r="X621" s="276"/>
      <c r="Y621" s="283"/>
      <c r="Z621" s="276"/>
      <c r="AA621" s="283"/>
      <c r="AB621" s="276"/>
      <c r="AC621" s="283"/>
      <c r="AE621" s="283"/>
      <c r="AF621" s="276"/>
      <c r="AI621" s="283"/>
      <c r="AJ621" s="276"/>
      <c r="AK621" s="283"/>
      <c r="AL621" s="276"/>
      <c r="AM621" s="283"/>
      <c r="AN621" s="276"/>
      <c r="AO621" s="283"/>
      <c r="AP621" s="276"/>
      <c r="AQ621" s="283"/>
      <c r="AR621" s="276"/>
      <c r="AT621" s="283"/>
      <c r="AU621" s="276"/>
      <c r="AV621" s="283"/>
      <c r="AW621" s="276"/>
      <c r="AX621" s="283"/>
      <c r="AY621" s="276"/>
      <c r="AZ621" s="283"/>
      <c r="BA621" s="276"/>
      <c r="BB621" s="283"/>
      <c r="BC621" s="276"/>
      <c r="BD621" s="283"/>
      <c r="BE621" s="276"/>
      <c r="BG621" s="283"/>
      <c r="BH621" s="276"/>
      <c r="BI621" s="283"/>
      <c r="BJ621" s="276"/>
      <c r="BK621" s="283"/>
      <c r="BL621" s="276"/>
      <c r="BM621" s="283"/>
      <c r="BN621" s="276"/>
      <c r="BO621" s="283"/>
      <c r="BP621" s="276"/>
      <c r="BQ621" s="283"/>
      <c r="BR621" s="283"/>
      <c r="BS621" s="276"/>
    </row>
    <row r="622" spans="12:71" ht="12" customHeight="1">
      <c r="L622" s="283"/>
      <c r="M622" s="276"/>
      <c r="N622" s="283"/>
      <c r="O622" s="276"/>
      <c r="P622" s="283"/>
      <c r="Q622" s="276"/>
      <c r="S622" s="283"/>
      <c r="T622" s="276"/>
      <c r="W622" s="283"/>
      <c r="X622" s="276"/>
      <c r="Y622" s="283"/>
      <c r="Z622" s="276"/>
      <c r="AA622" s="283"/>
      <c r="AB622" s="276"/>
      <c r="AC622" s="283"/>
      <c r="AE622" s="283"/>
      <c r="AF622" s="276"/>
      <c r="AI622" s="283"/>
      <c r="AJ622" s="276"/>
      <c r="AK622" s="283"/>
      <c r="AL622" s="276"/>
      <c r="AM622" s="283"/>
      <c r="AN622" s="276"/>
      <c r="AO622" s="283"/>
      <c r="AP622" s="276"/>
      <c r="AQ622" s="283"/>
      <c r="AR622" s="276"/>
      <c r="AT622" s="283"/>
      <c r="AU622" s="276"/>
      <c r="AV622" s="283"/>
      <c r="AW622" s="276"/>
      <c r="AX622" s="283"/>
      <c r="AY622" s="276"/>
      <c r="AZ622" s="283"/>
      <c r="BA622" s="276"/>
      <c r="BB622" s="283"/>
      <c r="BC622" s="276"/>
      <c r="BD622" s="283"/>
      <c r="BE622" s="276"/>
      <c r="BG622" s="283"/>
      <c r="BH622" s="276"/>
      <c r="BI622" s="283"/>
      <c r="BJ622" s="276"/>
      <c r="BK622" s="283"/>
      <c r="BL622" s="276"/>
      <c r="BM622" s="283"/>
      <c r="BN622" s="276"/>
      <c r="BO622" s="283"/>
      <c r="BP622" s="276"/>
      <c r="BQ622" s="283"/>
      <c r="BR622" s="283"/>
      <c r="BS622" s="276"/>
    </row>
    <row r="623" spans="12:71" ht="12" customHeight="1">
      <c r="L623" s="283"/>
      <c r="M623" s="276"/>
      <c r="N623" s="283"/>
      <c r="O623" s="276"/>
      <c r="P623" s="283"/>
      <c r="Q623" s="276"/>
      <c r="S623" s="283"/>
      <c r="T623" s="276"/>
      <c r="W623" s="283"/>
      <c r="X623" s="276"/>
      <c r="Y623" s="283"/>
      <c r="Z623" s="276"/>
      <c r="AA623" s="283"/>
      <c r="AB623" s="276"/>
      <c r="AC623" s="283"/>
      <c r="AE623" s="283"/>
      <c r="AF623" s="276"/>
      <c r="AI623" s="283"/>
      <c r="AJ623" s="276"/>
      <c r="AK623" s="283"/>
      <c r="AL623" s="276"/>
      <c r="AM623" s="283"/>
      <c r="AN623" s="276"/>
      <c r="AO623" s="283"/>
      <c r="AP623" s="276"/>
      <c r="AQ623" s="283"/>
      <c r="AR623" s="276"/>
      <c r="AT623" s="283"/>
      <c r="AU623" s="276"/>
      <c r="AV623" s="283"/>
      <c r="AW623" s="276"/>
      <c r="AX623" s="283"/>
      <c r="AY623" s="276"/>
      <c r="AZ623" s="283"/>
      <c r="BA623" s="276"/>
      <c r="BB623" s="283"/>
      <c r="BC623" s="276"/>
      <c r="BD623" s="283"/>
      <c r="BE623" s="276"/>
      <c r="BG623" s="283"/>
      <c r="BH623" s="276"/>
      <c r="BI623" s="283"/>
      <c r="BJ623" s="276"/>
      <c r="BK623" s="283"/>
      <c r="BL623" s="276"/>
      <c r="BM623" s="283"/>
      <c r="BN623" s="276"/>
      <c r="BO623" s="283"/>
      <c r="BP623" s="276"/>
      <c r="BQ623" s="283"/>
      <c r="BR623" s="283"/>
      <c r="BS623" s="276"/>
    </row>
    <row r="624" spans="12:71" ht="12" customHeight="1">
      <c r="L624" s="283"/>
      <c r="M624" s="276"/>
      <c r="N624" s="283"/>
      <c r="O624" s="276"/>
      <c r="P624" s="283"/>
      <c r="Q624" s="276"/>
      <c r="S624" s="283"/>
      <c r="T624" s="276"/>
      <c r="W624" s="283"/>
      <c r="X624" s="276"/>
      <c r="Y624" s="283"/>
      <c r="Z624" s="276"/>
      <c r="AA624" s="283"/>
      <c r="AB624" s="276"/>
      <c r="AC624" s="283"/>
      <c r="AE624" s="283"/>
      <c r="AF624" s="276"/>
      <c r="AI624" s="283"/>
      <c r="AJ624" s="276"/>
      <c r="AK624" s="283"/>
      <c r="AL624" s="276"/>
      <c r="AM624" s="283"/>
      <c r="AN624" s="276"/>
      <c r="AO624" s="283"/>
      <c r="AP624" s="276"/>
      <c r="AQ624" s="283"/>
      <c r="AR624" s="276"/>
      <c r="AT624" s="283"/>
      <c r="AU624" s="276"/>
      <c r="AV624" s="283"/>
      <c r="AW624" s="276"/>
      <c r="AX624" s="283"/>
      <c r="AY624" s="276"/>
      <c r="AZ624" s="283"/>
      <c r="BA624" s="276"/>
      <c r="BB624" s="283"/>
      <c r="BC624" s="276"/>
      <c r="BD624" s="283"/>
      <c r="BE624" s="276"/>
      <c r="BG624" s="283"/>
      <c r="BH624" s="276"/>
      <c r="BI624" s="283"/>
      <c r="BJ624" s="276"/>
      <c r="BK624" s="283"/>
      <c r="BL624" s="276"/>
      <c r="BM624" s="283"/>
      <c r="BN624" s="276"/>
      <c r="BO624" s="283"/>
      <c r="BP624" s="276"/>
      <c r="BQ624" s="283"/>
      <c r="BR624" s="283"/>
      <c r="BS624" s="276"/>
    </row>
    <row r="625" spans="12:71" ht="12" customHeight="1">
      <c r="L625" s="283"/>
      <c r="M625" s="276"/>
      <c r="N625" s="283"/>
      <c r="O625" s="276"/>
      <c r="P625" s="283"/>
      <c r="Q625" s="276"/>
      <c r="S625" s="283"/>
      <c r="T625" s="276"/>
      <c r="W625" s="283"/>
      <c r="X625" s="276"/>
      <c r="Y625" s="283"/>
      <c r="Z625" s="276"/>
      <c r="AA625" s="283"/>
      <c r="AB625" s="276"/>
      <c r="AC625" s="283"/>
      <c r="AE625" s="283"/>
      <c r="AF625" s="276"/>
      <c r="AI625" s="283"/>
      <c r="AJ625" s="276"/>
      <c r="AK625" s="283"/>
      <c r="AL625" s="276"/>
      <c r="AM625" s="283"/>
      <c r="AN625" s="276"/>
      <c r="AO625" s="283"/>
      <c r="AP625" s="276"/>
      <c r="AQ625" s="283"/>
      <c r="AR625" s="276"/>
      <c r="AT625" s="283"/>
      <c r="AU625" s="276"/>
      <c r="AV625" s="283"/>
      <c r="AW625" s="276"/>
      <c r="AX625" s="283"/>
      <c r="AY625" s="276"/>
      <c r="AZ625" s="283"/>
      <c r="BA625" s="276"/>
      <c r="BB625" s="283"/>
      <c r="BC625" s="276"/>
      <c r="BD625" s="283"/>
      <c r="BE625" s="276"/>
      <c r="BG625" s="283"/>
      <c r="BH625" s="276"/>
      <c r="BI625" s="283"/>
      <c r="BJ625" s="276"/>
      <c r="BK625" s="283"/>
      <c r="BL625" s="276"/>
      <c r="BM625" s="283"/>
      <c r="BN625" s="276"/>
      <c r="BO625" s="283"/>
      <c r="BP625" s="276"/>
      <c r="BQ625" s="283"/>
      <c r="BR625" s="283"/>
      <c r="BS625" s="276"/>
    </row>
    <row r="626" spans="12:71" ht="12" customHeight="1">
      <c r="L626" s="283"/>
      <c r="M626" s="276"/>
      <c r="N626" s="283"/>
      <c r="O626" s="276"/>
      <c r="P626" s="283"/>
      <c r="Q626" s="276"/>
      <c r="S626" s="283"/>
      <c r="T626" s="276"/>
      <c r="W626" s="283"/>
      <c r="X626" s="276"/>
      <c r="Y626" s="283"/>
      <c r="Z626" s="276"/>
      <c r="AA626" s="283"/>
      <c r="AB626" s="276"/>
      <c r="AC626" s="283"/>
      <c r="AE626" s="283"/>
      <c r="AF626" s="276"/>
      <c r="AI626" s="283"/>
      <c r="AJ626" s="276"/>
      <c r="AK626" s="283"/>
      <c r="AL626" s="276"/>
      <c r="AM626" s="283"/>
      <c r="AN626" s="276"/>
      <c r="AO626" s="283"/>
      <c r="AP626" s="276"/>
      <c r="AQ626" s="283"/>
      <c r="AR626" s="276"/>
      <c r="AT626" s="283"/>
      <c r="AU626" s="276"/>
      <c r="AV626" s="283"/>
      <c r="AW626" s="276"/>
      <c r="AX626" s="283"/>
      <c r="AY626" s="276"/>
      <c r="AZ626" s="283"/>
      <c r="BA626" s="276"/>
      <c r="BB626" s="283"/>
      <c r="BC626" s="276"/>
      <c r="BD626" s="283"/>
      <c r="BE626" s="276"/>
      <c r="BG626" s="283"/>
      <c r="BH626" s="276"/>
      <c r="BI626" s="283"/>
      <c r="BJ626" s="276"/>
      <c r="BK626" s="283"/>
      <c r="BL626" s="276"/>
      <c r="BM626" s="283"/>
      <c r="BN626" s="276"/>
      <c r="BO626" s="283"/>
      <c r="BP626" s="276"/>
      <c r="BQ626" s="283"/>
      <c r="BR626" s="283"/>
      <c r="BS626" s="276"/>
    </row>
    <row r="627" spans="12:71" ht="12" customHeight="1">
      <c r="L627" s="283"/>
      <c r="M627" s="276"/>
      <c r="N627" s="283"/>
      <c r="O627" s="276"/>
      <c r="P627" s="283"/>
      <c r="Q627" s="276"/>
      <c r="S627" s="283"/>
      <c r="T627" s="276"/>
      <c r="W627" s="283"/>
      <c r="X627" s="276"/>
      <c r="Y627" s="283"/>
      <c r="Z627" s="276"/>
      <c r="AA627" s="283"/>
      <c r="AB627" s="276"/>
      <c r="AC627" s="283"/>
      <c r="AE627" s="283"/>
      <c r="AF627" s="276"/>
      <c r="AI627" s="283"/>
      <c r="AJ627" s="276"/>
      <c r="AK627" s="283"/>
      <c r="AL627" s="276"/>
      <c r="AM627" s="283"/>
      <c r="AN627" s="276"/>
      <c r="AO627" s="283"/>
      <c r="AP627" s="276"/>
      <c r="AQ627" s="283"/>
      <c r="AR627" s="276"/>
      <c r="AT627" s="283"/>
      <c r="AU627" s="276"/>
      <c r="AV627" s="283"/>
      <c r="AW627" s="276"/>
      <c r="AX627" s="283"/>
      <c r="AY627" s="276"/>
      <c r="AZ627" s="283"/>
      <c r="BA627" s="276"/>
      <c r="BB627" s="283"/>
      <c r="BC627" s="276"/>
      <c r="BD627" s="283"/>
      <c r="BE627" s="276"/>
      <c r="BG627" s="283"/>
      <c r="BH627" s="276"/>
      <c r="BI627" s="283"/>
      <c r="BJ627" s="276"/>
      <c r="BK627" s="283"/>
      <c r="BL627" s="276"/>
      <c r="BM627" s="283"/>
      <c r="BN627" s="276"/>
      <c r="BO627" s="283"/>
      <c r="BP627" s="276"/>
      <c r="BQ627" s="283"/>
      <c r="BR627" s="283"/>
      <c r="BS627" s="276"/>
    </row>
    <row r="628" spans="12:71" ht="12" customHeight="1">
      <c r="L628" s="283"/>
      <c r="M628" s="276"/>
      <c r="N628" s="283"/>
      <c r="O628" s="276"/>
      <c r="P628" s="283"/>
      <c r="Q628" s="276"/>
      <c r="S628" s="283"/>
      <c r="T628" s="276"/>
      <c r="W628" s="283"/>
      <c r="X628" s="276"/>
      <c r="Y628" s="283"/>
      <c r="Z628" s="276"/>
      <c r="AA628" s="283"/>
      <c r="AB628" s="276"/>
      <c r="AC628" s="283"/>
      <c r="AE628" s="283"/>
      <c r="AF628" s="276"/>
      <c r="AI628" s="283"/>
      <c r="AJ628" s="276"/>
      <c r="AK628" s="283"/>
      <c r="AL628" s="276"/>
      <c r="AM628" s="283"/>
      <c r="AN628" s="276"/>
      <c r="AO628" s="283"/>
      <c r="AP628" s="276"/>
      <c r="AQ628" s="283"/>
      <c r="AR628" s="276"/>
      <c r="AT628" s="283"/>
      <c r="AU628" s="276"/>
      <c r="AV628" s="283"/>
      <c r="AW628" s="276"/>
      <c r="AX628" s="283"/>
      <c r="AY628" s="276"/>
      <c r="AZ628" s="283"/>
      <c r="BA628" s="276"/>
      <c r="BB628" s="283"/>
      <c r="BC628" s="276"/>
      <c r="BD628" s="283"/>
      <c r="BE628" s="276"/>
      <c r="BG628" s="283"/>
      <c r="BH628" s="276"/>
      <c r="BI628" s="283"/>
      <c r="BJ628" s="276"/>
      <c r="BK628" s="283"/>
      <c r="BL628" s="276"/>
      <c r="BM628" s="283"/>
      <c r="BN628" s="276"/>
      <c r="BO628" s="283"/>
      <c r="BP628" s="276"/>
      <c r="BQ628" s="283"/>
      <c r="BR628" s="283"/>
      <c r="BS628" s="276"/>
    </row>
    <row r="629" spans="12:71" ht="12" customHeight="1">
      <c r="L629" s="283"/>
      <c r="M629" s="276"/>
      <c r="N629" s="283"/>
      <c r="O629" s="276"/>
      <c r="P629" s="283"/>
      <c r="Q629" s="276"/>
      <c r="S629" s="283"/>
      <c r="T629" s="276"/>
      <c r="W629" s="283"/>
      <c r="X629" s="276"/>
      <c r="Y629" s="283"/>
      <c r="Z629" s="276"/>
      <c r="AA629" s="283"/>
      <c r="AB629" s="276"/>
      <c r="AC629" s="283"/>
      <c r="AE629" s="283"/>
      <c r="AF629" s="276"/>
      <c r="AI629" s="283"/>
      <c r="AJ629" s="276"/>
      <c r="AK629" s="283"/>
      <c r="AL629" s="276"/>
      <c r="AM629" s="283"/>
      <c r="AN629" s="276"/>
      <c r="AO629" s="283"/>
      <c r="AP629" s="276"/>
      <c r="AQ629" s="283"/>
      <c r="AR629" s="276"/>
      <c r="AT629" s="283"/>
      <c r="AU629" s="276"/>
      <c r="AV629" s="283"/>
      <c r="AW629" s="276"/>
      <c r="AX629" s="283"/>
      <c r="AY629" s="276"/>
      <c r="AZ629" s="283"/>
      <c r="BA629" s="276"/>
      <c r="BB629" s="283"/>
      <c r="BC629" s="276"/>
      <c r="BD629" s="283"/>
      <c r="BE629" s="276"/>
      <c r="BG629" s="283"/>
      <c r="BH629" s="276"/>
      <c r="BI629" s="283"/>
      <c r="BJ629" s="276"/>
      <c r="BK629" s="283"/>
      <c r="BL629" s="276"/>
      <c r="BM629" s="283"/>
      <c r="BN629" s="276"/>
      <c r="BO629" s="283"/>
      <c r="BP629" s="276"/>
      <c r="BQ629" s="283"/>
      <c r="BR629" s="283"/>
      <c r="BS629" s="276"/>
    </row>
    <row r="630" spans="12:71" ht="12" customHeight="1">
      <c r="L630" s="283"/>
      <c r="M630" s="276"/>
      <c r="N630" s="283"/>
      <c r="O630" s="276"/>
      <c r="P630" s="283"/>
      <c r="Q630" s="276"/>
      <c r="S630" s="283"/>
      <c r="T630" s="276"/>
      <c r="W630" s="283"/>
      <c r="X630" s="276"/>
      <c r="Y630" s="283"/>
      <c r="Z630" s="276"/>
      <c r="AA630" s="283"/>
      <c r="AB630" s="276"/>
      <c r="AC630" s="283"/>
      <c r="AE630" s="283"/>
      <c r="AF630" s="276"/>
      <c r="AI630" s="283"/>
      <c r="AJ630" s="276"/>
      <c r="AK630" s="283"/>
      <c r="AL630" s="276"/>
      <c r="AM630" s="283"/>
      <c r="AN630" s="276"/>
      <c r="AO630" s="283"/>
      <c r="AP630" s="276"/>
      <c r="AQ630" s="283"/>
      <c r="AR630" s="276"/>
      <c r="AT630" s="283"/>
      <c r="AU630" s="276"/>
      <c r="AV630" s="283"/>
      <c r="AW630" s="276"/>
      <c r="AX630" s="283"/>
      <c r="AY630" s="276"/>
      <c r="AZ630" s="283"/>
      <c r="BA630" s="276"/>
      <c r="BB630" s="283"/>
      <c r="BC630" s="276"/>
      <c r="BD630" s="283"/>
      <c r="BE630" s="276"/>
      <c r="BG630" s="283"/>
      <c r="BH630" s="276"/>
      <c r="BI630" s="283"/>
      <c r="BJ630" s="276"/>
      <c r="BK630" s="283"/>
      <c r="BL630" s="276"/>
      <c r="BM630" s="283"/>
      <c r="BN630" s="276"/>
      <c r="BO630" s="283"/>
      <c r="BP630" s="276"/>
      <c r="BQ630" s="283"/>
      <c r="BR630" s="283"/>
      <c r="BS630" s="276"/>
    </row>
    <row r="631" spans="12:71" ht="12" customHeight="1">
      <c r="L631" s="283"/>
      <c r="M631" s="276"/>
      <c r="N631" s="283"/>
      <c r="O631" s="276"/>
      <c r="P631" s="283"/>
      <c r="Q631" s="276"/>
      <c r="S631" s="283"/>
      <c r="T631" s="276"/>
      <c r="W631" s="283"/>
      <c r="X631" s="276"/>
      <c r="Y631" s="283"/>
      <c r="Z631" s="276"/>
      <c r="AA631" s="283"/>
      <c r="AB631" s="276"/>
      <c r="AC631" s="283"/>
      <c r="AE631" s="283"/>
      <c r="AF631" s="276"/>
      <c r="AI631" s="283"/>
      <c r="AJ631" s="276"/>
      <c r="AK631" s="283"/>
      <c r="AL631" s="276"/>
      <c r="AM631" s="283"/>
      <c r="AN631" s="276"/>
      <c r="AO631" s="283"/>
      <c r="AP631" s="276"/>
      <c r="AQ631" s="283"/>
      <c r="AR631" s="276"/>
      <c r="AT631" s="283"/>
      <c r="AU631" s="276"/>
      <c r="AV631" s="283"/>
      <c r="AW631" s="276"/>
      <c r="AX631" s="283"/>
      <c r="AY631" s="276"/>
      <c r="AZ631" s="283"/>
      <c r="BA631" s="276"/>
      <c r="BB631" s="283"/>
      <c r="BC631" s="276"/>
      <c r="BD631" s="283"/>
      <c r="BE631" s="276"/>
      <c r="BG631" s="283"/>
      <c r="BH631" s="276"/>
      <c r="BI631" s="283"/>
      <c r="BJ631" s="276"/>
      <c r="BK631" s="283"/>
      <c r="BL631" s="276"/>
      <c r="BM631" s="283"/>
      <c r="BN631" s="276"/>
      <c r="BO631" s="283"/>
      <c r="BP631" s="276"/>
      <c r="BQ631" s="283"/>
      <c r="BR631" s="283"/>
      <c r="BS631" s="276"/>
    </row>
    <row r="632" spans="12:71" ht="12" customHeight="1">
      <c r="L632" s="283"/>
      <c r="M632" s="276"/>
      <c r="N632" s="283"/>
      <c r="O632" s="276"/>
      <c r="P632" s="283"/>
      <c r="Q632" s="276"/>
      <c r="S632" s="283"/>
      <c r="T632" s="276"/>
      <c r="W632" s="283"/>
      <c r="X632" s="276"/>
      <c r="Y632" s="283"/>
      <c r="Z632" s="276"/>
      <c r="AA632" s="283"/>
      <c r="AB632" s="276"/>
      <c r="AC632" s="283"/>
      <c r="AE632" s="283"/>
      <c r="AF632" s="276"/>
      <c r="AI632" s="283"/>
      <c r="AJ632" s="276"/>
      <c r="AK632" s="283"/>
      <c r="AL632" s="276"/>
      <c r="AM632" s="283"/>
      <c r="AN632" s="276"/>
      <c r="AO632" s="283"/>
      <c r="AP632" s="276"/>
      <c r="AQ632" s="283"/>
      <c r="AR632" s="276"/>
      <c r="AT632" s="283"/>
      <c r="AU632" s="276"/>
      <c r="AV632" s="283"/>
      <c r="AW632" s="276"/>
      <c r="AX632" s="283"/>
      <c r="AY632" s="276"/>
      <c r="AZ632" s="283"/>
      <c r="BA632" s="276"/>
      <c r="BB632" s="283"/>
      <c r="BC632" s="276"/>
      <c r="BD632" s="283"/>
      <c r="BE632" s="276"/>
      <c r="BG632" s="283"/>
      <c r="BH632" s="276"/>
      <c r="BI632" s="283"/>
      <c r="BJ632" s="276"/>
      <c r="BK632" s="283"/>
      <c r="BL632" s="276"/>
      <c r="BM632" s="283"/>
      <c r="BN632" s="276"/>
      <c r="BO632" s="283"/>
      <c r="BP632" s="276"/>
      <c r="BQ632" s="283"/>
      <c r="BR632" s="283"/>
      <c r="BS632" s="276"/>
    </row>
    <row r="633" spans="12:71" ht="12" customHeight="1">
      <c r="L633" s="283"/>
      <c r="M633" s="276"/>
      <c r="N633" s="283"/>
      <c r="O633" s="276"/>
      <c r="P633" s="283"/>
      <c r="Q633" s="276"/>
      <c r="S633" s="283"/>
      <c r="T633" s="276"/>
      <c r="W633" s="283"/>
      <c r="X633" s="276"/>
      <c r="Y633" s="283"/>
      <c r="Z633" s="276"/>
      <c r="AA633" s="283"/>
      <c r="AB633" s="276"/>
      <c r="AC633" s="283"/>
      <c r="AE633" s="283"/>
      <c r="AF633" s="276"/>
      <c r="AI633" s="283"/>
      <c r="AJ633" s="276"/>
      <c r="AK633" s="283"/>
      <c r="AL633" s="276"/>
      <c r="AM633" s="283"/>
      <c r="AN633" s="276"/>
      <c r="AO633" s="283"/>
      <c r="AP633" s="276"/>
      <c r="AQ633" s="283"/>
      <c r="AR633" s="276"/>
      <c r="AT633" s="283"/>
      <c r="AU633" s="276"/>
      <c r="AV633" s="283"/>
      <c r="AW633" s="276"/>
      <c r="AX633" s="283"/>
      <c r="AY633" s="276"/>
      <c r="AZ633" s="283"/>
      <c r="BA633" s="276"/>
      <c r="BB633" s="283"/>
      <c r="BC633" s="276"/>
      <c r="BD633" s="283"/>
      <c r="BE633" s="276"/>
      <c r="BG633" s="283"/>
      <c r="BH633" s="276"/>
      <c r="BI633" s="283"/>
      <c r="BJ633" s="276"/>
      <c r="BK633" s="283"/>
      <c r="BL633" s="276"/>
      <c r="BM633" s="283"/>
      <c r="BN633" s="276"/>
      <c r="BO633" s="283"/>
      <c r="BP633" s="276"/>
      <c r="BQ633" s="283"/>
      <c r="BR633" s="283"/>
      <c r="BS633" s="276"/>
    </row>
    <row r="634" spans="12:71" ht="12" customHeight="1">
      <c r="L634" s="283"/>
      <c r="M634" s="276"/>
      <c r="N634" s="283"/>
      <c r="O634" s="276"/>
      <c r="P634" s="283"/>
      <c r="Q634" s="276"/>
      <c r="S634" s="283"/>
      <c r="T634" s="276"/>
      <c r="W634" s="283"/>
      <c r="X634" s="276"/>
      <c r="Y634" s="283"/>
      <c r="Z634" s="276"/>
      <c r="AA634" s="283"/>
      <c r="AB634" s="276"/>
      <c r="AC634" s="283"/>
      <c r="AE634" s="283"/>
      <c r="AF634" s="276"/>
      <c r="AI634" s="283"/>
      <c r="AJ634" s="276"/>
      <c r="AK634" s="283"/>
      <c r="AL634" s="276"/>
      <c r="AM634" s="283"/>
      <c r="AN634" s="276"/>
      <c r="AO634" s="283"/>
      <c r="AP634" s="276"/>
      <c r="AQ634" s="283"/>
      <c r="AR634" s="276"/>
      <c r="AT634" s="283"/>
      <c r="AU634" s="276"/>
      <c r="AV634" s="283"/>
      <c r="AW634" s="276"/>
      <c r="AX634" s="283"/>
      <c r="AY634" s="276"/>
      <c r="AZ634" s="283"/>
      <c r="BA634" s="276"/>
      <c r="BB634" s="283"/>
      <c r="BC634" s="276"/>
      <c r="BD634" s="283"/>
      <c r="BE634" s="276"/>
      <c r="BG634" s="283"/>
      <c r="BH634" s="276"/>
      <c r="BI634" s="283"/>
      <c r="BJ634" s="276"/>
      <c r="BK634" s="283"/>
      <c r="BL634" s="276"/>
      <c r="BM634" s="283"/>
      <c r="BN634" s="276"/>
      <c r="BO634" s="283"/>
      <c r="BP634" s="276"/>
      <c r="BQ634" s="283"/>
      <c r="BR634" s="283"/>
      <c r="BS634" s="276"/>
    </row>
    <row r="635" spans="12:71" ht="12" customHeight="1">
      <c r="L635" s="283"/>
      <c r="M635" s="276"/>
      <c r="N635" s="283"/>
      <c r="O635" s="276"/>
      <c r="P635" s="283"/>
      <c r="Q635" s="276"/>
      <c r="S635" s="283"/>
      <c r="T635" s="276"/>
      <c r="W635" s="283"/>
      <c r="X635" s="276"/>
      <c r="Y635" s="283"/>
      <c r="Z635" s="276"/>
      <c r="AA635" s="283"/>
      <c r="AB635" s="276"/>
      <c r="AC635" s="283"/>
      <c r="AE635" s="283"/>
      <c r="AF635" s="276"/>
      <c r="AI635" s="283"/>
      <c r="AJ635" s="276"/>
      <c r="AK635" s="283"/>
      <c r="AL635" s="276"/>
      <c r="AM635" s="283"/>
      <c r="AN635" s="276"/>
      <c r="AO635" s="283"/>
      <c r="AP635" s="276"/>
      <c r="AQ635" s="283"/>
      <c r="AR635" s="276"/>
      <c r="AT635" s="283"/>
      <c r="AU635" s="276"/>
      <c r="AV635" s="283"/>
      <c r="AW635" s="276"/>
      <c r="AX635" s="283"/>
      <c r="AY635" s="276"/>
      <c r="AZ635" s="283"/>
      <c r="BA635" s="276"/>
      <c r="BB635" s="283"/>
      <c r="BC635" s="276"/>
      <c r="BD635" s="283"/>
      <c r="BE635" s="276"/>
      <c r="BG635" s="283"/>
      <c r="BH635" s="276"/>
      <c r="BI635" s="283"/>
      <c r="BJ635" s="276"/>
      <c r="BK635" s="283"/>
      <c r="BL635" s="276"/>
      <c r="BM635" s="283"/>
      <c r="BN635" s="276"/>
      <c r="BO635" s="283"/>
      <c r="BP635" s="276"/>
      <c r="BQ635" s="283"/>
      <c r="BR635" s="283"/>
      <c r="BS635" s="276"/>
    </row>
    <row r="636" spans="12:71" ht="12" customHeight="1">
      <c r="L636" s="283"/>
      <c r="M636" s="276"/>
      <c r="N636" s="283"/>
      <c r="O636" s="276"/>
      <c r="P636" s="283"/>
      <c r="Q636" s="276"/>
      <c r="S636" s="283"/>
      <c r="T636" s="276"/>
      <c r="W636" s="283"/>
      <c r="X636" s="276"/>
      <c r="Y636" s="283"/>
      <c r="Z636" s="276"/>
      <c r="AA636" s="283"/>
      <c r="AB636" s="276"/>
      <c r="AC636" s="283"/>
      <c r="AE636" s="283"/>
      <c r="AF636" s="276"/>
      <c r="AI636" s="283"/>
      <c r="AJ636" s="276"/>
      <c r="AK636" s="283"/>
      <c r="AL636" s="276"/>
      <c r="AM636" s="283"/>
      <c r="AN636" s="276"/>
      <c r="AO636" s="283"/>
      <c r="AP636" s="276"/>
      <c r="AQ636" s="283"/>
      <c r="AR636" s="276"/>
      <c r="AT636" s="283"/>
      <c r="AU636" s="276"/>
      <c r="AV636" s="283"/>
      <c r="AW636" s="276"/>
      <c r="AX636" s="283"/>
      <c r="AY636" s="276"/>
      <c r="AZ636" s="283"/>
      <c r="BA636" s="276"/>
      <c r="BB636" s="283"/>
      <c r="BC636" s="276"/>
      <c r="BD636" s="283"/>
      <c r="BE636" s="276"/>
      <c r="BG636" s="283"/>
      <c r="BH636" s="276"/>
      <c r="BI636" s="283"/>
      <c r="BJ636" s="276"/>
      <c r="BK636" s="283"/>
      <c r="BL636" s="276"/>
      <c r="BM636" s="283"/>
      <c r="BN636" s="276"/>
      <c r="BO636" s="283"/>
      <c r="BP636" s="276"/>
      <c r="BQ636" s="283"/>
      <c r="BR636" s="283"/>
      <c r="BS636" s="276"/>
    </row>
    <row r="637" spans="12:71" ht="12" customHeight="1">
      <c r="L637" s="283"/>
      <c r="M637" s="276"/>
      <c r="N637" s="283"/>
      <c r="O637" s="276"/>
      <c r="P637" s="283"/>
      <c r="Q637" s="276"/>
      <c r="S637" s="283"/>
      <c r="T637" s="276"/>
      <c r="W637" s="283"/>
      <c r="X637" s="276"/>
      <c r="Y637" s="283"/>
      <c r="Z637" s="276"/>
      <c r="AA637" s="283"/>
      <c r="AB637" s="276"/>
      <c r="AC637" s="283"/>
      <c r="AE637" s="283"/>
      <c r="AF637" s="276"/>
      <c r="AI637" s="283"/>
      <c r="AJ637" s="276"/>
      <c r="AK637" s="283"/>
      <c r="AL637" s="276"/>
      <c r="AM637" s="283"/>
      <c r="AN637" s="276"/>
      <c r="AO637" s="283"/>
      <c r="AP637" s="276"/>
      <c r="AQ637" s="283"/>
      <c r="AR637" s="276"/>
      <c r="AT637" s="283"/>
      <c r="AU637" s="276"/>
      <c r="AV637" s="283"/>
      <c r="AW637" s="276"/>
      <c r="AX637" s="283"/>
      <c r="AY637" s="276"/>
      <c r="AZ637" s="283"/>
      <c r="BA637" s="276"/>
      <c r="BB637" s="283"/>
      <c r="BC637" s="276"/>
      <c r="BD637" s="283"/>
      <c r="BE637" s="276"/>
      <c r="BG637" s="283"/>
      <c r="BH637" s="276"/>
      <c r="BI637" s="283"/>
      <c r="BJ637" s="276"/>
      <c r="BK637" s="283"/>
      <c r="BL637" s="276"/>
      <c r="BM637" s="283"/>
      <c r="BN637" s="276"/>
      <c r="BO637" s="283"/>
      <c r="BP637" s="276"/>
      <c r="BQ637" s="283"/>
      <c r="BR637" s="283"/>
      <c r="BS637" s="276"/>
    </row>
    <row r="638" spans="12:71" ht="12" customHeight="1">
      <c r="L638" s="283"/>
      <c r="M638" s="276"/>
      <c r="N638" s="283"/>
      <c r="O638" s="276"/>
      <c r="P638" s="283"/>
      <c r="Q638" s="276"/>
      <c r="S638" s="283"/>
      <c r="T638" s="276"/>
      <c r="W638" s="283"/>
      <c r="X638" s="276"/>
      <c r="Y638" s="283"/>
      <c r="Z638" s="276"/>
      <c r="AA638" s="283"/>
      <c r="AB638" s="276"/>
      <c r="AC638" s="283"/>
      <c r="AE638" s="283"/>
      <c r="AF638" s="276"/>
      <c r="AI638" s="283"/>
      <c r="AJ638" s="276"/>
      <c r="AK638" s="283"/>
      <c r="AL638" s="276"/>
      <c r="AM638" s="283"/>
      <c r="AN638" s="276"/>
      <c r="AO638" s="283"/>
      <c r="AP638" s="276"/>
      <c r="AQ638" s="283"/>
      <c r="AR638" s="276"/>
      <c r="AT638" s="283"/>
      <c r="AU638" s="276"/>
      <c r="AV638" s="283"/>
      <c r="AW638" s="276"/>
      <c r="AX638" s="283"/>
      <c r="AY638" s="276"/>
      <c r="AZ638" s="283"/>
      <c r="BA638" s="276"/>
      <c r="BB638" s="283"/>
      <c r="BC638" s="276"/>
      <c r="BD638" s="283"/>
      <c r="BE638" s="276"/>
      <c r="BG638" s="283"/>
      <c r="BH638" s="276"/>
      <c r="BI638" s="283"/>
      <c r="BJ638" s="276"/>
      <c r="BK638" s="283"/>
      <c r="BL638" s="276"/>
      <c r="BM638" s="283"/>
      <c r="BN638" s="276"/>
      <c r="BO638" s="283"/>
      <c r="BP638" s="276"/>
      <c r="BQ638" s="283"/>
      <c r="BR638" s="283"/>
      <c r="BS638" s="276"/>
    </row>
    <row r="639" spans="12:71" ht="12" customHeight="1">
      <c r="L639" s="283"/>
      <c r="M639" s="276"/>
      <c r="N639" s="283"/>
      <c r="O639" s="276"/>
      <c r="P639" s="283"/>
      <c r="Q639" s="276"/>
      <c r="S639" s="283"/>
      <c r="T639" s="276"/>
      <c r="W639" s="283"/>
      <c r="X639" s="276"/>
      <c r="Y639" s="283"/>
      <c r="Z639" s="276"/>
      <c r="AA639" s="283"/>
      <c r="AB639" s="276"/>
      <c r="AC639" s="283"/>
      <c r="AE639" s="283"/>
      <c r="AF639" s="276"/>
      <c r="AI639" s="283"/>
      <c r="AJ639" s="276"/>
      <c r="AK639" s="283"/>
      <c r="AL639" s="276"/>
      <c r="AM639" s="283"/>
      <c r="AN639" s="276"/>
      <c r="AO639" s="283"/>
      <c r="AP639" s="276"/>
      <c r="AQ639" s="283"/>
      <c r="AR639" s="276"/>
      <c r="AT639" s="283"/>
      <c r="AU639" s="276"/>
      <c r="AV639" s="283"/>
      <c r="AW639" s="276"/>
      <c r="AX639" s="283"/>
      <c r="AY639" s="276"/>
      <c r="AZ639" s="283"/>
      <c r="BA639" s="276"/>
      <c r="BB639" s="283"/>
      <c r="BC639" s="276"/>
      <c r="BD639" s="283"/>
      <c r="BE639" s="276"/>
      <c r="BG639" s="283"/>
      <c r="BH639" s="276"/>
      <c r="BI639" s="283"/>
      <c r="BJ639" s="276"/>
      <c r="BK639" s="283"/>
      <c r="BL639" s="276"/>
      <c r="BM639" s="283"/>
      <c r="BN639" s="276"/>
      <c r="BO639" s="283"/>
      <c r="BP639" s="276"/>
      <c r="BQ639" s="283"/>
      <c r="BR639" s="283"/>
      <c r="BS639" s="276"/>
    </row>
    <row r="640" spans="12:71" ht="12" customHeight="1">
      <c r="L640" s="283"/>
      <c r="M640" s="276"/>
      <c r="N640" s="283"/>
      <c r="O640" s="276"/>
      <c r="P640" s="283"/>
      <c r="Q640" s="276"/>
      <c r="S640" s="283"/>
      <c r="T640" s="276"/>
      <c r="W640" s="283"/>
      <c r="X640" s="276"/>
      <c r="Y640" s="283"/>
      <c r="Z640" s="276"/>
      <c r="AA640" s="283"/>
      <c r="AB640" s="276"/>
      <c r="AC640" s="283"/>
      <c r="AE640" s="283"/>
      <c r="AF640" s="276"/>
      <c r="AI640" s="283"/>
      <c r="AJ640" s="276"/>
      <c r="AK640" s="283"/>
      <c r="AL640" s="276"/>
      <c r="AM640" s="283"/>
      <c r="AN640" s="276"/>
      <c r="AO640" s="283"/>
      <c r="AP640" s="276"/>
      <c r="AQ640" s="283"/>
      <c r="AR640" s="276"/>
      <c r="AT640" s="283"/>
      <c r="AU640" s="276"/>
      <c r="AV640" s="283"/>
      <c r="AW640" s="276"/>
      <c r="AX640" s="283"/>
      <c r="AY640" s="276"/>
      <c r="AZ640" s="283"/>
      <c r="BA640" s="276"/>
      <c r="BB640" s="283"/>
      <c r="BC640" s="276"/>
      <c r="BD640" s="283"/>
      <c r="BE640" s="276"/>
      <c r="BG640" s="283"/>
      <c r="BH640" s="276"/>
      <c r="BI640" s="283"/>
      <c r="BJ640" s="276"/>
      <c r="BK640" s="283"/>
      <c r="BL640" s="276"/>
      <c r="BM640" s="283"/>
      <c r="BN640" s="276"/>
      <c r="BO640" s="283"/>
      <c r="BP640" s="276"/>
      <c r="BQ640" s="283"/>
      <c r="BR640" s="283"/>
      <c r="BS640" s="276"/>
    </row>
    <row r="641" spans="12:71" ht="12" customHeight="1">
      <c r="L641" s="283"/>
      <c r="M641" s="276"/>
      <c r="N641" s="283"/>
      <c r="O641" s="276"/>
      <c r="P641" s="283"/>
      <c r="Q641" s="276"/>
      <c r="S641" s="283"/>
      <c r="T641" s="276"/>
      <c r="W641" s="283"/>
      <c r="X641" s="276"/>
      <c r="Y641" s="283"/>
      <c r="Z641" s="276"/>
      <c r="AA641" s="283"/>
      <c r="AB641" s="276"/>
      <c r="AC641" s="283"/>
      <c r="AE641" s="283"/>
      <c r="AF641" s="276"/>
      <c r="AI641" s="283"/>
      <c r="AJ641" s="276"/>
      <c r="AK641" s="283"/>
      <c r="AL641" s="276"/>
      <c r="AM641" s="283"/>
      <c r="AN641" s="276"/>
      <c r="AO641" s="283"/>
      <c r="AP641" s="276"/>
      <c r="AQ641" s="283"/>
      <c r="AR641" s="276"/>
      <c r="AT641" s="283"/>
      <c r="AU641" s="276"/>
      <c r="AV641" s="283"/>
      <c r="AW641" s="276"/>
      <c r="AX641" s="283"/>
      <c r="AY641" s="276"/>
      <c r="AZ641" s="283"/>
      <c r="BA641" s="276"/>
      <c r="BB641" s="283"/>
      <c r="BC641" s="276"/>
      <c r="BD641" s="283"/>
      <c r="BE641" s="276"/>
      <c r="BG641" s="283"/>
      <c r="BH641" s="276"/>
      <c r="BI641" s="283"/>
      <c r="BJ641" s="276"/>
      <c r="BK641" s="283"/>
      <c r="BL641" s="276"/>
      <c r="BM641" s="283"/>
      <c r="BN641" s="276"/>
      <c r="BO641" s="283"/>
      <c r="BP641" s="276"/>
      <c r="BQ641" s="283"/>
      <c r="BR641" s="283"/>
      <c r="BS641" s="276"/>
    </row>
    <row r="642" spans="12:71" ht="12" customHeight="1">
      <c r="L642" s="283"/>
      <c r="M642" s="276"/>
      <c r="N642" s="283"/>
      <c r="O642" s="276"/>
      <c r="P642" s="283"/>
      <c r="Q642" s="276"/>
      <c r="S642" s="283"/>
      <c r="T642" s="276"/>
      <c r="W642" s="283"/>
      <c r="X642" s="276"/>
      <c r="Y642" s="283"/>
      <c r="Z642" s="276"/>
      <c r="AA642" s="283"/>
      <c r="AB642" s="276"/>
      <c r="AC642" s="283"/>
      <c r="AE642" s="283"/>
      <c r="AF642" s="276"/>
      <c r="AI642" s="283"/>
      <c r="AJ642" s="276"/>
      <c r="AK642" s="283"/>
      <c r="AL642" s="276"/>
      <c r="AM642" s="283"/>
      <c r="AN642" s="276"/>
      <c r="AO642" s="283"/>
      <c r="AP642" s="276"/>
      <c r="AQ642" s="283"/>
      <c r="AR642" s="276"/>
      <c r="AT642" s="283"/>
      <c r="AU642" s="276"/>
      <c r="AV642" s="283"/>
      <c r="AW642" s="276"/>
      <c r="AX642" s="283"/>
      <c r="AY642" s="276"/>
      <c r="AZ642" s="283"/>
      <c r="BA642" s="276"/>
      <c r="BB642" s="283"/>
      <c r="BC642" s="276"/>
      <c r="BD642" s="283"/>
      <c r="BE642" s="276"/>
      <c r="BG642" s="283"/>
      <c r="BH642" s="276"/>
      <c r="BI642" s="283"/>
      <c r="BJ642" s="276"/>
      <c r="BK642" s="283"/>
      <c r="BL642" s="276"/>
      <c r="BM642" s="283"/>
      <c r="BN642" s="276"/>
      <c r="BO642" s="283"/>
      <c r="BP642" s="276"/>
      <c r="BQ642" s="283"/>
      <c r="BR642" s="283"/>
      <c r="BS642" s="276"/>
    </row>
    <row r="643" spans="12:71" ht="12" customHeight="1">
      <c r="L643" s="283"/>
      <c r="M643" s="276"/>
      <c r="N643" s="283"/>
      <c r="O643" s="276"/>
      <c r="P643" s="283"/>
      <c r="Q643" s="276"/>
      <c r="S643" s="283"/>
      <c r="T643" s="276"/>
      <c r="W643" s="283"/>
      <c r="X643" s="276"/>
      <c r="Y643" s="283"/>
      <c r="Z643" s="276"/>
      <c r="AA643" s="283"/>
      <c r="AB643" s="276"/>
      <c r="AC643" s="283"/>
      <c r="AE643" s="283"/>
      <c r="AF643" s="276"/>
      <c r="AI643" s="283"/>
      <c r="AJ643" s="276"/>
      <c r="AK643" s="283"/>
      <c r="AL643" s="276"/>
      <c r="AM643" s="283"/>
      <c r="AN643" s="276"/>
      <c r="AO643" s="283"/>
      <c r="AP643" s="276"/>
      <c r="AQ643" s="283"/>
      <c r="AR643" s="276"/>
      <c r="AT643" s="283"/>
      <c r="AU643" s="276"/>
      <c r="AV643" s="283"/>
      <c r="AW643" s="276"/>
      <c r="AX643" s="283"/>
      <c r="AY643" s="276"/>
      <c r="AZ643" s="283"/>
      <c r="BA643" s="276"/>
      <c r="BB643" s="283"/>
      <c r="BC643" s="276"/>
      <c r="BD643" s="283"/>
      <c r="BE643" s="276"/>
      <c r="BG643" s="283"/>
      <c r="BH643" s="276"/>
      <c r="BI643" s="283"/>
      <c r="BJ643" s="276"/>
      <c r="BK643" s="283"/>
      <c r="BL643" s="276"/>
      <c r="BM643" s="283"/>
      <c r="BN643" s="276"/>
      <c r="BO643" s="283"/>
      <c r="BP643" s="276"/>
      <c r="BQ643" s="283"/>
      <c r="BR643" s="283"/>
      <c r="BS643" s="276"/>
    </row>
    <row r="644" spans="12:71" ht="12" customHeight="1">
      <c r="L644" s="283"/>
      <c r="M644" s="276"/>
      <c r="N644" s="283"/>
      <c r="O644" s="276"/>
      <c r="P644" s="283"/>
      <c r="Q644" s="276"/>
      <c r="S644" s="283"/>
      <c r="T644" s="276"/>
      <c r="W644" s="283"/>
      <c r="X644" s="276"/>
      <c r="Y644" s="283"/>
      <c r="Z644" s="276"/>
      <c r="AA644" s="283"/>
      <c r="AB644" s="276"/>
      <c r="AC644" s="283"/>
      <c r="AE644" s="283"/>
      <c r="AF644" s="276"/>
      <c r="AI644" s="283"/>
      <c r="AJ644" s="276"/>
      <c r="AK644" s="283"/>
      <c r="AL644" s="276"/>
      <c r="AM644" s="283"/>
      <c r="AN644" s="276"/>
      <c r="AO644" s="283"/>
      <c r="AP644" s="276"/>
      <c r="AQ644" s="283"/>
      <c r="AR644" s="276"/>
      <c r="AT644" s="283"/>
      <c r="AU644" s="276"/>
      <c r="AV644" s="283"/>
      <c r="AW644" s="276"/>
      <c r="AX644" s="283"/>
      <c r="AY644" s="276"/>
      <c r="AZ644" s="283"/>
      <c r="BA644" s="276"/>
      <c r="BB644" s="283"/>
      <c r="BC644" s="276"/>
      <c r="BD644" s="283"/>
      <c r="BE644" s="276"/>
      <c r="BG644" s="283"/>
      <c r="BH644" s="276"/>
      <c r="BI644" s="283"/>
      <c r="BJ644" s="276"/>
      <c r="BK644" s="283"/>
      <c r="BL644" s="276"/>
      <c r="BM644" s="283"/>
      <c r="BN644" s="276"/>
      <c r="BO644" s="283"/>
      <c r="BP644" s="276"/>
      <c r="BQ644" s="283"/>
      <c r="BR644" s="283"/>
      <c r="BS644" s="276"/>
    </row>
    <row r="645" spans="12:71" ht="12" customHeight="1">
      <c r="L645" s="283"/>
      <c r="M645" s="276"/>
      <c r="N645" s="283"/>
      <c r="O645" s="276"/>
      <c r="P645" s="283"/>
      <c r="Q645" s="276"/>
      <c r="S645" s="283"/>
      <c r="T645" s="276"/>
      <c r="W645" s="283"/>
      <c r="X645" s="276"/>
      <c r="Y645" s="283"/>
      <c r="Z645" s="276"/>
      <c r="AA645" s="283"/>
      <c r="AB645" s="276"/>
      <c r="AC645" s="283"/>
      <c r="AE645" s="283"/>
      <c r="AF645" s="276"/>
      <c r="AI645" s="283"/>
      <c r="AJ645" s="276"/>
      <c r="AK645" s="283"/>
      <c r="AL645" s="276"/>
      <c r="AM645" s="283"/>
      <c r="AN645" s="276"/>
      <c r="AO645" s="283"/>
      <c r="AP645" s="276"/>
      <c r="AQ645" s="283"/>
      <c r="AR645" s="276"/>
      <c r="AT645" s="283"/>
      <c r="AU645" s="276"/>
      <c r="AV645" s="283"/>
      <c r="AW645" s="276"/>
      <c r="AX645" s="283"/>
      <c r="AY645" s="276"/>
      <c r="AZ645" s="283"/>
      <c r="BA645" s="276"/>
      <c r="BB645" s="283"/>
      <c r="BC645" s="276"/>
      <c r="BD645" s="283"/>
      <c r="BE645" s="276"/>
      <c r="BG645" s="283"/>
      <c r="BH645" s="276"/>
      <c r="BI645" s="283"/>
      <c r="BJ645" s="276"/>
      <c r="BK645" s="283"/>
      <c r="BL645" s="276"/>
      <c r="BM645" s="283"/>
      <c r="BN645" s="276"/>
      <c r="BO645" s="283"/>
      <c r="BP645" s="276"/>
      <c r="BQ645" s="283"/>
      <c r="BR645" s="283"/>
      <c r="BS645" s="276"/>
    </row>
    <row r="646" spans="12:71" ht="12" customHeight="1">
      <c r="L646" s="283"/>
      <c r="M646" s="276"/>
      <c r="N646" s="283"/>
      <c r="O646" s="276"/>
      <c r="P646" s="283"/>
      <c r="Q646" s="276"/>
      <c r="S646" s="283"/>
      <c r="T646" s="276"/>
      <c r="W646" s="283"/>
      <c r="X646" s="276"/>
      <c r="Y646" s="283"/>
      <c r="Z646" s="276"/>
      <c r="AA646" s="283"/>
      <c r="AB646" s="276"/>
      <c r="AC646" s="283"/>
      <c r="AE646" s="283"/>
      <c r="AF646" s="276"/>
      <c r="AI646" s="283"/>
      <c r="AJ646" s="276"/>
      <c r="AK646" s="283"/>
      <c r="AL646" s="276"/>
      <c r="AM646" s="283"/>
      <c r="AN646" s="276"/>
      <c r="AO646" s="283"/>
      <c r="AP646" s="276"/>
      <c r="AQ646" s="283"/>
      <c r="AR646" s="276"/>
      <c r="AT646" s="283"/>
      <c r="AU646" s="276"/>
      <c r="AV646" s="283"/>
      <c r="AW646" s="276"/>
      <c r="AX646" s="283"/>
      <c r="AY646" s="276"/>
      <c r="AZ646" s="283"/>
      <c r="BA646" s="276"/>
      <c r="BB646" s="283"/>
      <c r="BC646" s="276"/>
      <c r="BD646" s="283"/>
      <c r="BE646" s="276"/>
      <c r="BG646" s="283"/>
      <c r="BH646" s="276"/>
      <c r="BI646" s="283"/>
      <c r="BJ646" s="276"/>
      <c r="BK646" s="283"/>
      <c r="BL646" s="276"/>
      <c r="BM646" s="283"/>
      <c r="BN646" s="276"/>
      <c r="BO646" s="283"/>
      <c r="BP646" s="276"/>
      <c r="BQ646" s="283"/>
      <c r="BR646" s="283"/>
      <c r="BS646" s="276"/>
    </row>
    <row r="647" spans="12:71" ht="12" customHeight="1">
      <c r="L647" s="283"/>
      <c r="M647" s="276"/>
      <c r="N647" s="283"/>
      <c r="O647" s="276"/>
      <c r="P647" s="283"/>
      <c r="Q647" s="276"/>
      <c r="S647" s="283"/>
      <c r="T647" s="276"/>
      <c r="W647" s="283"/>
      <c r="X647" s="276"/>
      <c r="Y647" s="283"/>
      <c r="Z647" s="276"/>
      <c r="AA647" s="283"/>
      <c r="AB647" s="276"/>
      <c r="AC647" s="283"/>
      <c r="AE647" s="283"/>
      <c r="AF647" s="276"/>
      <c r="AI647" s="283"/>
      <c r="AJ647" s="276"/>
      <c r="AK647" s="283"/>
      <c r="AL647" s="276"/>
      <c r="AM647" s="283"/>
      <c r="AN647" s="276"/>
      <c r="AO647" s="283"/>
      <c r="AP647" s="276"/>
      <c r="AQ647" s="283"/>
      <c r="AR647" s="276"/>
      <c r="AT647" s="283"/>
      <c r="AU647" s="276"/>
      <c r="AV647" s="283"/>
      <c r="AW647" s="276"/>
      <c r="AX647" s="283"/>
      <c r="AY647" s="276"/>
      <c r="AZ647" s="283"/>
      <c r="BA647" s="276"/>
      <c r="BB647" s="283"/>
      <c r="BC647" s="276"/>
      <c r="BD647" s="283"/>
      <c r="BE647" s="276"/>
      <c r="BG647" s="283"/>
      <c r="BH647" s="276"/>
      <c r="BI647" s="283"/>
      <c r="BJ647" s="276"/>
      <c r="BK647" s="283"/>
      <c r="BL647" s="276"/>
      <c r="BM647" s="283"/>
      <c r="BN647" s="276"/>
      <c r="BO647" s="283"/>
      <c r="BP647" s="276"/>
      <c r="BQ647" s="283"/>
      <c r="BR647" s="283"/>
      <c r="BS647" s="276"/>
    </row>
    <row r="648" spans="12:71" ht="12" customHeight="1">
      <c r="L648" s="283"/>
      <c r="M648" s="276"/>
      <c r="N648" s="283"/>
      <c r="O648" s="276"/>
      <c r="P648" s="283"/>
      <c r="Q648" s="276"/>
      <c r="S648" s="283"/>
      <c r="T648" s="276"/>
      <c r="W648" s="283"/>
      <c r="X648" s="276"/>
      <c r="Y648" s="283"/>
      <c r="Z648" s="276"/>
      <c r="AA648" s="283"/>
      <c r="AB648" s="276"/>
      <c r="AC648" s="283"/>
      <c r="AE648" s="283"/>
      <c r="AF648" s="276"/>
      <c r="AI648" s="283"/>
      <c r="AJ648" s="276"/>
      <c r="AK648" s="283"/>
      <c r="AL648" s="276"/>
      <c r="AM648" s="283"/>
      <c r="AN648" s="276"/>
      <c r="AO648" s="283"/>
      <c r="AP648" s="276"/>
      <c r="AQ648" s="283"/>
      <c r="AR648" s="276"/>
      <c r="AT648" s="283"/>
      <c r="AU648" s="276"/>
      <c r="AV648" s="283"/>
      <c r="AW648" s="276"/>
      <c r="AX648" s="283"/>
      <c r="AY648" s="276"/>
      <c r="AZ648" s="283"/>
      <c r="BA648" s="276"/>
      <c r="BB648" s="283"/>
      <c r="BC648" s="276"/>
      <c r="BD648" s="283"/>
      <c r="BE648" s="276"/>
      <c r="BG648" s="283"/>
      <c r="BH648" s="276"/>
      <c r="BI648" s="283"/>
      <c r="BJ648" s="276"/>
      <c r="BK648" s="283"/>
      <c r="BL648" s="276"/>
      <c r="BM648" s="283"/>
      <c r="BN648" s="276"/>
      <c r="BO648" s="283"/>
      <c r="BP648" s="276"/>
      <c r="BQ648" s="283"/>
      <c r="BR648" s="283"/>
      <c r="BS648" s="276"/>
    </row>
    <row r="649" spans="12:71" ht="12" customHeight="1">
      <c r="L649" s="283"/>
      <c r="M649" s="276"/>
      <c r="N649" s="283"/>
      <c r="O649" s="276"/>
      <c r="P649" s="283"/>
      <c r="Q649" s="276"/>
      <c r="S649" s="283"/>
      <c r="T649" s="276"/>
      <c r="W649" s="283"/>
      <c r="X649" s="276"/>
      <c r="Y649" s="283"/>
      <c r="Z649" s="276"/>
      <c r="AA649" s="283"/>
      <c r="AB649" s="276"/>
      <c r="AC649" s="283"/>
      <c r="AE649" s="283"/>
      <c r="AF649" s="276"/>
      <c r="AI649" s="283"/>
      <c r="AJ649" s="276"/>
      <c r="AK649" s="283"/>
      <c r="AL649" s="276"/>
      <c r="AM649" s="283"/>
      <c r="AN649" s="276"/>
      <c r="AO649" s="283"/>
      <c r="AP649" s="276"/>
      <c r="AQ649" s="283"/>
      <c r="AR649" s="276"/>
      <c r="AT649" s="283"/>
      <c r="AU649" s="276"/>
      <c r="AV649" s="283"/>
      <c r="AW649" s="276"/>
      <c r="AX649" s="283"/>
      <c r="AY649" s="276"/>
      <c r="AZ649" s="283"/>
      <c r="BA649" s="276"/>
      <c r="BB649" s="283"/>
      <c r="BC649" s="276"/>
      <c r="BD649" s="283"/>
      <c r="BE649" s="276"/>
      <c r="BG649" s="283"/>
      <c r="BH649" s="276"/>
      <c r="BI649" s="283"/>
      <c r="BJ649" s="276"/>
      <c r="BK649" s="283"/>
      <c r="BL649" s="276"/>
      <c r="BM649" s="283"/>
      <c r="BN649" s="276"/>
      <c r="BO649" s="283"/>
      <c r="BP649" s="276"/>
      <c r="BQ649" s="283"/>
      <c r="BR649" s="283"/>
      <c r="BS649" s="276"/>
    </row>
    <row r="650" spans="12:71" ht="12" customHeight="1">
      <c r="L650" s="283"/>
      <c r="M650" s="276"/>
      <c r="N650" s="283"/>
      <c r="O650" s="276"/>
      <c r="P650" s="283"/>
      <c r="Q650" s="276"/>
      <c r="S650" s="283"/>
      <c r="T650" s="276"/>
      <c r="W650" s="283"/>
      <c r="X650" s="276"/>
      <c r="Y650" s="283"/>
      <c r="Z650" s="276"/>
      <c r="AA650" s="283"/>
      <c r="AB650" s="276"/>
      <c r="AC650" s="283"/>
      <c r="AE650" s="283"/>
      <c r="AF650" s="276"/>
      <c r="AI650" s="283"/>
      <c r="AJ650" s="276"/>
      <c r="AK650" s="283"/>
      <c r="AL650" s="276"/>
      <c r="AM650" s="283"/>
      <c r="AN650" s="276"/>
      <c r="AO650" s="283"/>
      <c r="AP650" s="276"/>
      <c r="AQ650" s="283"/>
      <c r="AR650" s="276"/>
      <c r="AT650" s="283"/>
      <c r="AU650" s="276"/>
      <c r="AV650" s="283"/>
      <c r="AW650" s="276"/>
      <c r="AX650" s="283"/>
      <c r="AY650" s="276"/>
      <c r="AZ650" s="283"/>
      <c r="BA650" s="276"/>
      <c r="BB650" s="283"/>
      <c r="BC650" s="276"/>
      <c r="BD650" s="283"/>
      <c r="BE650" s="276"/>
      <c r="BG650" s="283"/>
      <c r="BH650" s="276"/>
      <c r="BI650" s="283"/>
      <c r="BJ650" s="276"/>
      <c r="BK650" s="283"/>
      <c r="BL650" s="276"/>
      <c r="BM650" s="283"/>
      <c r="BN650" s="276"/>
      <c r="BO650" s="283"/>
      <c r="BP650" s="276"/>
      <c r="BQ650" s="283"/>
      <c r="BR650" s="283"/>
      <c r="BS650" s="276"/>
    </row>
    <row r="651" spans="12:71" ht="12" customHeight="1">
      <c r="L651" s="283"/>
      <c r="M651" s="276"/>
      <c r="N651" s="283"/>
      <c r="O651" s="276"/>
      <c r="P651" s="283"/>
      <c r="Q651" s="276"/>
      <c r="S651" s="283"/>
      <c r="T651" s="276"/>
      <c r="W651" s="283"/>
      <c r="X651" s="276"/>
      <c r="Y651" s="283"/>
      <c r="Z651" s="276"/>
      <c r="AA651" s="283"/>
      <c r="AB651" s="276"/>
      <c r="AC651" s="283"/>
      <c r="AE651" s="283"/>
      <c r="AF651" s="276"/>
      <c r="AI651" s="283"/>
      <c r="AJ651" s="276"/>
      <c r="AK651" s="283"/>
      <c r="AL651" s="276"/>
      <c r="AM651" s="283"/>
      <c r="AN651" s="276"/>
      <c r="AO651" s="283"/>
      <c r="AP651" s="276"/>
      <c r="AQ651" s="283"/>
      <c r="AR651" s="276"/>
      <c r="AT651" s="283"/>
      <c r="AU651" s="276"/>
      <c r="AV651" s="283"/>
      <c r="AW651" s="276"/>
      <c r="AX651" s="283"/>
      <c r="AY651" s="276"/>
      <c r="AZ651" s="283"/>
      <c r="BA651" s="276"/>
      <c r="BB651" s="283"/>
      <c r="BC651" s="276"/>
      <c r="BD651" s="283"/>
      <c r="BE651" s="276"/>
      <c r="BG651" s="283"/>
      <c r="BH651" s="276"/>
      <c r="BI651" s="283"/>
      <c r="BJ651" s="276"/>
      <c r="BK651" s="283"/>
      <c r="BL651" s="276"/>
      <c r="BM651" s="283"/>
      <c r="BN651" s="276"/>
      <c r="BO651" s="283"/>
      <c r="BP651" s="276"/>
      <c r="BQ651" s="283"/>
      <c r="BR651" s="283"/>
      <c r="BS651" s="276"/>
    </row>
    <row r="652" spans="12:71" ht="12" customHeight="1">
      <c r="L652" s="283"/>
      <c r="M652" s="276"/>
      <c r="N652" s="283"/>
      <c r="O652" s="276"/>
      <c r="P652" s="283"/>
      <c r="Q652" s="276"/>
      <c r="S652" s="283"/>
      <c r="T652" s="276"/>
      <c r="W652" s="283"/>
      <c r="X652" s="276"/>
      <c r="Y652" s="283"/>
      <c r="Z652" s="276"/>
      <c r="AA652" s="283"/>
      <c r="AB652" s="276"/>
      <c r="AC652" s="283"/>
      <c r="AE652" s="283"/>
      <c r="AF652" s="276"/>
      <c r="AI652" s="283"/>
      <c r="AJ652" s="276"/>
      <c r="AK652" s="283"/>
      <c r="AL652" s="276"/>
      <c r="AM652" s="283"/>
      <c r="AN652" s="276"/>
      <c r="AO652" s="283"/>
      <c r="AP652" s="276"/>
      <c r="AQ652" s="283"/>
      <c r="AR652" s="276"/>
      <c r="AT652" s="283"/>
      <c r="AU652" s="276"/>
      <c r="AV652" s="283"/>
      <c r="AW652" s="276"/>
      <c r="AX652" s="283"/>
      <c r="AY652" s="276"/>
      <c r="AZ652" s="283"/>
      <c r="BA652" s="276"/>
      <c r="BB652" s="283"/>
      <c r="BC652" s="276"/>
      <c r="BD652" s="283"/>
      <c r="BE652" s="276"/>
      <c r="BG652" s="283"/>
      <c r="BH652" s="276"/>
      <c r="BI652" s="283"/>
      <c r="BJ652" s="276"/>
      <c r="BK652" s="283"/>
      <c r="BL652" s="276"/>
      <c r="BM652" s="283"/>
      <c r="BN652" s="276"/>
      <c r="BO652" s="283"/>
      <c r="BP652" s="276"/>
      <c r="BQ652" s="283"/>
      <c r="BR652" s="283"/>
      <c r="BS652" s="276"/>
    </row>
    <row r="653" spans="12:71" ht="12" customHeight="1">
      <c r="L653" s="283"/>
      <c r="M653" s="276"/>
      <c r="N653" s="283"/>
      <c r="O653" s="276"/>
      <c r="P653" s="283"/>
      <c r="Q653" s="276"/>
      <c r="S653" s="283"/>
      <c r="T653" s="276"/>
      <c r="W653" s="283"/>
      <c r="X653" s="276"/>
      <c r="Y653" s="283"/>
      <c r="Z653" s="276"/>
      <c r="AA653" s="283"/>
      <c r="AB653" s="276"/>
      <c r="AC653" s="283"/>
      <c r="AE653" s="283"/>
      <c r="AF653" s="276"/>
      <c r="AI653" s="283"/>
      <c r="AJ653" s="276"/>
      <c r="AK653" s="283"/>
      <c r="AL653" s="276"/>
      <c r="AM653" s="283"/>
      <c r="AN653" s="276"/>
      <c r="AO653" s="283"/>
      <c r="AP653" s="276"/>
      <c r="AQ653" s="283"/>
      <c r="AR653" s="276"/>
      <c r="AT653" s="283"/>
      <c r="AU653" s="276"/>
      <c r="AV653" s="283"/>
      <c r="AW653" s="276"/>
      <c r="AX653" s="283"/>
      <c r="AY653" s="276"/>
      <c r="AZ653" s="283"/>
      <c r="BA653" s="276"/>
      <c r="BB653" s="283"/>
      <c r="BC653" s="276"/>
      <c r="BD653" s="283"/>
      <c r="BE653" s="276"/>
      <c r="BG653" s="283"/>
      <c r="BH653" s="276"/>
      <c r="BI653" s="283"/>
      <c r="BJ653" s="276"/>
      <c r="BK653" s="283"/>
      <c r="BL653" s="276"/>
      <c r="BM653" s="283"/>
      <c r="BN653" s="276"/>
      <c r="BO653" s="283"/>
      <c r="BP653" s="276"/>
      <c r="BQ653" s="283"/>
      <c r="BR653" s="283"/>
      <c r="BS653" s="276"/>
    </row>
    <row r="654" spans="12:71" ht="12" customHeight="1">
      <c r="L654" s="283"/>
      <c r="M654" s="276"/>
      <c r="N654" s="283"/>
      <c r="O654" s="276"/>
      <c r="P654" s="283"/>
      <c r="Q654" s="276"/>
      <c r="S654" s="283"/>
      <c r="T654" s="276"/>
      <c r="W654" s="283"/>
      <c r="X654" s="276"/>
      <c r="Y654" s="283"/>
      <c r="Z654" s="276"/>
      <c r="AA654" s="283"/>
      <c r="AB654" s="276"/>
      <c r="AC654" s="283"/>
      <c r="AE654" s="283"/>
      <c r="AF654" s="276"/>
      <c r="AI654" s="283"/>
      <c r="AJ654" s="276"/>
      <c r="AK654" s="283"/>
      <c r="AL654" s="276"/>
      <c r="AM654" s="283"/>
      <c r="AN654" s="276"/>
      <c r="AO654" s="283"/>
      <c r="AP654" s="276"/>
      <c r="AQ654" s="283"/>
      <c r="AR654" s="276"/>
      <c r="AT654" s="283"/>
      <c r="AU654" s="276"/>
      <c r="AV654" s="283"/>
      <c r="AW654" s="276"/>
      <c r="AX654" s="283"/>
      <c r="AY654" s="276"/>
      <c r="AZ654" s="283"/>
      <c r="BA654" s="276"/>
      <c r="BB654" s="283"/>
      <c r="BC654" s="276"/>
      <c r="BD654" s="283"/>
      <c r="BE654" s="276"/>
      <c r="BG654" s="283"/>
      <c r="BH654" s="276"/>
      <c r="BI654" s="283"/>
      <c r="BJ654" s="276"/>
      <c r="BK654" s="283"/>
      <c r="BL654" s="276"/>
      <c r="BM654" s="283"/>
      <c r="BN654" s="276"/>
      <c r="BO654" s="283"/>
      <c r="BP654" s="276"/>
      <c r="BQ654" s="283"/>
      <c r="BR654" s="283"/>
      <c r="BS654" s="276"/>
    </row>
    <row r="655" spans="12:71" ht="12" customHeight="1">
      <c r="L655" s="283"/>
      <c r="M655" s="276"/>
      <c r="N655" s="283"/>
      <c r="O655" s="276"/>
      <c r="P655" s="283"/>
      <c r="Q655" s="276"/>
      <c r="S655" s="283"/>
      <c r="T655" s="276"/>
      <c r="W655" s="283"/>
      <c r="X655" s="276"/>
      <c r="Y655" s="283"/>
      <c r="Z655" s="276"/>
      <c r="AA655" s="283"/>
      <c r="AB655" s="276"/>
      <c r="AC655" s="283"/>
      <c r="AE655" s="283"/>
      <c r="AF655" s="276"/>
      <c r="AI655" s="283"/>
      <c r="AJ655" s="276"/>
      <c r="AK655" s="283"/>
      <c r="AL655" s="276"/>
      <c r="AM655" s="283"/>
      <c r="AN655" s="276"/>
      <c r="AO655" s="283"/>
      <c r="AP655" s="276"/>
      <c r="AQ655" s="283"/>
      <c r="AR655" s="276"/>
      <c r="AT655" s="283"/>
      <c r="AU655" s="276"/>
      <c r="AV655" s="283"/>
      <c r="AW655" s="276"/>
      <c r="AX655" s="283"/>
      <c r="AY655" s="276"/>
      <c r="AZ655" s="283"/>
      <c r="BA655" s="276"/>
      <c r="BB655" s="283"/>
      <c r="BC655" s="276"/>
      <c r="BD655" s="283"/>
      <c r="BE655" s="276"/>
      <c r="BG655" s="283"/>
      <c r="BH655" s="276"/>
      <c r="BI655" s="283"/>
      <c r="BJ655" s="276"/>
      <c r="BK655" s="283"/>
      <c r="BL655" s="276"/>
      <c r="BM655" s="283"/>
      <c r="BN655" s="276"/>
      <c r="BO655" s="283"/>
      <c r="BP655" s="276"/>
      <c r="BQ655" s="283"/>
      <c r="BR655" s="283"/>
      <c r="BS655" s="276"/>
    </row>
    <row r="656" spans="12:71" ht="12" customHeight="1">
      <c r="L656" s="283"/>
      <c r="M656" s="276"/>
      <c r="N656" s="283"/>
      <c r="O656" s="276"/>
      <c r="P656" s="283"/>
      <c r="Q656" s="276"/>
      <c r="S656" s="283"/>
      <c r="T656" s="276"/>
      <c r="W656" s="283"/>
      <c r="X656" s="276"/>
      <c r="Y656" s="283"/>
      <c r="Z656" s="276"/>
      <c r="AA656" s="283"/>
      <c r="AB656" s="276"/>
      <c r="AC656" s="283"/>
      <c r="AE656" s="283"/>
      <c r="AF656" s="276"/>
      <c r="AI656" s="283"/>
      <c r="AJ656" s="276"/>
      <c r="AK656" s="283"/>
      <c r="AL656" s="276"/>
      <c r="AM656" s="283"/>
      <c r="AN656" s="276"/>
      <c r="AO656" s="283"/>
      <c r="AP656" s="276"/>
      <c r="AQ656" s="283"/>
      <c r="AR656" s="276"/>
      <c r="AT656" s="283"/>
      <c r="AU656" s="276"/>
      <c r="AV656" s="283"/>
      <c r="AW656" s="276"/>
      <c r="AX656" s="283"/>
      <c r="AY656" s="276"/>
      <c r="AZ656" s="283"/>
      <c r="BA656" s="276"/>
      <c r="BB656" s="283"/>
      <c r="BC656" s="276"/>
      <c r="BD656" s="283"/>
      <c r="BE656" s="276"/>
      <c r="BG656" s="283"/>
      <c r="BH656" s="276"/>
      <c r="BI656" s="283"/>
      <c r="BJ656" s="276"/>
      <c r="BK656" s="283"/>
      <c r="BL656" s="276"/>
      <c r="BM656" s="283"/>
      <c r="BN656" s="276"/>
      <c r="BO656" s="283"/>
      <c r="BP656" s="276"/>
      <c r="BQ656" s="283"/>
      <c r="BR656" s="283"/>
      <c r="BS656" s="276"/>
    </row>
    <row r="657" spans="12:71" ht="12" customHeight="1">
      <c r="L657" s="283"/>
      <c r="M657" s="276"/>
      <c r="N657" s="283"/>
      <c r="O657" s="276"/>
      <c r="P657" s="283"/>
      <c r="Q657" s="276"/>
      <c r="S657" s="283"/>
      <c r="T657" s="276"/>
      <c r="W657" s="283"/>
      <c r="X657" s="276"/>
      <c r="Y657" s="283"/>
      <c r="Z657" s="276"/>
      <c r="AA657" s="283"/>
      <c r="AB657" s="276"/>
      <c r="AC657" s="283"/>
      <c r="AE657" s="283"/>
      <c r="AF657" s="276"/>
      <c r="AI657" s="283"/>
      <c r="AJ657" s="276"/>
      <c r="AK657" s="283"/>
      <c r="AL657" s="276"/>
      <c r="AM657" s="283"/>
      <c r="AN657" s="276"/>
      <c r="AO657" s="283"/>
      <c r="AP657" s="276"/>
      <c r="AQ657" s="283"/>
      <c r="AR657" s="276"/>
      <c r="AT657" s="283"/>
      <c r="AU657" s="276"/>
      <c r="AV657" s="283"/>
      <c r="AW657" s="276"/>
      <c r="AX657" s="283"/>
      <c r="AY657" s="276"/>
      <c r="AZ657" s="283"/>
      <c r="BA657" s="276"/>
      <c r="BB657" s="283"/>
      <c r="BC657" s="276"/>
      <c r="BD657" s="283"/>
      <c r="BE657" s="276"/>
      <c r="BG657" s="283"/>
      <c r="BH657" s="276"/>
      <c r="BI657" s="283"/>
      <c r="BJ657" s="276"/>
      <c r="BK657" s="283"/>
      <c r="BL657" s="276"/>
      <c r="BM657" s="283"/>
      <c r="BN657" s="276"/>
      <c r="BO657" s="283"/>
      <c r="BP657" s="276"/>
      <c r="BQ657" s="283"/>
      <c r="BR657" s="283"/>
      <c r="BS657" s="276"/>
    </row>
    <row r="658" spans="12:71" ht="12" customHeight="1">
      <c r="L658" s="283"/>
      <c r="M658" s="276"/>
      <c r="N658" s="283"/>
      <c r="O658" s="276"/>
      <c r="P658" s="283"/>
      <c r="Q658" s="276"/>
      <c r="S658" s="283"/>
      <c r="T658" s="276"/>
      <c r="W658" s="283"/>
      <c r="X658" s="276"/>
      <c r="Y658" s="283"/>
      <c r="Z658" s="276"/>
      <c r="AA658" s="283"/>
      <c r="AB658" s="276"/>
      <c r="AC658" s="283"/>
      <c r="AE658" s="283"/>
      <c r="AF658" s="276"/>
      <c r="AI658" s="283"/>
      <c r="AJ658" s="276"/>
      <c r="AK658" s="283"/>
      <c r="AL658" s="276"/>
      <c r="AM658" s="283"/>
      <c r="AN658" s="276"/>
      <c r="AO658" s="283"/>
      <c r="AP658" s="276"/>
      <c r="AQ658" s="283"/>
      <c r="AR658" s="276"/>
      <c r="AT658" s="283"/>
      <c r="AU658" s="276"/>
      <c r="AV658" s="283"/>
      <c r="AW658" s="276"/>
      <c r="AX658" s="283"/>
      <c r="AY658" s="276"/>
      <c r="AZ658" s="283"/>
      <c r="BA658" s="276"/>
      <c r="BB658" s="283"/>
      <c r="BC658" s="276"/>
      <c r="BD658" s="283"/>
      <c r="BE658" s="276"/>
      <c r="BG658" s="283"/>
      <c r="BH658" s="276"/>
      <c r="BI658" s="283"/>
      <c r="BJ658" s="276"/>
      <c r="BK658" s="283"/>
      <c r="BL658" s="276"/>
      <c r="BM658" s="283"/>
      <c r="BN658" s="276"/>
      <c r="BO658" s="283"/>
      <c r="BP658" s="276"/>
      <c r="BQ658" s="283"/>
      <c r="BR658" s="283"/>
      <c r="BS658" s="276"/>
    </row>
    <row r="659" spans="12:71" ht="12" customHeight="1">
      <c r="L659" s="283"/>
      <c r="M659" s="276"/>
      <c r="N659" s="283"/>
      <c r="O659" s="276"/>
      <c r="P659" s="283"/>
      <c r="Q659" s="276"/>
      <c r="S659" s="283"/>
      <c r="T659" s="276"/>
      <c r="W659" s="283"/>
      <c r="X659" s="276"/>
      <c r="Y659" s="283"/>
      <c r="Z659" s="276"/>
      <c r="AA659" s="283"/>
      <c r="AB659" s="276"/>
      <c r="AC659" s="283"/>
      <c r="AE659" s="283"/>
      <c r="AF659" s="276"/>
      <c r="AI659" s="283"/>
      <c r="AJ659" s="276"/>
      <c r="AK659" s="283"/>
      <c r="AL659" s="276"/>
      <c r="AM659" s="283"/>
      <c r="AN659" s="276"/>
      <c r="AO659" s="283"/>
      <c r="AP659" s="276"/>
      <c r="AQ659" s="283"/>
      <c r="AR659" s="276"/>
      <c r="AT659" s="283"/>
      <c r="AU659" s="276"/>
      <c r="AV659" s="283"/>
      <c r="AW659" s="276"/>
      <c r="AX659" s="283"/>
      <c r="AY659" s="276"/>
      <c r="AZ659" s="283"/>
      <c r="BA659" s="276"/>
      <c r="BB659" s="283"/>
      <c r="BC659" s="276"/>
      <c r="BD659" s="283"/>
      <c r="BE659" s="276"/>
      <c r="BG659" s="283"/>
      <c r="BH659" s="276"/>
      <c r="BI659" s="283"/>
      <c r="BJ659" s="276"/>
      <c r="BK659" s="283"/>
      <c r="BL659" s="276"/>
      <c r="BM659" s="283"/>
      <c r="BN659" s="276"/>
      <c r="BO659" s="283"/>
      <c r="BP659" s="276"/>
      <c r="BQ659" s="283"/>
      <c r="BR659" s="283"/>
      <c r="BS659" s="276"/>
    </row>
    <row r="660" spans="12:71" ht="12" customHeight="1">
      <c r="L660" s="283"/>
      <c r="M660" s="276"/>
      <c r="N660" s="283"/>
      <c r="O660" s="276"/>
      <c r="P660" s="283"/>
      <c r="Q660" s="276"/>
      <c r="S660" s="283"/>
      <c r="T660" s="276"/>
      <c r="W660" s="283"/>
      <c r="X660" s="276"/>
      <c r="Y660" s="283"/>
      <c r="Z660" s="276"/>
      <c r="AA660" s="283"/>
      <c r="AB660" s="276"/>
      <c r="AC660" s="283"/>
      <c r="AE660" s="283"/>
      <c r="AF660" s="276"/>
      <c r="AI660" s="283"/>
      <c r="AJ660" s="276"/>
      <c r="AK660" s="283"/>
      <c r="AL660" s="276"/>
      <c r="AM660" s="283"/>
      <c r="AN660" s="276"/>
      <c r="AO660" s="283"/>
      <c r="AP660" s="276"/>
      <c r="AQ660" s="283"/>
      <c r="AR660" s="276"/>
      <c r="AT660" s="283"/>
      <c r="AU660" s="276"/>
      <c r="AV660" s="283"/>
      <c r="AW660" s="276"/>
      <c r="AX660" s="283"/>
      <c r="AY660" s="276"/>
      <c r="AZ660" s="283"/>
      <c r="BA660" s="276"/>
      <c r="BB660" s="283"/>
      <c r="BC660" s="276"/>
      <c r="BD660" s="283"/>
      <c r="BE660" s="276"/>
      <c r="BG660" s="283"/>
      <c r="BH660" s="276"/>
      <c r="BI660" s="283"/>
      <c r="BJ660" s="276"/>
      <c r="BK660" s="283"/>
      <c r="BL660" s="276"/>
      <c r="BM660" s="283"/>
      <c r="BN660" s="276"/>
      <c r="BO660" s="283"/>
      <c r="BP660" s="276"/>
      <c r="BQ660" s="283"/>
      <c r="BR660" s="283"/>
      <c r="BS660" s="276"/>
    </row>
    <row r="661" spans="12:71" ht="12" customHeight="1">
      <c r="L661" s="283"/>
      <c r="M661" s="276"/>
      <c r="N661" s="283"/>
      <c r="O661" s="276"/>
      <c r="P661" s="283"/>
      <c r="Q661" s="276"/>
      <c r="S661" s="283"/>
      <c r="T661" s="276"/>
      <c r="W661" s="283"/>
      <c r="X661" s="276"/>
      <c r="Y661" s="283"/>
      <c r="Z661" s="276"/>
      <c r="AA661" s="283"/>
      <c r="AB661" s="276"/>
      <c r="AC661" s="283"/>
      <c r="AE661" s="283"/>
      <c r="AF661" s="276"/>
      <c r="AI661" s="283"/>
      <c r="AJ661" s="276"/>
      <c r="AK661" s="283"/>
      <c r="AL661" s="276"/>
      <c r="AM661" s="283"/>
      <c r="AN661" s="276"/>
      <c r="AO661" s="283"/>
      <c r="AP661" s="276"/>
      <c r="AQ661" s="283"/>
      <c r="AR661" s="276"/>
      <c r="AT661" s="283"/>
      <c r="AU661" s="276"/>
      <c r="AV661" s="283"/>
      <c r="AW661" s="276"/>
      <c r="AX661" s="283"/>
      <c r="AY661" s="276"/>
      <c r="AZ661" s="283"/>
      <c r="BA661" s="276"/>
      <c r="BB661" s="283"/>
      <c r="BC661" s="276"/>
      <c r="BD661" s="283"/>
      <c r="BE661" s="276"/>
      <c r="BG661" s="283"/>
      <c r="BH661" s="276"/>
      <c r="BI661" s="283"/>
      <c r="BJ661" s="276"/>
      <c r="BK661" s="283"/>
      <c r="BL661" s="276"/>
      <c r="BM661" s="283"/>
      <c r="BN661" s="276"/>
      <c r="BO661" s="283"/>
      <c r="BP661" s="276"/>
      <c r="BQ661" s="283"/>
      <c r="BR661" s="283"/>
      <c r="BS661" s="276"/>
    </row>
    <row r="662" spans="12:71" ht="12" customHeight="1">
      <c r="L662" s="283"/>
      <c r="M662" s="276"/>
      <c r="N662" s="283"/>
      <c r="O662" s="276"/>
      <c r="P662" s="283"/>
      <c r="Q662" s="276"/>
      <c r="S662" s="283"/>
      <c r="T662" s="276"/>
      <c r="W662" s="283"/>
      <c r="X662" s="276"/>
      <c r="Y662" s="283"/>
      <c r="Z662" s="276"/>
      <c r="AA662" s="283"/>
      <c r="AB662" s="276"/>
      <c r="AC662" s="283"/>
      <c r="AE662" s="283"/>
      <c r="AF662" s="276"/>
      <c r="AI662" s="283"/>
      <c r="AJ662" s="276"/>
      <c r="AK662" s="283"/>
      <c r="AL662" s="276"/>
      <c r="AM662" s="283"/>
      <c r="AN662" s="276"/>
      <c r="AO662" s="283"/>
      <c r="AP662" s="276"/>
      <c r="AQ662" s="283"/>
      <c r="AR662" s="276"/>
      <c r="AT662" s="283"/>
      <c r="AU662" s="276"/>
      <c r="AV662" s="283"/>
      <c r="AW662" s="276"/>
      <c r="AX662" s="283"/>
      <c r="AY662" s="276"/>
      <c r="AZ662" s="283"/>
      <c r="BA662" s="276"/>
      <c r="BB662" s="283"/>
      <c r="BC662" s="276"/>
      <c r="BD662" s="283"/>
      <c r="BE662" s="276"/>
      <c r="BG662" s="283"/>
      <c r="BH662" s="276"/>
      <c r="BI662" s="283"/>
      <c r="BJ662" s="276"/>
      <c r="BK662" s="283"/>
      <c r="BL662" s="276"/>
      <c r="BM662" s="283"/>
      <c r="BN662" s="276"/>
      <c r="BO662" s="283"/>
      <c r="BP662" s="276"/>
      <c r="BQ662" s="283"/>
      <c r="BR662" s="283"/>
      <c r="BS662" s="276"/>
    </row>
    <row r="663" spans="12:71" ht="12" customHeight="1">
      <c r="L663" s="283"/>
      <c r="M663" s="276"/>
      <c r="N663" s="283"/>
      <c r="O663" s="276"/>
      <c r="P663" s="283"/>
      <c r="Q663" s="276"/>
      <c r="S663" s="283"/>
      <c r="T663" s="276"/>
      <c r="W663" s="283"/>
      <c r="X663" s="276"/>
      <c r="Y663" s="283"/>
      <c r="Z663" s="276"/>
      <c r="AA663" s="283"/>
      <c r="AB663" s="276"/>
      <c r="AC663" s="283"/>
      <c r="AE663" s="283"/>
      <c r="AF663" s="276"/>
      <c r="AI663" s="283"/>
      <c r="AJ663" s="276"/>
      <c r="AK663" s="283"/>
      <c r="AL663" s="276"/>
      <c r="AM663" s="283"/>
      <c r="AN663" s="276"/>
      <c r="AO663" s="283"/>
      <c r="AP663" s="276"/>
      <c r="AQ663" s="283"/>
      <c r="AR663" s="276"/>
      <c r="AT663" s="283"/>
      <c r="AU663" s="276"/>
      <c r="AV663" s="283"/>
      <c r="AW663" s="276"/>
      <c r="AX663" s="283"/>
      <c r="AY663" s="276"/>
      <c r="AZ663" s="283"/>
      <c r="BA663" s="276"/>
      <c r="BB663" s="283"/>
      <c r="BC663" s="276"/>
      <c r="BD663" s="283"/>
      <c r="BE663" s="276"/>
      <c r="BG663" s="283"/>
      <c r="BH663" s="276"/>
      <c r="BI663" s="283"/>
      <c r="BJ663" s="276"/>
      <c r="BK663" s="283"/>
      <c r="BL663" s="276"/>
      <c r="BM663" s="283"/>
      <c r="BN663" s="276"/>
      <c r="BO663" s="283"/>
      <c r="BP663" s="276"/>
      <c r="BQ663" s="283"/>
      <c r="BR663" s="283"/>
      <c r="BS663" s="276"/>
    </row>
    <row r="664" spans="12:71" ht="12" customHeight="1">
      <c r="L664" s="283"/>
      <c r="M664" s="276"/>
      <c r="N664" s="283"/>
      <c r="O664" s="276"/>
      <c r="P664" s="283"/>
      <c r="Q664" s="276"/>
      <c r="S664" s="283"/>
      <c r="T664" s="276"/>
      <c r="W664" s="283"/>
      <c r="X664" s="276"/>
      <c r="Y664" s="283"/>
      <c r="Z664" s="276"/>
      <c r="AA664" s="283"/>
      <c r="AB664" s="276"/>
      <c r="AC664" s="283"/>
      <c r="AE664" s="283"/>
      <c r="AF664" s="276"/>
      <c r="AI664" s="283"/>
      <c r="AJ664" s="276"/>
      <c r="AK664" s="283"/>
      <c r="AL664" s="276"/>
      <c r="AM664" s="283"/>
      <c r="AN664" s="276"/>
      <c r="AO664" s="283"/>
      <c r="AP664" s="276"/>
      <c r="AQ664" s="283"/>
      <c r="AR664" s="276"/>
      <c r="AT664" s="283"/>
      <c r="AU664" s="276"/>
      <c r="AV664" s="283"/>
      <c r="AW664" s="276"/>
      <c r="AX664" s="283"/>
      <c r="AY664" s="276"/>
      <c r="AZ664" s="283"/>
      <c r="BA664" s="276"/>
      <c r="BB664" s="283"/>
      <c r="BC664" s="276"/>
      <c r="BD664" s="283"/>
      <c r="BE664" s="276"/>
      <c r="BG664" s="283"/>
      <c r="BH664" s="276"/>
      <c r="BI664" s="283"/>
      <c r="BJ664" s="276"/>
      <c r="BK664" s="283"/>
      <c r="BL664" s="276"/>
      <c r="BM664" s="283"/>
      <c r="BN664" s="276"/>
      <c r="BO664" s="283"/>
      <c r="BP664" s="276"/>
      <c r="BQ664" s="283"/>
      <c r="BR664" s="283"/>
      <c r="BS664" s="276"/>
    </row>
    <row r="665" spans="12:71" ht="12" customHeight="1">
      <c r="L665" s="283"/>
      <c r="M665" s="276"/>
      <c r="N665" s="283"/>
      <c r="O665" s="276"/>
      <c r="P665" s="283"/>
      <c r="Q665" s="276"/>
      <c r="S665" s="283"/>
      <c r="T665" s="276"/>
      <c r="W665" s="283"/>
      <c r="X665" s="276"/>
      <c r="Y665" s="283"/>
      <c r="Z665" s="276"/>
      <c r="AA665" s="283"/>
      <c r="AB665" s="276"/>
      <c r="AC665" s="283"/>
      <c r="AE665" s="283"/>
      <c r="AF665" s="276"/>
      <c r="AI665" s="283"/>
      <c r="AJ665" s="276"/>
      <c r="AK665" s="283"/>
      <c r="AL665" s="276"/>
      <c r="AM665" s="283"/>
      <c r="AN665" s="276"/>
      <c r="AO665" s="283"/>
      <c r="AP665" s="276"/>
      <c r="AQ665" s="283"/>
      <c r="AR665" s="276"/>
      <c r="AT665" s="283"/>
      <c r="AU665" s="276"/>
      <c r="AV665" s="283"/>
      <c r="AW665" s="276"/>
      <c r="AX665" s="283"/>
      <c r="AY665" s="276"/>
      <c r="AZ665" s="283"/>
      <c r="BA665" s="276"/>
      <c r="BB665" s="283"/>
      <c r="BC665" s="276"/>
      <c r="BD665" s="283"/>
      <c r="BE665" s="276"/>
      <c r="BG665" s="283"/>
      <c r="BH665" s="276"/>
      <c r="BI665" s="283"/>
      <c r="BJ665" s="276"/>
      <c r="BK665" s="283"/>
      <c r="BL665" s="276"/>
      <c r="BM665" s="283"/>
      <c r="BN665" s="276"/>
      <c r="BO665" s="283"/>
      <c r="BP665" s="276"/>
      <c r="BQ665" s="283"/>
      <c r="BR665" s="283"/>
      <c r="BS665" s="276"/>
    </row>
    <row r="666" spans="12:71" ht="12" customHeight="1">
      <c r="L666" s="283"/>
      <c r="M666" s="276"/>
      <c r="N666" s="283"/>
      <c r="O666" s="276"/>
      <c r="P666" s="283"/>
      <c r="Q666" s="276"/>
      <c r="S666" s="283"/>
      <c r="T666" s="276"/>
      <c r="W666" s="283"/>
      <c r="X666" s="276"/>
      <c r="Y666" s="283"/>
      <c r="Z666" s="276"/>
      <c r="AA666" s="283"/>
      <c r="AB666" s="276"/>
      <c r="AC666" s="283"/>
      <c r="AE666" s="283"/>
      <c r="AF666" s="276"/>
      <c r="AI666" s="283"/>
      <c r="AJ666" s="276"/>
      <c r="AK666" s="283"/>
      <c r="AL666" s="276"/>
      <c r="AM666" s="283"/>
      <c r="AN666" s="276"/>
      <c r="AO666" s="283"/>
      <c r="AP666" s="276"/>
      <c r="AQ666" s="283"/>
      <c r="AR666" s="276"/>
      <c r="AT666" s="283"/>
      <c r="AU666" s="276"/>
      <c r="AV666" s="283"/>
      <c r="AW666" s="276"/>
      <c r="AX666" s="283"/>
      <c r="AY666" s="276"/>
      <c r="AZ666" s="283"/>
      <c r="BA666" s="276"/>
      <c r="BB666" s="283"/>
      <c r="BC666" s="276"/>
      <c r="BD666" s="283"/>
      <c r="BE666" s="276"/>
      <c r="BG666" s="283"/>
      <c r="BH666" s="276"/>
      <c r="BI666" s="283"/>
      <c r="BJ666" s="276"/>
      <c r="BK666" s="283"/>
      <c r="BL666" s="276"/>
      <c r="BM666" s="283"/>
      <c r="BN666" s="276"/>
      <c r="BO666" s="283"/>
      <c r="BP666" s="276"/>
      <c r="BQ666" s="283"/>
      <c r="BR666" s="283"/>
      <c r="BS666" s="276"/>
    </row>
    <row r="667" spans="12:71" ht="12" customHeight="1">
      <c r="L667" s="283"/>
      <c r="M667" s="276"/>
      <c r="N667" s="283"/>
      <c r="O667" s="276"/>
      <c r="P667" s="283"/>
      <c r="Q667" s="276"/>
      <c r="S667" s="283"/>
      <c r="T667" s="276"/>
      <c r="W667" s="283"/>
      <c r="X667" s="276"/>
      <c r="Y667" s="283"/>
      <c r="Z667" s="276"/>
      <c r="AA667" s="283"/>
      <c r="AB667" s="276"/>
      <c r="AC667" s="283"/>
      <c r="AE667" s="283"/>
      <c r="AF667" s="276"/>
      <c r="AI667" s="283"/>
      <c r="AJ667" s="276"/>
      <c r="AK667" s="283"/>
      <c r="AL667" s="276"/>
      <c r="AM667" s="283"/>
      <c r="AN667" s="276"/>
      <c r="AO667" s="283"/>
      <c r="AP667" s="276"/>
      <c r="AQ667" s="283"/>
      <c r="AR667" s="276"/>
      <c r="AT667" s="283"/>
      <c r="AU667" s="276"/>
      <c r="AV667" s="283"/>
      <c r="AW667" s="276"/>
      <c r="AX667" s="283"/>
      <c r="AY667" s="276"/>
      <c r="AZ667" s="283"/>
      <c r="BA667" s="276"/>
      <c r="BB667" s="283"/>
      <c r="BC667" s="276"/>
      <c r="BD667" s="283"/>
      <c r="BE667" s="276"/>
      <c r="BG667" s="283"/>
      <c r="BH667" s="276"/>
      <c r="BI667" s="283"/>
      <c r="BJ667" s="276"/>
      <c r="BK667" s="283"/>
      <c r="BL667" s="276"/>
      <c r="BM667" s="283"/>
      <c r="BN667" s="276"/>
      <c r="BO667" s="283"/>
      <c r="BP667" s="276"/>
      <c r="BQ667" s="283"/>
      <c r="BR667" s="283"/>
      <c r="BS667" s="276"/>
    </row>
    <row r="668" spans="12:71" ht="12" customHeight="1">
      <c r="L668" s="283"/>
      <c r="M668" s="276"/>
      <c r="N668" s="283"/>
      <c r="O668" s="276"/>
      <c r="P668" s="283"/>
      <c r="Q668" s="276"/>
      <c r="S668" s="283"/>
      <c r="T668" s="276"/>
      <c r="W668" s="283"/>
      <c r="X668" s="276"/>
      <c r="Y668" s="283"/>
      <c r="Z668" s="276"/>
      <c r="AA668" s="283"/>
      <c r="AB668" s="276"/>
      <c r="AC668" s="283"/>
      <c r="AE668" s="283"/>
      <c r="AF668" s="276"/>
      <c r="AI668" s="283"/>
      <c r="AJ668" s="276"/>
      <c r="AK668" s="283"/>
      <c r="AL668" s="276"/>
      <c r="AM668" s="283"/>
      <c r="AN668" s="276"/>
      <c r="AO668" s="283"/>
      <c r="AP668" s="276"/>
      <c r="AQ668" s="283"/>
      <c r="AR668" s="276"/>
      <c r="AT668" s="283"/>
      <c r="AU668" s="276"/>
      <c r="AV668" s="283"/>
      <c r="AW668" s="276"/>
      <c r="AX668" s="283"/>
      <c r="AY668" s="276"/>
      <c r="AZ668" s="283"/>
      <c r="BA668" s="276"/>
      <c r="BB668" s="283"/>
      <c r="BC668" s="276"/>
      <c r="BD668" s="283"/>
      <c r="BE668" s="276"/>
      <c r="BG668" s="283"/>
      <c r="BH668" s="276"/>
      <c r="BI668" s="283"/>
      <c r="BJ668" s="276"/>
      <c r="BK668" s="283"/>
      <c r="BL668" s="276"/>
      <c r="BM668" s="283"/>
      <c r="BN668" s="276"/>
      <c r="BO668" s="283"/>
      <c r="BP668" s="276"/>
      <c r="BQ668" s="283"/>
      <c r="BR668" s="283"/>
      <c r="BS668" s="276"/>
    </row>
    <row r="669" spans="12:71" ht="12" customHeight="1">
      <c r="L669" s="283"/>
      <c r="M669" s="276"/>
      <c r="N669" s="283"/>
      <c r="O669" s="276"/>
      <c r="P669" s="283"/>
      <c r="Q669" s="276"/>
      <c r="S669" s="283"/>
      <c r="T669" s="276"/>
      <c r="W669" s="283"/>
      <c r="X669" s="276"/>
      <c r="Y669" s="283"/>
      <c r="Z669" s="276"/>
      <c r="AA669" s="283"/>
      <c r="AB669" s="276"/>
      <c r="AC669" s="283"/>
      <c r="AE669" s="283"/>
      <c r="AF669" s="276"/>
      <c r="AI669" s="283"/>
      <c r="AJ669" s="276"/>
      <c r="AK669" s="283"/>
      <c r="AL669" s="276"/>
      <c r="AM669" s="283"/>
      <c r="AN669" s="276"/>
      <c r="AO669" s="283"/>
      <c r="AP669" s="276"/>
      <c r="AQ669" s="283"/>
      <c r="AR669" s="276"/>
      <c r="AT669" s="283"/>
      <c r="AU669" s="276"/>
      <c r="AV669" s="283"/>
      <c r="AW669" s="276"/>
      <c r="AX669" s="283"/>
      <c r="AY669" s="276"/>
      <c r="AZ669" s="283"/>
      <c r="BA669" s="276"/>
      <c r="BB669" s="283"/>
      <c r="BC669" s="276"/>
      <c r="BD669" s="283"/>
      <c r="BE669" s="276"/>
      <c r="BG669" s="283"/>
      <c r="BH669" s="276"/>
      <c r="BI669" s="283"/>
      <c r="BJ669" s="276"/>
      <c r="BK669" s="283"/>
      <c r="BL669" s="276"/>
      <c r="BM669" s="283"/>
      <c r="BN669" s="276"/>
      <c r="BO669" s="283"/>
      <c r="BP669" s="276"/>
      <c r="BQ669" s="283"/>
      <c r="BR669" s="283"/>
      <c r="BS669" s="276"/>
    </row>
    <row r="670" spans="12:71" ht="12" customHeight="1">
      <c r="L670" s="283"/>
      <c r="M670" s="276"/>
      <c r="N670" s="283"/>
      <c r="O670" s="276"/>
      <c r="P670" s="283"/>
      <c r="Q670" s="276"/>
      <c r="S670" s="283"/>
      <c r="T670" s="276"/>
      <c r="W670" s="283"/>
      <c r="X670" s="276"/>
      <c r="Y670" s="283"/>
      <c r="Z670" s="276"/>
      <c r="AA670" s="283"/>
      <c r="AB670" s="276"/>
      <c r="AC670" s="283"/>
      <c r="AE670" s="283"/>
      <c r="AF670" s="276"/>
      <c r="AI670" s="283"/>
      <c r="AJ670" s="276"/>
      <c r="AK670" s="283"/>
      <c r="AL670" s="276"/>
      <c r="AM670" s="283"/>
      <c r="AN670" s="276"/>
      <c r="AO670" s="283"/>
      <c r="AP670" s="276"/>
      <c r="AQ670" s="283"/>
      <c r="AR670" s="276"/>
      <c r="AT670" s="283"/>
      <c r="AU670" s="276"/>
      <c r="AV670" s="283"/>
      <c r="AW670" s="276"/>
      <c r="AX670" s="283"/>
      <c r="AY670" s="276"/>
      <c r="AZ670" s="283"/>
      <c r="BA670" s="276"/>
      <c r="BB670" s="283"/>
      <c r="BC670" s="276"/>
      <c r="BD670" s="283"/>
      <c r="BE670" s="276"/>
      <c r="BG670" s="283"/>
      <c r="BH670" s="276"/>
      <c r="BI670" s="283"/>
      <c r="BJ670" s="276"/>
      <c r="BK670" s="283"/>
      <c r="BL670" s="276"/>
      <c r="BM670" s="283"/>
      <c r="BN670" s="276"/>
      <c r="BO670" s="283"/>
      <c r="BP670" s="276"/>
      <c r="BQ670" s="283"/>
      <c r="BR670" s="283"/>
      <c r="BS670" s="276"/>
    </row>
    <row r="671" spans="12:71" ht="12" customHeight="1">
      <c r="L671" s="283"/>
      <c r="M671" s="276"/>
      <c r="N671" s="283"/>
      <c r="O671" s="276"/>
      <c r="P671" s="283"/>
      <c r="Q671" s="276"/>
      <c r="S671" s="283"/>
      <c r="T671" s="276"/>
      <c r="W671" s="283"/>
      <c r="X671" s="276"/>
      <c r="Y671" s="283"/>
      <c r="Z671" s="276"/>
      <c r="AA671" s="283"/>
      <c r="AB671" s="276"/>
      <c r="AC671" s="283"/>
      <c r="AE671" s="283"/>
      <c r="AF671" s="276"/>
      <c r="AI671" s="283"/>
      <c r="AJ671" s="276"/>
      <c r="AK671" s="283"/>
      <c r="AL671" s="276"/>
      <c r="AM671" s="283"/>
      <c r="AN671" s="276"/>
      <c r="AO671" s="283"/>
      <c r="AP671" s="276"/>
      <c r="AQ671" s="283"/>
      <c r="AR671" s="276"/>
      <c r="AT671" s="283"/>
      <c r="AU671" s="276"/>
      <c r="AV671" s="283"/>
      <c r="AW671" s="276"/>
      <c r="AX671" s="283"/>
      <c r="AY671" s="276"/>
      <c r="AZ671" s="283"/>
      <c r="BA671" s="276"/>
      <c r="BB671" s="283"/>
      <c r="BC671" s="276"/>
      <c r="BD671" s="283"/>
      <c r="BE671" s="276"/>
      <c r="BG671" s="283"/>
      <c r="BH671" s="276"/>
      <c r="BI671" s="283"/>
      <c r="BJ671" s="276"/>
      <c r="BK671" s="283"/>
      <c r="BL671" s="276"/>
      <c r="BM671" s="283"/>
      <c r="BN671" s="276"/>
      <c r="BO671" s="283"/>
      <c r="BP671" s="276"/>
      <c r="BQ671" s="283"/>
      <c r="BR671" s="283"/>
      <c r="BS671" s="276"/>
    </row>
    <row r="672" spans="12:71" ht="12" customHeight="1">
      <c r="L672" s="283"/>
      <c r="M672" s="276"/>
      <c r="N672" s="283"/>
      <c r="O672" s="276"/>
      <c r="P672" s="283"/>
      <c r="Q672" s="276"/>
      <c r="S672" s="283"/>
      <c r="T672" s="276"/>
      <c r="W672" s="283"/>
      <c r="X672" s="276"/>
      <c r="Y672" s="283"/>
      <c r="Z672" s="276"/>
      <c r="AA672" s="283"/>
      <c r="AB672" s="276"/>
      <c r="AC672" s="283"/>
      <c r="AE672" s="283"/>
      <c r="AF672" s="276"/>
      <c r="AI672" s="283"/>
      <c r="AJ672" s="276"/>
      <c r="AK672" s="283"/>
      <c r="AL672" s="276"/>
      <c r="AM672" s="283"/>
      <c r="AN672" s="276"/>
      <c r="AO672" s="283"/>
      <c r="AP672" s="276"/>
      <c r="AQ672" s="283"/>
      <c r="AR672" s="276"/>
      <c r="AT672" s="283"/>
      <c r="AU672" s="276"/>
      <c r="AV672" s="283"/>
      <c r="AW672" s="276"/>
      <c r="AX672" s="283"/>
      <c r="AY672" s="276"/>
      <c r="AZ672" s="283"/>
      <c r="BA672" s="276"/>
      <c r="BB672" s="283"/>
      <c r="BC672" s="276"/>
      <c r="BD672" s="283"/>
      <c r="BE672" s="276"/>
      <c r="BG672" s="283"/>
      <c r="BH672" s="276"/>
      <c r="BI672" s="283"/>
      <c r="BJ672" s="276"/>
      <c r="BK672" s="283"/>
      <c r="BL672" s="276"/>
      <c r="BM672" s="283"/>
      <c r="BN672" s="276"/>
      <c r="BO672" s="283"/>
      <c r="BP672" s="276"/>
      <c r="BQ672" s="283"/>
      <c r="BR672" s="283"/>
      <c r="BS672" s="276"/>
    </row>
    <row r="673" spans="12:71" ht="12" customHeight="1">
      <c r="L673" s="283"/>
      <c r="M673" s="276"/>
      <c r="N673" s="283"/>
      <c r="O673" s="276"/>
      <c r="P673" s="283"/>
      <c r="Q673" s="276"/>
      <c r="S673" s="283"/>
      <c r="T673" s="276"/>
      <c r="W673" s="283"/>
      <c r="X673" s="276"/>
      <c r="Y673" s="283"/>
      <c r="Z673" s="276"/>
      <c r="AA673" s="283"/>
      <c r="AB673" s="276"/>
      <c r="AC673" s="283"/>
      <c r="AE673" s="283"/>
      <c r="AF673" s="276"/>
      <c r="AI673" s="283"/>
      <c r="AJ673" s="276"/>
      <c r="AK673" s="283"/>
      <c r="AL673" s="276"/>
      <c r="AM673" s="283"/>
      <c r="AN673" s="276"/>
      <c r="AO673" s="283"/>
      <c r="AP673" s="276"/>
      <c r="AQ673" s="283"/>
      <c r="AR673" s="276"/>
      <c r="AT673" s="283"/>
      <c r="AU673" s="276"/>
      <c r="AV673" s="283"/>
      <c r="AW673" s="276"/>
      <c r="AX673" s="283"/>
      <c r="AY673" s="276"/>
      <c r="AZ673" s="283"/>
      <c r="BA673" s="276"/>
      <c r="BB673" s="283"/>
      <c r="BC673" s="276"/>
      <c r="BD673" s="283"/>
      <c r="BE673" s="276"/>
      <c r="BG673" s="283"/>
      <c r="BH673" s="276"/>
      <c r="BI673" s="283"/>
      <c r="BJ673" s="276"/>
      <c r="BK673" s="283"/>
      <c r="BL673" s="276"/>
      <c r="BM673" s="283"/>
      <c r="BN673" s="276"/>
      <c r="BO673" s="283"/>
      <c r="BP673" s="276"/>
      <c r="BQ673" s="283"/>
      <c r="BR673" s="283"/>
      <c r="BS673" s="276"/>
    </row>
    <row r="674" spans="12:71" ht="12" customHeight="1">
      <c r="L674" s="283"/>
      <c r="M674" s="276"/>
      <c r="N674" s="283"/>
      <c r="O674" s="276"/>
      <c r="P674" s="283"/>
      <c r="Q674" s="276"/>
      <c r="S674" s="283"/>
      <c r="T674" s="276"/>
      <c r="W674" s="283"/>
      <c r="X674" s="276"/>
      <c r="Y674" s="283"/>
      <c r="Z674" s="276"/>
      <c r="AA674" s="283"/>
      <c r="AB674" s="276"/>
      <c r="AC674" s="283"/>
      <c r="AE674" s="283"/>
      <c r="AF674" s="276"/>
      <c r="AI674" s="283"/>
      <c r="AJ674" s="276"/>
      <c r="AK674" s="283"/>
      <c r="AL674" s="276"/>
      <c r="AM674" s="283"/>
      <c r="AN674" s="276"/>
      <c r="AO674" s="283"/>
      <c r="AP674" s="276"/>
      <c r="AQ674" s="283"/>
      <c r="AR674" s="276"/>
      <c r="AT674" s="283"/>
      <c r="AU674" s="276"/>
      <c r="AV674" s="283"/>
      <c r="AW674" s="276"/>
      <c r="AX674" s="283"/>
      <c r="AY674" s="276"/>
      <c r="AZ674" s="283"/>
      <c r="BA674" s="276"/>
      <c r="BB674" s="283"/>
      <c r="BC674" s="276"/>
      <c r="BD674" s="283"/>
      <c r="BE674" s="276"/>
      <c r="BG674" s="283"/>
      <c r="BH674" s="276"/>
      <c r="BI674" s="283"/>
      <c r="BJ674" s="276"/>
      <c r="BK674" s="283"/>
      <c r="BL674" s="276"/>
      <c r="BM674" s="283"/>
      <c r="BN674" s="276"/>
      <c r="BO674" s="283"/>
      <c r="BP674" s="276"/>
      <c r="BQ674" s="283"/>
      <c r="BR674" s="283"/>
      <c r="BS674" s="276"/>
    </row>
    <row r="675" spans="12:71" ht="12" customHeight="1">
      <c r="L675" s="283"/>
      <c r="M675" s="276"/>
      <c r="N675" s="283"/>
      <c r="O675" s="276"/>
      <c r="P675" s="283"/>
      <c r="Q675" s="276"/>
      <c r="S675" s="283"/>
      <c r="T675" s="276"/>
      <c r="W675" s="283"/>
      <c r="X675" s="276"/>
      <c r="Y675" s="283"/>
      <c r="Z675" s="276"/>
      <c r="AA675" s="283"/>
      <c r="AB675" s="276"/>
      <c r="AC675" s="283"/>
      <c r="AE675" s="283"/>
      <c r="AF675" s="276"/>
      <c r="AI675" s="283"/>
      <c r="AJ675" s="276"/>
      <c r="AK675" s="283"/>
      <c r="AL675" s="276"/>
      <c r="AM675" s="283"/>
      <c r="AN675" s="276"/>
      <c r="AO675" s="283"/>
      <c r="AP675" s="276"/>
      <c r="AQ675" s="283"/>
      <c r="AR675" s="276"/>
      <c r="AT675" s="283"/>
      <c r="AU675" s="276"/>
      <c r="AV675" s="283"/>
      <c r="AW675" s="276"/>
      <c r="AX675" s="283"/>
      <c r="AY675" s="276"/>
      <c r="AZ675" s="283"/>
      <c r="BA675" s="276"/>
      <c r="BB675" s="283"/>
      <c r="BC675" s="276"/>
      <c r="BD675" s="283"/>
      <c r="BE675" s="276"/>
      <c r="BG675" s="283"/>
      <c r="BH675" s="276"/>
      <c r="BI675" s="283"/>
      <c r="BJ675" s="276"/>
      <c r="BK675" s="283"/>
      <c r="BL675" s="276"/>
      <c r="BM675" s="283"/>
      <c r="BN675" s="276"/>
      <c r="BO675" s="283"/>
      <c r="BP675" s="276"/>
      <c r="BQ675" s="283"/>
      <c r="BR675" s="283"/>
      <c r="BS675" s="276"/>
    </row>
    <row r="676" spans="12:71" ht="12" customHeight="1">
      <c r="L676" s="283"/>
      <c r="M676" s="276"/>
      <c r="N676" s="283"/>
      <c r="O676" s="276"/>
      <c r="P676" s="283"/>
      <c r="Q676" s="276"/>
      <c r="S676" s="283"/>
      <c r="T676" s="276"/>
      <c r="W676" s="283"/>
      <c r="X676" s="276"/>
      <c r="Y676" s="283"/>
      <c r="Z676" s="276"/>
      <c r="AA676" s="283"/>
      <c r="AB676" s="276"/>
      <c r="AC676" s="283"/>
      <c r="AE676" s="283"/>
      <c r="AF676" s="276"/>
      <c r="AI676" s="283"/>
      <c r="AJ676" s="276"/>
      <c r="AK676" s="283"/>
      <c r="AL676" s="276"/>
      <c r="AM676" s="283"/>
      <c r="AN676" s="276"/>
      <c r="AO676" s="283"/>
      <c r="AP676" s="276"/>
      <c r="AQ676" s="283"/>
      <c r="AR676" s="276"/>
      <c r="AT676" s="283"/>
      <c r="AU676" s="276"/>
      <c r="AV676" s="283"/>
      <c r="AW676" s="276"/>
      <c r="AX676" s="283"/>
      <c r="AY676" s="276"/>
      <c r="AZ676" s="283"/>
      <c r="BA676" s="276"/>
      <c r="BB676" s="283"/>
      <c r="BC676" s="276"/>
      <c r="BD676" s="283"/>
      <c r="BE676" s="276"/>
      <c r="BG676" s="283"/>
      <c r="BH676" s="276"/>
      <c r="BI676" s="283"/>
      <c r="BJ676" s="276"/>
      <c r="BK676" s="283"/>
      <c r="BL676" s="276"/>
      <c r="BM676" s="283"/>
      <c r="BN676" s="276"/>
      <c r="BO676" s="283"/>
      <c r="BP676" s="276"/>
      <c r="BQ676" s="283"/>
      <c r="BR676" s="283"/>
      <c r="BS676" s="276"/>
    </row>
    <row r="677" spans="12:71" ht="12" customHeight="1">
      <c r="L677" s="283"/>
      <c r="M677" s="276"/>
      <c r="N677" s="283"/>
      <c r="O677" s="276"/>
      <c r="P677" s="283"/>
      <c r="Q677" s="276"/>
      <c r="S677" s="283"/>
      <c r="T677" s="276"/>
      <c r="W677" s="283"/>
      <c r="X677" s="276"/>
      <c r="Y677" s="283"/>
      <c r="Z677" s="276"/>
      <c r="AA677" s="283"/>
      <c r="AB677" s="276"/>
      <c r="AC677" s="283"/>
      <c r="AE677" s="283"/>
      <c r="AF677" s="276"/>
      <c r="AI677" s="283"/>
      <c r="AJ677" s="276"/>
      <c r="AK677" s="283"/>
      <c r="AL677" s="276"/>
      <c r="AM677" s="283"/>
      <c r="AN677" s="276"/>
      <c r="AO677" s="283"/>
      <c r="AP677" s="276"/>
      <c r="AQ677" s="283"/>
      <c r="AR677" s="276"/>
      <c r="AT677" s="283"/>
      <c r="AU677" s="276"/>
      <c r="AV677" s="283"/>
      <c r="AW677" s="276"/>
      <c r="AX677" s="283"/>
      <c r="AY677" s="276"/>
      <c r="AZ677" s="283"/>
      <c r="BA677" s="276"/>
      <c r="BB677" s="283"/>
      <c r="BC677" s="276"/>
      <c r="BD677" s="283"/>
      <c r="BE677" s="276"/>
      <c r="BG677" s="283"/>
      <c r="BH677" s="276"/>
      <c r="BI677" s="283"/>
      <c r="BJ677" s="276"/>
      <c r="BK677" s="283"/>
      <c r="BL677" s="276"/>
      <c r="BM677" s="283"/>
      <c r="BN677" s="276"/>
      <c r="BO677" s="283"/>
      <c r="BP677" s="276"/>
      <c r="BQ677" s="283"/>
      <c r="BR677" s="283"/>
      <c r="BS677" s="276"/>
    </row>
    <row r="678" spans="12:71" ht="12" customHeight="1">
      <c r="L678" s="283"/>
      <c r="M678" s="276"/>
      <c r="N678" s="283"/>
      <c r="O678" s="276"/>
      <c r="P678" s="283"/>
      <c r="Q678" s="276"/>
      <c r="S678" s="283"/>
      <c r="T678" s="276"/>
      <c r="W678" s="283"/>
      <c r="X678" s="276"/>
      <c r="Y678" s="283"/>
      <c r="Z678" s="276"/>
      <c r="AA678" s="283"/>
      <c r="AB678" s="276"/>
      <c r="AC678" s="283"/>
      <c r="AE678" s="283"/>
      <c r="AF678" s="276"/>
      <c r="AI678" s="283"/>
      <c r="AJ678" s="276"/>
      <c r="AK678" s="283"/>
      <c r="AL678" s="276"/>
      <c r="AM678" s="283"/>
      <c r="AN678" s="276"/>
      <c r="AO678" s="283"/>
      <c r="AP678" s="276"/>
      <c r="AQ678" s="283"/>
      <c r="AR678" s="276"/>
      <c r="AT678" s="283"/>
      <c r="AU678" s="276"/>
      <c r="AV678" s="283"/>
      <c r="AW678" s="276"/>
      <c r="AX678" s="283"/>
      <c r="AY678" s="276"/>
      <c r="AZ678" s="283"/>
      <c r="BA678" s="276"/>
      <c r="BB678" s="283"/>
      <c r="BC678" s="276"/>
      <c r="BD678" s="283"/>
      <c r="BE678" s="276"/>
      <c r="BG678" s="283"/>
      <c r="BH678" s="276"/>
      <c r="BI678" s="283"/>
      <c r="BJ678" s="276"/>
      <c r="BK678" s="283"/>
      <c r="BL678" s="276"/>
      <c r="BM678" s="283"/>
      <c r="BN678" s="276"/>
      <c r="BO678" s="283"/>
      <c r="BP678" s="276"/>
      <c r="BQ678" s="283"/>
      <c r="BR678" s="283"/>
      <c r="BS678" s="276"/>
    </row>
    <row r="679" spans="12:71" ht="12" customHeight="1">
      <c r="L679" s="283"/>
      <c r="M679" s="276"/>
      <c r="N679" s="283"/>
      <c r="O679" s="276"/>
      <c r="P679" s="283"/>
      <c r="Q679" s="276"/>
      <c r="S679" s="283"/>
      <c r="T679" s="276"/>
      <c r="W679" s="283"/>
      <c r="X679" s="276"/>
      <c r="Y679" s="283"/>
      <c r="Z679" s="276"/>
      <c r="AA679" s="283"/>
      <c r="AB679" s="276"/>
      <c r="AC679" s="283"/>
      <c r="AE679" s="283"/>
      <c r="AF679" s="276"/>
      <c r="AI679" s="283"/>
      <c r="AJ679" s="276"/>
      <c r="AK679" s="283"/>
      <c r="AL679" s="276"/>
      <c r="AM679" s="283"/>
      <c r="AN679" s="276"/>
      <c r="AO679" s="283"/>
      <c r="AP679" s="276"/>
      <c r="AQ679" s="283"/>
      <c r="AR679" s="276"/>
      <c r="AT679" s="283"/>
      <c r="AU679" s="276"/>
      <c r="AV679" s="283"/>
      <c r="AW679" s="276"/>
      <c r="AX679" s="283"/>
      <c r="AY679" s="276"/>
      <c r="AZ679" s="283"/>
      <c r="BA679" s="276"/>
      <c r="BB679" s="283"/>
      <c r="BC679" s="276"/>
      <c r="BD679" s="283"/>
      <c r="BE679" s="276"/>
      <c r="BG679" s="283"/>
      <c r="BH679" s="276"/>
      <c r="BI679" s="283"/>
      <c r="BJ679" s="276"/>
      <c r="BK679" s="283"/>
      <c r="BL679" s="276"/>
      <c r="BM679" s="283"/>
      <c r="BN679" s="276"/>
      <c r="BO679" s="283"/>
      <c r="BP679" s="276"/>
      <c r="BQ679" s="283"/>
      <c r="BR679" s="283"/>
      <c r="BS679" s="276"/>
    </row>
    <row r="680" spans="12:71" ht="12" customHeight="1">
      <c r="L680" s="283"/>
      <c r="M680" s="276"/>
      <c r="N680" s="283"/>
      <c r="O680" s="276"/>
      <c r="P680" s="283"/>
      <c r="Q680" s="276"/>
      <c r="S680" s="283"/>
      <c r="T680" s="276"/>
      <c r="W680" s="283"/>
      <c r="X680" s="276"/>
      <c r="Y680" s="283"/>
      <c r="Z680" s="276"/>
      <c r="AA680" s="283"/>
      <c r="AB680" s="276"/>
      <c r="AC680" s="283"/>
      <c r="AE680" s="283"/>
      <c r="AF680" s="276"/>
      <c r="AI680" s="283"/>
      <c r="AJ680" s="276"/>
      <c r="AK680" s="283"/>
      <c r="AL680" s="276"/>
      <c r="AM680" s="283"/>
      <c r="AN680" s="276"/>
      <c r="AO680" s="283"/>
      <c r="AP680" s="276"/>
      <c r="AQ680" s="283"/>
      <c r="AR680" s="276"/>
      <c r="AT680" s="283"/>
      <c r="AU680" s="276"/>
      <c r="AV680" s="283"/>
      <c r="AW680" s="276"/>
      <c r="AX680" s="283"/>
      <c r="AY680" s="276"/>
      <c r="AZ680" s="283"/>
      <c r="BA680" s="276"/>
      <c r="BB680" s="283"/>
      <c r="BC680" s="276"/>
      <c r="BD680" s="283"/>
      <c r="BE680" s="276"/>
      <c r="BG680" s="283"/>
      <c r="BH680" s="276"/>
      <c r="BI680" s="283"/>
      <c r="BJ680" s="276"/>
      <c r="BK680" s="283"/>
      <c r="BL680" s="276"/>
      <c r="BM680" s="283"/>
      <c r="BN680" s="276"/>
      <c r="BO680" s="283"/>
      <c r="BP680" s="276"/>
      <c r="BQ680" s="283"/>
      <c r="BR680" s="283"/>
      <c r="BS680" s="276"/>
    </row>
    <row r="681" spans="12:71" ht="12" customHeight="1">
      <c r="L681" s="283"/>
      <c r="M681" s="276"/>
      <c r="N681" s="283"/>
      <c r="O681" s="276"/>
      <c r="P681" s="283"/>
      <c r="Q681" s="276"/>
      <c r="S681" s="283"/>
      <c r="T681" s="276"/>
      <c r="W681" s="283"/>
      <c r="X681" s="276"/>
      <c r="Y681" s="283"/>
      <c r="Z681" s="276"/>
      <c r="AA681" s="283"/>
      <c r="AB681" s="276"/>
      <c r="AC681" s="283"/>
      <c r="AE681" s="283"/>
      <c r="AF681" s="276"/>
      <c r="AI681" s="283"/>
      <c r="AJ681" s="276"/>
      <c r="AK681" s="283"/>
      <c r="AL681" s="276"/>
      <c r="AM681" s="283"/>
      <c r="AN681" s="276"/>
      <c r="AO681" s="283"/>
      <c r="AP681" s="276"/>
      <c r="AQ681" s="283"/>
      <c r="AR681" s="276"/>
      <c r="AT681" s="283"/>
      <c r="AU681" s="276"/>
      <c r="AV681" s="283"/>
      <c r="AW681" s="276"/>
      <c r="AX681" s="283"/>
      <c r="AY681" s="276"/>
      <c r="AZ681" s="283"/>
      <c r="BA681" s="276"/>
      <c r="BB681" s="283"/>
      <c r="BC681" s="276"/>
      <c r="BD681" s="283"/>
      <c r="BE681" s="276"/>
      <c r="BG681" s="283"/>
      <c r="BH681" s="276"/>
      <c r="BI681" s="283"/>
      <c r="BJ681" s="276"/>
      <c r="BK681" s="283"/>
      <c r="BL681" s="276"/>
      <c r="BM681" s="283"/>
      <c r="BN681" s="276"/>
      <c r="BO681" s="283"/>
      <c r="BP681" s="276"/>
      <c r="BQ681" s="283"/>
      <c r="BR681" s="283"/>
      <c r="BS681" s="276"/>
    </row>
    <row r="682" spans="12:71" ht="12" customHeight="1">
      <c r="L682" s="283"/>
      <c r="M682" s="276"/>
      <c r="N682" s="283"/>
      <c r="O682" s="276"/>
      <c r="P682" s="283"/>
      <c r="Q682" s="276"/>
      <c r="S682" s="283"/>
      <c r="T682" s="276"/>
      <c r="W682" s="283"/>
      <c r="X682" s="276"/>
      <c r="Y682" s="283"/>
      <c r="Z682" s="276"/>
      <c r="AA682" s="283"/>
      <c r="AB682" s="276"/>
      <c r="AC682" s="283"/>
      <c r="AE682" s="283"/>
      <c r="AF682" s="276"/>
      <c r="AI682" s="283"/>
      <c r="AJ682" s="276"/>
      <c r="AK682" s="283"/>
      <c r="AL682" s="276"/>
      <c r="AM682" s="283"/>
      <c r="AN682" s="276"/>
      <c r="AO682" s="283"/>
      <c r="AP682" s="276"/>
      <c r="AQ682" s="283"/>
      <c r="AR682" s="276"/>
      <c r="AT682" s="283"/>
      <c r="AU682" s="276"/>
      <c r="AV682" s="283"/>
      <c r="AW682" s="276"/>
      <c r="AX682" s="283"/>
      <c r="AY682" s="276"/>
      <c r="AZ682" s="283"/>
      <c r="BA682" s="276"/>
      <c r="BB682" s="283"/>
      <c r="BC682" s="276"/>
      <c r="BD682" s="283"/>
      <c r="BE682" s="276"/>
      <c r="BG682" s="283"/>
      <c r="BH682" s="276"/>
      <c r="BI682" s="283"/>
      <c r="BJ682" s="276"/>
      <c r="BK682" s="283"/>
      <c r="BL682" s="276"/>
      <c r="BM682" s="283"/>
      <c r="BN682" s="276"/>
      <c r="BO682" s="283"/>
      <c r="BP682" s="276"/>
      <c r="BQ682" s="283"/>
      <c r="BR682" s="283"/>
      <c r="BS682" s="276"/>
    </row>
    <row r="683" spans="12:71" ht="12" customHeight="1">
      <c r="L683" s="283"/>
      <c r="M683" s="276"/>
      <c r="N683" s="283"/>
      <c r="O683" s="276"/>
      <c r="P683" s="283"/>
      <c r="Q683" s="276"/>
      <c r="S683" s="283"/>
      <c r="T683" s="276"/>
      <c r="W683" s="283"/>
      <c r="X683" s="276"/>
      <c r="Y683" s="283"/>
      <c r="Z683" s="276"/>
      <c r="AA683" s="283"/>
      <c r="AB683" s="276"/>
      <c r="AC683" s="283"/>
      <c r="AE683" s="283"/>
      <c r="AF683" s="276"/>
      <c r="AI683" s="283"/>
      <c r="AJ683" s="276"/>
      <c r="AK683" s="283"/>
      <c r="AL683" s="276"/>
      <c r="AM683" s="283"/>
      <c r="AN683" s="276"/>
      <c r="AO683" s="283"/>
      <c r="AP683" s="276"/>
      <c r="AQ683" s="283"/>
      <c r="AR683" s="276"/>
      <c r="AT683" s="283"/>
      <c r="AU683" s="276"/>
      <c r="AV683" s="283"/>
      <c r="AW683" s="276"/>
      <c r="AX683" s="283"/>
      <c r="AY683" s="276"/>
      <c r="AZ683" s="283"/>
      <c r="BA683" s="276"/>
      <c r="BB683" s="283"/>
      <c r="BC683" s="276"/>
      <c r="BD683" s="283"/>
      <c r="BE683" s="276"/>
      <c r="BG683" s="283"/>
      <c r="BH683" s="276"/>
      <c r="BI683" s="283"/>
      <c r="BJ683" s="276"/>
      <c r="BK683" s="283"/>
      <c r="BL683" s="276"/>
      <c r="BM683" s="283"/>
      <c r="BN683" s="276"/>
      <c r="BO683" s="283"/>
      <c r="BP683" s="276"/>
      <c r="BQ683" s="283"/>
      <c r="BR683" s="283"/>
      <c r="BS683" s="276"/>
    </row>
    <row r="684" spans="12:71" ht="12" customHeight="1">
      <c r="L684" s="283"/>
      <c r="M684" s="276"/>
      <c r="N684" s="283"/>
      <c r="O684" s="276"/>
      <c r="P684" s="283"/>
      <c r="Q684" s="276"/>
      <c r="S684" s="283"/>
      <c r="T684" s="276"/>
      <c r="W684" s="283"/>
      <c r="X684" s="276"/>
      <c r="Y684" s="283"/>
      <c r="Z684" s="276"/>
      <c r="AA684" s="283"/>
      <c r="AB684" s="276"/>
      <c r="AC684" s="283"/>
      <c r="AE684" s="283"/>
      <c r="AF684" s="276"/>
      <c r="AI684" s="283"/>
      <c r="AJ684" s="276"/>
      <c r="AK684" s="283"/>
      <c r="AL684" s="276"/>
      <c r="AM684" s="283"/>
      <c r="AN684" s="276"/>
      <c r="AO684" s="283"/>
      <c r="AP684" s="276"/>
      <c r="AQ684" s="283"/>
      <c r="AR684" s="276"/>
      <c r="AT684" s="283"/>
      <c r="AU684" s="276"/>
      <c r="AV684" s="283"/>
      <c r="AW684" s="276"/>
      <c r="AX684" s="283"/>
      <c r="AY684" s="276"/>
      <c r="AZ684" s="283"/>
      <c r="BA684" s="276"/>
      <c r="BB684" s="283"/>
      <c r="BC684" s="276"/>
      <c r="BD684" s="283"/>
      <c r="BE684" s="276"/>
      <c r="BG684" s="283"/>
      <c r="BH684" s="276"/>
      <c r="BI684" s="283"/>
      <c r="BJ684" s="276"/>
      <c r="BK684" s="283"/>
      <c r="BL684" s="276"/>
      <c r="BM684" s="283"/>
      <c r="BN684" s="276"/>
      <c r="BO684" s="283"/>
      <c r="BP684" s="276"/>
      <c r="BQ684" s="283"/>
      <c r="BR684" s="283"/>
      <c r="BS684" s="276"/>
    </row>
    <row r="685" spans="12:71" ht="12" customHeight="1">
      <c r="L685" s="283"/>
      <c r="M685" s="276"/>
      <c r="N685" s="283"/>
      <c r="O685" s="276"/>
      <c r="P685" s="283"/>
      <c r="Q685" s="276"/>
      <c r="S685" s="283"/>
      <c r="T685" s="276"/>
      <c r="W685" s="283"/>
      <c r="X685" s="276"/>
      <c r="Y685" s="283"/>
      <c r="Z685" s="276"/>
      <c r="AA685" s="283"/>
      <c r="AB685" s="276"/>
      <c r="AC685" s="283"/>
      <c r="AE685" s="283"/>
      <c r="AF685" s="276"/>
      <c r="AI685" s="283"/>
      <c r="AJ685" s="276"/>
      <c r="AK685" s="283"/>
      <c r="AL685" s="276"/>
      <c r="AM685" s="283"/>
      <c r="AN685" s="276"/>
      <c r="AO685" s="283"/>
      <c r="AP685" s="276"/>
      <c r="AQ685" s="283"/>
      <c r="AR685" s="276"/>
      <c r="AT685" s="283"/>
      <c r="AU685" s="276"/>
      <c r="AV685" s="283"/>
      <c r="AW685" s="276"/>
      <c r="AX685" s="283"/>
      <c r="AY685" s="276"/>
      <c r="AZ685" s="283"/>
      <c r="BA685" s="276"/>
      <c r="BB685" s="283"/>
      <c r="BC685" s="276"/>
      <c r="BD685" s="283"/>
      <c r="BE685" s="276"/>
      <c r="BG685" s="283"/>
      <c r="BH685" s="276"/>
      <c r="BI685" s="283"/>
      <c r="BJ685" s="276"/>
      <c r="BK685" s="283"/>
      <c r="BL685" s="276"/>
      <c r="BM685" s="283"/>
      <c r="BN685" s="276"/>
      <c r="BO685" s="283"/>
      <c r="BP685" s="276"/>
      <c r="BQ685" s="283"/>
      <c r="BR685" s="283"/>
      <c r="BS685" s="276"/>
    </row>
    <row r="686" spans="12:71" ht="12" customHeight="1">
      <c r="L686" s="283"/>
      <c r="M686" s="276"/>
      <c r="N686" s="283"/>
      <c r="O686" s="276"/>
      <c r="P686" s="283"/>
      <c r="Q686" s="276"/>
      <c r="S686" s="283"/>
      <c r="T686" s="276"/>
      <c r="W686" s="283"/>
      <c r="X686" s="276"/>
      <c r="Y686" s="283"/>
      <c r="Z686" s="276"/>
      <c r="AA686" s="283"/>
      <c r="AB686" s="276"/>
      <c r="AC686" s="283"/>
      <c r="AE686" s="283"/>
      <c r="AF686" s="276"/>
      <c r="AI686" s="283"/>
      <c r="AJ686" s="276"/>
      <c r="AK686" s="283"/>
      <c r="AL686" s="276"/>
      <c r="AM686" s="283"/>
      <c r="AN686" s="276"/>
      <c r="AO686" s="283"/>
      <c r="AP686" s="276"/>
      <c r="AQ686" s="283"/>
      <c r="AR686" s="276"/>
      <c r="AT686" s="283"/>
      <c r="AU686" s="276"/>
      <c r="AV686" s="283"/>
      <c r="AW686" s="276"/>
      <c r="AX686" s="283"/>
      <c r="AY686" s="276"/>
      <c r="AZ686" s="283"/>
      <c r="BA686" s="276"/>
      <c r="BB686" s="283"/>
      <c r="BC686" s="276"/>
      <c r="BD686" s="283"/>
      <c r="BE686" s="276"/>
      <c r="BG686" s="283"/>
      <c r="BH686" s="276"/>
      <c r="BI686" s="283"/>
      <c r="BJ686" s="276"/>
      <c r="BK686" s="283"/>
      <c r="BL686" s="276"/>
      <c r="BM686" s="283"/>
      <c r="BN686" s="276"/>
      <c r="BO686" s="283"/>
      <c r="BP686" s="276"/>
      <c r="BQ686" s="283"/>
      <c r="BR686" s="283"/>
      <c r="BS686" s="276"/>
    </row>
    <row r="687" spans="12:71" ht="12" customHeight="1">
      <c r="L687" s="283"/>
      <c r="M687" s="276"/>
      <c r="N687" s="283"/>
      <c r="O687" s="276"/>
      <c r="P687" s="283"/>
      <c r="Q687" s="276"/>
      <c r="S687" s="283"/>
      <c r="T687" s="276"/>
      <c r="W687" s="283"/>
      <c r="X687" s="276"/>
      <c r="Y687" s="283"/>
      <c r="Z687" s="276"/>
      <c r="AA687" s="283"/>
      <c r="AB687" s="276"/>
      <c r="AC687" s="283"/>
      <c r="AE687" s="283"/>
      <c r="AF687" s="276"/>
      <c r="AI687" s="283"/>
      <c r="AJ687" s="276"/>
      <c r="AK687" s="283"/>
      <c r="AL687" s="276"/>
      <c r="AM687" s="283"/>
      <c r="AN687" s="276"/>
      <c r="AO687" s="283"/>
      <c r="AP687" s="276"/>
      <c r="AQ687" s="283"/>
      <c r="AR687" s="276"/>
      <c r="AT687" s="283"/>
      <c r="AU687" s="276"/>
      <c r="AV687" s="283"/>
      <c r="AW687" s="276"/>
      <c r="AX687" s="283"/>
      <c r="AY687" s="276"/>
      <c r="AZ687" s="283"/>
      <c r="BA687" s="276"/>
      <c r="BB687" s="283"/>
      <c r="BC687" s="276"/>
      <c r="BD687" s="283"/>
      <c r="BE687" s="276"/>
      <c r="BG687" s="283"/>
      <c r="BH687" s="276"/>
      <c r="BI687" s="283"/>
      <c r="BJ687" s="276"/>
      <c r="BK687" s="283"/>
      <c r="BL687" s="276"/>
      <c r="BM687" s="283"/>
      <c r="BN687" s="276"/>
      <c r="BO687" s="283"/>
      <c r="BP687" s="276"/>
      <c r="BQ687" s="283"/>
      <c r="BR687" s="283"/>
      <c r="BS687" s="276"/>
    </row>
    <row r="688" spans="12:71" ht="12" customHeight="1">
      <c r="L688" s="283"/>
      <c r="M688" s="276"/>
      <c r="N688" s="283"/>
      <c r="O688" s="276"/>
      <c r="P688" s="283"/>
      <c r="Q688" s="276"/>
      <c r="S688" s="283"/>
      <c r="T688" s="276"/>
      <c r="W688" s="283"/>
      <c r="X688" s="276"/>
      <c r="Y688" s="283"/>
      <c r="Z688" s="276"/>
      <c r="AA688" s="283"/>
      <c r="AB688" s="276"/>
      <c r="AC688" s="283"/>
      <c r="AE688" s="283"/>
      <c r="AF688" s="276"/>
      <c r="AI688" s="283"/>
      <c r="AJ688" s="276"/>
      <c r="AK688" s="283"/>
      <c r="AL688" s="276"/>
      <c r="AM688" s="283"/>
      <c r="AN688" s="276"/>
      <c r="AO688" s="283"/>
      <c r="AP688" s="276"/>
      <c r="AQ688" s="283"/>
      <c r="AR688" s="276"/>
      <c r="AT688" s="283"/>
      <c r="AU688" s="276"/>
      <c r="AV688" s="283"/>
      <c r="AW688" s="276"/>
      <c r="AX688" s="283"/>
      <c r="AY688" s="276"/>
      <c r="AZ688" s="283"/>
      <c r="BA688" s="276"/>
      <c r="BB688" s="283"/>
      <c r="BC688" s="276"/>
      <c r="BD688" s="283"/>
      <c r="BE688" s="276"/>
      <c r="BG688" s="283"/>
      <c r="BH688" s="276"/>
      <c r="BI688" s="283"/>
      <c r="BJ688" s="276"/>
      <c r="BK688" s="283"/>
      <c r="BL688" s="276"/>
      <c r="BM688" s="283"/>
      <c r="BN688" s="276"/>
      <c r="BO688" s="283"/>
      <c r="BP688" s="276"/>
      <c r="BQ688" s="283"/>
      <c r="BR688" s="283"/>
      <c r="BS688" s="276"/>
    </row>
    <row r="689" spans="12:71" ht="12" customHeight="1">
      <c r="L689" s="283"/>
      <c r="M689" s="276"/>
      <c r="N689" s="283"/>
      <c r="O689" s="276"/>
      <c r="P689" s="283"/>
      <c r="Q689" s="276"/>
      <c r="S689" s="283"/>
      <c r="T689" s="276"/>
      <c r="W689" s="283"/>
      <c r="X689" s="276"/>
      <c r="Y689" s="283"/>
      <c r="Z689" s="276"/>
      <c r="AA689" s="283"/>
      <c r="AB689" s="276"/>
      <c r="AC689" s="283"/>
      <c r="AE689" s="283"/>
      <c r="AF689" s="276"/>
      <c r="AI689" s="283"/>
      <c r="AJ689" s="276"/>
      <c r="AK689" s="283"/>
      <c r="AL689" s="276"/>
      <c r="AM689" s="283"/>
      <c r="AN689" s="276"/>
      <c r="AO689" s="283"/>
      <c r="AP689" s="276"/>
      <c r="AQ689" s="283"/>
      <c r="AR689" s="276"/>
      <c r="AT689" s="283"/>
      <c r="AU689" s="276"/>
      <c r="AV689" s="283"/>
      <c r="AW689" s="276"/>
      <c r="AX689" s="283"/>
      <c r="AY689" s="276"/>
      <c r="AZ689" s="283"/>
      <c r="BA689" s="276"/>
      <c r="BB689" s="283"/>
      <c r="BC689" s="276"/>
      <c r="BD689" s="283"/>
      <c r="BE689" s="276"/>
      <c r="BG689" s="283"/>
      <c r="BH689" s="276"/>
      <c r="BI689" s="283"/>
      <c r="BJ689" s="276"/>
      <c r="BK689" s="283"/>
      <c r="BL689" s="276"/>
      <c r="BM689" s="283"/>
      <c r="BN689" s="276"/>
      <c r="BO689" s="283"/>
      <c r="BP689" s="276"/>
      <c r="BQ689" s="283"/>
      <c r="BR689" s="283"/>
      <c r="BS689" s="276"/>
    </row>
    <row r="690" spans="12:71" ht="12" customHeight="1">
      <c r="L690" s="283"/>
      <c r="M690" s="276"/>
      <c r="N690" s="283"/>
      <c r="O690" s="276"/>
      <c r="P690" s="283"/>
      <c r="Q690" s="276"/>
      <c r="S690" s="283"/>
      <c r="T690" s="276"/>
      <c r="W690" s="283"/>
      <c r="X690" s="276"/>
      <c r="Y690" s="283"/>
      <c r="Z690" s="276"/>
      <c r="AA690" s="283"/>
      <c r="AB690" s="276"/>
      <c r="AC690" s="283"/>
      <c r="AE690" s="283"/>
      <c r="AF690" s="276"/>
      <c r="AI690" s="283"/>
      <c r="AJ690" s="276"/>
      <c r="AK690" s="283"/>
      <c r="AL690" s="276"/>
      <c r="AM690" s="283"/>
      <c r="AN690" s="276"/>
      <c r="AO690" s="283"/>
      <c r="AP690" s="276"/>
      <c r="AQ690" s="283"/>
      <c r="AR690" s="276"/>
      <c r="AT690" s="283"/>
      <c r="AU690" s="276"/>
      <c r="AV690" s="283"/>
      <c r="AW690" s="276"/>
      <c r="AX690" s="283"/>
      <c r="AY690" s="276"/>
      <c r="AZ690" s="283"/>
      <c r="BA690" s="276"/>
      <c r="BB690" s="283"/>
      <c r="BC690" s="276"/>
      <c r="BD690" s="283"/>
      <c r="BE690" s="276"/>
      <c r="BG690" s="283"/>
      <c r="BH690" s="276"/>
      <c r="BI690" s="283"/>
      <c r="BJ690" s="276"/>
      <c r="BK690" s="283"/>
      <c r="BL690" s="276"/>
      <c r="BM690" s="283"/>
      <c r="BN690" s="276"/>
      <c r="BO690" s="283"/>
      <c r="BP690" s="276"/>
      <c r="BQ690" s="283"/>
      <c r="BR690" s="283"/>
      <c r="BS690" s="276"/>
    </row>
    <row r="691" spans="12:71" ht="12" customHeight="1">
      <c r="L691" s="283"/>
      <c r="M691" s="276"/>
      <c r="N691" s="283"/>
      <c r="O691" s="276"/>
      <c r="P691" s="283"/>
      <c r="Q691" s="276"/>
      <c r="S691" s="283"/>
      <c r="T691" s="276"/>
      <c r="W691" s="283"/>
      <c r="X691" s="276"/>
      <c r="Y691" s="283"/>
      <c r="Z691" s="276"/>
      <c r="AA691" s="283"/>
      <c r="AB691" s="276"/>
      <c r="AC691" s="283"/>
      <c r="AE691" s="283"/>
      <c r="AF691" s="276"/>
      <c r="AI691" s="283"/>
      <c r="AJ691" s="276"/>
      <c r="AK691" s="283"/>
      <c r="AL691" s="276"/>
      <c r="AM691" s="283"/>
      <c r="AN691" s="276"/>
      <c r="AO691" s="283"/>
      <c r="AP691" s="276"/>
      <c r="AQ691" s="283"/>
      <c r="AR691" s="276"/>
      <c r="AT691" s="283"/>
      <c r="AU691" s="276"/>
      <c r="AV691" s="283"/>
      <c r="AW691" s="276"/>
      <c r="AX691" s="283"/>
      <c r="AY691" s="276"/>
      <c r="AZ691" s="283"/>
      <c r="BA691" s="276"/>
      <c r="BB691" s="283"/>
      <c r="BC691" s="276"/>
      <c r="BD691" s="283"/>
      <c r="BE691" s="276"/>
      <c r="BG691" s="283"/>
      <c r="BH691" s="276"/>
      <c r="BI691" s="283"/>
      <c r="BJ691" s="276"/>
      <c r="BK691" s="283"/>
      <c r="BL691" s="276"/>
      <c r="BM691" s="283"/>
      <c r="BN691" s="276"/>
      <c r="BO691" s="283"/>
      <c r="BP691" s="276"/>
      <c r="BQ691" s="283"/>
      <c r="BR691" s="283"/>
      <c r="BS691" s="276"/>
    </row>
    <row r="692" spans="12:71" ht="12" customHeight="1">
      <c r="L692" s="283"/>
      <c r="M692" s="276"/>
      <c r="N692" s="283"/>
      <c r="O692" s="276"/>
      <c r="P692" s="283"/>
      <c r="Q692" s="276"/>
      <c r="S692" s="283"/>
      <c r="T692" s="276"/>
      <c r="W692" s="283"/>
      <c r="X692" s="276"/>
      <c r="Y692" s="283"/>
      <c r="Z692" s="276"/>
      <c r="AA692" s="283"/>
      <c r="AB692" s="276"/>
      <c r="AC692" s="283"/>
      <c r="AE692" s="283"/>
      <c r="AF692" s="276"/>
      <c r="AI692" s="283"/>
      <c r="AJ692" s="276"/>
      <c r="AK692" s="283"/>
      <c r="AL692" s="276"/>
      <c r="AM692" s="283"/>
      <c r="AN692" s="276"/>
      <c r="AO692" s="283"/>
      <c r="AP692" s="276"/>
      <c r="AQ692" s="283"/>
      <c r="AR692" s="276"/>
      <c r="AT692" s="283"/>
      <c r="AU692" s="276"/>
      <c r="AV692" s="283"/>
      <c r="AW692" s="276"/>
      <c r="AX692" s="283"/>
      <c r="AY692" s="276"/>
      <c r="AZ692" s="283"/>
      <c r="BA692" s="276"/>
      <c r="BB692" s="283"/>
      <c r="BC692" s="276"/>
      <c r="BD692" s="283"/>
      <c r="BE692" s="276"/>
      <c r="BG692" s="283"/>
      <c r="BH692" s="276"/>
      <c r="BI692" s="283"/>
      <c r="BJ692" s="276"/>
      <c r="BK692" s="283"/>
      <c r="BL692" s="276"/>
      <c r="BM692" s="283"/>
      <c r="BN692" s="276"/>
      <c r="BO692" s="283"/>
      <c r="BP692" s="276"/>
      <c r="BQ692" s="283"/>
      <c r="BR692" s="283"/>
      <c r="BS692" s="276"/>
    </row>
    <row r="693" spans="12:71" ht="12" customHeight="1">
      <c r="L693" s="283"/>
      <c r="M693" s="276"/>
      <c r="N693" s="283"/>
      <c r="O693" s="276"/>
      <c r="P693" s="283"/>
      <c r="Q693" s="276"/>
      <c r="S693" s="283"/>
      <c r="T693" s="276"/>
      <c r="W693" s="283"/>
      <c r="X693" s="276"/>
      <c r="Y693" s="283"/>
      <c r="Z693" s="276"/>
      <c r="AA693" s="283"/>
      <c r="AB693" s="276"/>
      <c r="AC693" s="283"/>
      <c r="AE693" s="283"/>
      <c r="AF693" s="276"/>
      <c r="AI693" s="283"/>
      <c r="AJ693" s="276"/>
      <c r="AK693" s="283"/>
      <c r="AL693" s="276"/>
      <c r="AM693" s="283"/>
      <c r="AN693" s="276"/>
      <c r="AO693" s="283"/>
      <c r="AP693" s="276"/>
      <c r="AQ693" s="283"/>
      <c r="AR693" s="276"/>
      <c r="AT693" s="283"/>
      <c r="AU693" s="276"/>
      <c r="AV693" s="283"/>
      <c r="AW693" s="276"/>
      <c r="AX693" s="283"/>
      <c r="AY693" s="276"/>
      <c r="AZ693" s="283"/>
      <c r="BA693" s="276"/>
      <c r="BB693" s="283"/>
      <c r="BC693" s="276"/>
      <c r="BD693" s="283"/>
      <c r="BE693" s="276"/>
      <c r="BG693" s="283"/>
      <c r="BH693" s="276"/>
      <c r="BI693" s="283"/>
      <c r="BJ693" s="276"/>
      <c r="BK693" s="283"/>
      <c r="BL693" s="276"/>
      <c r="BM693" s="283"/>
      <c r="BN693" s="276"/>
      <c r="BO693" s="283"/>
      <c r="BP693" s="276"/>
      <c r="BQ693" s="283"/>
      <c r="BR693" s="283"/>
      <c r="BS693" s="276"/>
    </row>
    <row r="694" spans="12:71" ht="12" customHeight="1">
      <c r="L694" s="283"/>
      <c r="M694" s="276"/>
      <c r="N694" s="283"/>
      <c r="O694" s="276"/>
      <c r="P694" s="283"/>
      <c r="Q694" s="276"/>
      <c r="S694" s="283"/>
      <c r="T694" s="276"/>
      <c r="W694" s="283"/>
      <c r="X694" s="276"/>
      <c r="Y694" s="283"/>
      <c r="Z694" s="276"/>
      <c r="AA694" s="283"/>
      <c r="AB694" s="276"/>
      <c r="AC694" s="283"/>
      <c r="AE694" s="283"/>
      <c r="AF694" s="276"/>
      <c r="AI694" s="283"/>
      <c r="AJ694" s="276"/>
      <c r="AK694" s="283"/>
      <c r="AL694" s="276"/>
      <c r="AM694" s="283"/>
      <c r="AN694" s="276"/>
      <c r="AO694" s="283"/>
      <c r="AP694" s="276"/>
      <c r="AQ694" s="283"/>
      <c r="AR694" s="276"/>
      <c r="AT694" s="283"/>
      <c r="AU694" s="276"/>
      <c r="AV694" s="283"/>
      <c r="AW694" s="276"/>
      <c r="AX694" s="283"/>
      <c r="AY694" s="276"/>
      <c r="AZ694" s="283"/>
      <c r="BA694" s="276"/>
      <c r="BB694" s="283"/>
      <c r="BC694" s="276"/>
      <c r="BD694" s="283"/>
      <c r="BE694" s="276"/>
      <c r="BG694" s="283"/>
      <c r="BH694" s="276"/>
      <c r="BI694" s="283"/>
      <c r="BJ694" s="276"/>
      <c r="BK694" s="283"/>
      <c r="BL694" s="276"/>
      <c r="BM694" s="283"/>
      <c r="BN694" s="276"/>
      <c r="BO694" s="283"/>
      <c r="BP694" s="276"/>
      <c r="BQ694" s="283"/>
      <c r="BR694" s="283"/>
      <c r="BS694" s="276"/>
    </row>
    <row r="695" spans="12:71" ht="12" customHeight="1">
      <c r="L695" s="283"/>
      <c r="M695" s="276"/>
      <c r="N695" s="283"/>
      <c r="O695" s="276"/>
      <c r="P695" s="283"/>
      <c r="Q695" s="276"/>
      <c r="S695" s="283"/>
      <c r="T695" s="276"/>
      <c r="W695" s="283"/>
      <c r="X695" s="276"/>
      <c r="Y695" s="283"/>
      <c r="Z695" s="276"/>
      <c r="AA695" s="283"/>
      <c r="AB695" s="276"/>
      <c r="AC695" s="283"/>
      <c r="AE695" s="283"/>
      <c r="AF695" s="276"/>
      <c r="AI695" s="283"/>
      <c r="AJ695" s="276"/>
      <c r="AK695" s="283"/>
      <c r="AL695" s="276"/>
      <c r="AM695" s="283"/>
      <c r="AN695" s="276"/>
      <c r="AO695" s="283"/>
      <c r="AP695" s="276"/>
      <c r="AQ695" s="283"/>
      <c r="AR695" s="276"/>
      <c r="AT695" s="283"/>
      <c r="AU695" s="276"/>
      <c r="AV695" s="283"/>
      <c r="AW695" s="276"/>
      <c r="AX695" s="283"/>
      <c r="AY695" s="276"/>
      <c r="AZ695" s="283"/>
      <c r="BA695" s="276"/>
      <c r="BB695" s="283"/>
      <c r="BC695" s="276"/>
      <c r="BD695" s="283"/>
      <c r="BE695" s="276"/>
      <c r="BG695" s="283"/>
      <c r="BH695" s="276"/>
      <c r="BI695" s="283"/>
      <c r="BJ695" s="276"/>
      <c r="BK695" s="283"/>
      <c r="BL695" s="276"/>
      <c r="BM695" s="283"/>
      <c r="BN695" s="276"/>
      <c r="BO695" s="283"/>
      <c r="BP695" s="276"/>
      <c r="BQ695" s="283"/>
      <c r="BR695" s="283"/>
      <c r="BS695" s="276"/>
    </row>
    <row r="696" spans="12:71" ht="12" customHeight="1">
      <c r="L696" s="283"/>
      <c r="M696" s="276"/>
      <c r="N696" s="283"/>
      <c r="O696" s="276"/>
      <c r="P696" s="283"/>
      <c r="Q696" s="276"/>
      <c r="S696" s="283"/>
      <c r="T696" s="276"/>
      <c r="W696" s="283"/>
      <c r="X696" s="276"/>
      <c r="Y696" s="283"/>
      <c r="Z696" s="276"/>
      <c r="AA696" s="283"/>
      <c r="AB696" s="276"/>
      <c r="AC696" s="283"/>
      <c r="AE696" s="283"/>
      <c r="AF696" s="276"/>
      <c r="AI696" s="283"/>
      <c r="AJ696" s="276"/>
      <c r="AK696" s="283"/>
      <c r="AL696" s="276"/>
      <c r="AM696" s="283"/>
      <c r="AN696" s="276"/>
      <c r="AO696" s="283"/>
      <c r="AP696" s="276"/>
      <c r="AQ696" s="283"/>
      <c r="AR696" s="276"/>
      <c r="AT696" s="283"/>
      <c r="AU696" s="276"/>
      <c r="AV696" s="283"/>
      <c r="AW696" s="276"/>
      <c r="AX696" s="283"/>
      <c r="AY696" s="276"/>
      <c r="AZ696" s="283"/>
      <c r="BA696" s="276"/>
      <c r="BB696" s="283"/>
      <c r="BC696" s="276"/>
      <c r="BD696" s="283"/>
      <c r="BE696" s="276"/>
      <c r="BG696" s="283"/>
      <c r="BH696" s="276"/>
      <c r="BI696" s="283"/>
      <c r="BJ696" s="276"/>
      <c r="BK696" s="283"/>
      <c r="BL696" s="276"/>
      <c r="BM696" s="283"/>
      <c r="BN696" s="276"/>
      <c r="BO696" s="283"/>
      <c r="BP696" s="276"/>
      <c r="BQ696" s="283"/>
      <c r="BR696" s="283"/>
      <c r="BS696" s="276"/>
    </row>
    <row r="697" spans="12:71" ht="12" customHeight="1">
      <c r="L697" s="283"/>
      <c r="M697" s="276"/>
      <c r="N697" s="283"/>
      <c r="O697" s="276"/>
      <c r="P697" s="283"/>
      <c r="Q697" s="276"/>
      <c r="S697" s="283"/>
      <c r="T697" s="276"/>
      <c r="W697" s="283"/>
      <c r="X697" s="276"/>
      <c r="Y697" s="283"/>
      <c r="Z697" s="276"/>
      <c r="AA697" s="283"/>
      <c r="AB697" s="276"/>
      <c r="AC697" s="283"/>
      <c r="AE697" s="283"/>
      <c r="AF697" s="276"/>
      <c r="AI697" s="283"/>
      <c r="AJ697" s="276"/>
      <c r="AK697" s="283"/>
      <c r="AL697" s="276"/>
      <c r="AM697" s="283"/>
      <c r="AN697" s="276"/>
      <c r="AO697" s="283"/>
      <c r="AP697" s="276"/>
      <c r="AQ697" s="283"/>
      <c r="AR697" s="276"/>
      <c r="AT697" s="283"/>
      <c r="AU697" s="276"/>
      <c r="AV697" s="283"/>
      <c r="AW697" s="276"/>
      <c r="AX697" s="283"/>
      <c r="AY697" s="276"/>
      <c r="AZ697" s="283"/>
      <c r="BA697" s="276"/>
      <c r="BB697" s="283"/>
      <c r="BC697" s="276"/>
      <c r="BD697" s="283"/>
      <c r="BE697" s="276"/>
      <c r="BG697" s="283"/>
      <c r="BH697" s="276"/>
      <c r="BI697" s="283"/>
      <c r="BJ697" s="276"/>
      <c r="BK697" s="283"/>
      <c r="BL697" s="276"/>
      <c r="BM697" s="283"/>
      <c r="BN697" s="276"/>
      <c r="BO697" s="283"/>
      <c r="BP697" s="276"/>
      <c r="BQ697" s="283"/>
      <c r="BR697" s="283"/>
      <c r="BS697" s="276"/>
    </row>
    <row r="698" spans="12:71" ht="12" customHeight="1">
      <c r="L698" s="283"/>
      <c r="M698" s="276"/>
      <c r="N698" s="283"/>
      <c r="O698" s="276"/>
      <c r="P698" s="283"/>
      <c r="Q698" s="276"/>
      <c r="S698" s="283"/>
      <c r="T698" s="276"/>
      <c r="W698" s="283"/>
      <c r="X698" s="276"/>
      <c r="Y698" s="283"/>
      <c r="Z698" s="276"/>
      <c r="AA698" s="283"/>
      <c r="AB698" s="276"/>
      <c r="AC698" s="283"/>
      <c r="AE698" s="283"/>
      <c r="AF698" s="276"/>
      <c r="AI698" s="283"/>
      <c r="AJ698" s="276"/>
      <c r="AK698" s="283"/>
      <c r="AL698" s="276"/>
      <c r="AM698" s="283"/>
      <c r="AN698" s="276"/>
      <c r="AO698" s="283"/>
      <c r="AP698" s="276"/>
      <c r="AQ698" s="283"/>
      <c r="AR698" s="276"/>
      <c r="AT698" s="283"/>
      <c r="AU698" s="276"/>
      <c r="AV698" s="283"/>
      <c r="AW698" s="276"/>
      <c r="AX698" s="283"/>
      <c r="AY698" s="276"/>
      <c r="AZ698" s="283"/>
      <c r="BA698" s="276"/>
      <c r="BB698" s="283"/>
      <c r="BC698" s="276"/>
      <c r="BD698" s="283"/>
      <c r="BE698" s="276"/>
      <c r="BG698" s="283"/>
      <c r="BH698" s="276"/>
      <c r="BI698" s="283"/>
      <c r="BJ698" s="276"/>
      <c r="BK698" s="283"/>
      <c r="BL698" s="276"/>
      <c r="BM698" s="283"/>
      <c r="BN698" s="276"/>
      <c r="BO698" s="283"/>
      <c r="BP698" s="276"/>
      <c r="BQ698" s="283"/>
      <c r="BR698" s="283"/>
      <c r="BS698" s="276"/>
    </row>
    <row r="699" spans="12:71" ht="12" customHeight="1">
      <c r="L699" s="283"/>
      <c r="M699" s="276"/>
      <c r="N699" s="283"/>
      <c r="O699" s="276"/>
      <c r="P699" s="283"/>
      <c r="Q699" s="276"/>
      <c r="S699" s="283"/>
      <c r="T699" s="276"/>
      <c r="W699" s="283"/>
      <c r="X699" s="276"/>
      <c r="Y699" s="283"/>
      <c r="Z699" s="276"/>
      <c r="AA699" s="283"/>
      <c r="AB699" s="276"/>
      <c r="AC699" s="283"/>
      <c r="AE699" s="283"/>
      <c r="AF699" s="276"/>
      <c r="AI699" s="283"/>
      <c r="AJ699" s="276"/>
      <c r="AK699" s="283"/>
      <c r="AL699" s="276"/>
      <c r="AM699" s="283"/>
      <c r="AN699" s="276"/>
      <c r="AO699" s="283"/>
      <c r="AP699" s="276"/>
      <c r="AQ699" s="283"/>
      <c r="AR699" s="276"/>
      <c r="AT699" s="283"/>
      <c r="AU699" s="276"/>
      <c r="AV699" s="283"/>
      <c r="AW699" s="276"/>
      <c r="AX699" s="283"/>
      <c r="AY699" s="276"/>
      <c r="AZ699" s="283"/>
      <c r="BA699" s="276"/>
      <c r="BB699" s="283"/>
      <c r="BC699" s="276"/>
      <c r="BD699" s="283"/>
      <c r="BE699" s="276"/>
      <c r="BG699" s="283"/>
      <c r="BH699" s="276"/>
      <c r="BI699" s="283"/>
      <c r="BJ699" s="276"/>
      <c r="BK699" s="283"/>
      <c r="BL699" s="276"/>
      <c r="BM699" s="283"/>
      <c r="BN699" s="276"/>
      <c r="BO699" s="283"/>
      <c r="BP699" s="276"/>
      <c r="BQ699" s="283"/>
      <c r="BR699" s="283"/>
      <c r="BS699" s="276"/>
    </row>
    <row r="700" spans="12:71" ht="12" customHeight="1">
      <c r="L700" s="283"/>
      <c r="M700" s="276"/>
      <c r="N700" s="283"/>
      <c r="O700" s="276"/>
      <c r="P700" s="283"/>
      <c r="Q700" s="276"/>
      <c r="S700" s="283"/>
      <c r="T700" s="276"/>
      <c r="W700" s="283"/>
      <c r="X700" s="276"/>
      <c r="Y700" s="283"/>
      <c r="Z700" s="276"/>
      <c r="AA700" s="283"/>
      <c r="AB700" s="276"/>
      <c r="AC700" s="283"/>
      <c r="AE700" s="283"/>
      <c r="AF700" s="276"/>
      <c r="AI700" s="283"/>
      <c r="AJ700" s="276"/>
      <c r="AK700" s="283"/>
      <c r="AL700" s="276"/>
      <c r="AM700" s="283"/>
      <c r="AN700" s="276"/>
      <c r="AO700" s="283"/>
      <c r="AP700" s="276"/>
      <c r="AQ700" s="283"/>
      <c r="AR700" s="276"/>
      <c r="AT700" s="283"/>
      <c r="AU700" s="276"/>
      <c r="AV700" s="283"/>
      <c r="AW700" s="276"/>
      <c r="AX700" s="283"/>
      <c r="AY700" s="276"/>
      <c r="AZ700" s="283"/>
      <c r="BA700" s="276"/>
      <c r="BB700" s="283"/>
      <c r="BC700" s="276"/>
      <c r="BD700" s="283"/>
      <c r="BE700" s="276"/>
      <c r="BG700" s="283"/>
      <c r="BH700" s="276"/>
      <c r="BI700" s="283"/>
      <c r="BJ700" s="276"/>
      <c r="BK700" s="283"/>
      <c r="BL700" s="276"/>
      <c r="BM700" s="283"/>
      <c r="BN700" s="276"/>
      <c r="BO700" s="283"/>
      <c r="BP700" s="276"/>
      <c r="BQ700" s="283"/>
      <c r="BR700" s="283"/>
      <c r="BS700" s="276"/>
    </row>
    <row r="701" spans="12:71" ht="12" customHeight="1">
      <c r="L701" s="283"/>
      <c r="M701" s="276"/>
      <c r="N701" s="283"/>
      <c r="O701" s="276"/>
      <c r="P701" s="283"/>
      <c r="Q701" s="276"/>
      <c r="S701" s="283"/>
      <c r="T701" s="276"/>
      <c r="W701" s="283"/>
      <c r="X701" s="276"/>
      <c r="Y701" s="283"/>
      <c r="Z701" s="276"/>
      <c r="AA701" s="283"/>
      <c r="AB701" s="276"/>
      <c r="AC701" s="283"/>
      <c r="AE701" s="283"/>
      <c r="AF701" s="276"/>
      <c r="AI701" s="283"/>
      <c r="AJ701" s="276"/>
      <c r="AK701" s="283"/>
      <c r="AL701" s="276"/>
      <c r="AM701" s="283"/>
      <c r="AN701" s="276"/>
      <c r="AO701" s="283"/>
      <c r="AP701" s="276"/>
      <c r="AQ701" s="283"/>
      <c r="AR701" s="276"/>
      <c r="AT701" s="283"/>
      <c r="AU701" s="276"/>
      <c r="AV701" s="283"/>
      <c r="AW701" s="276"/>
      <c r="AX701" s="283"/>
      <c r="AY701" s="276"/>
      <c r="AZ701" s="283"/>
      <c r="BA701" s="276"/>
      <c r="BB701" s="283"/>
      <c r="BC701" s="276"/>
      <c r="BD701" s="283"/>
      <c r="BE701" s="276"/>
      <c r="BG701" s="283"/>
      <c r="BH701" s="276"/>
      <c r="BI701" s="283"/>
      <c r="BJ701" s="276"/>
      <c r="BK701" s="283"/>
      <c r="BL701" s="276"/>
      <c r="BM701" s="283"/>
      <c r="BN701" s="276"/>
      <c r="BO701" s="283"/>
      <c r="BP701" s="276"/>
      <c r="BQ701" s="283"/>
      <c r="BR701" s="283"/>
      <c r="BS701" s="276"/>
    </row>
    <row r="702" spans="12:71" ht="12" customHeight="1">
      <c r="L702" s="283"/>
      <c r="M702" s="276"/>
      <c r="N702" s="283"/>
      <c r="O702" s="276"/>
      <c r="P702" s="283"/>
      <c r="Q702" s="276"/>
      <c r="S702" s="283"/>
      <c r="T702" s="276"/>
      <c r="W702" s="283"/>
      <c r="X702" s="276"/>
      <c r="Y702" s="283"/>
      <c r="Z702" s="276"/>
      <c r="AA702" s="283"/>
      <c r="AB702" s="276"/>
      <c r="AC702" s="283"/>
      <c r="AE702" s="283"/>
      <c r="AF702" s="276"/>
      <c r="AI702" s="283"/>
      <c r="AJ702" s="276"/>
      <c r="AK702" s="283"/>
      <c r="AL702" s="276"/>
      <c r="AM702" s="283"/>
      <c r="AN702" s="276"/>
      <c r="AO702" s="283"/>
      <c r="AP702" s="276"/>
      <c r="AQ702" s="283"/>
      <c r="AR702" s="276"/>
      <c r="AT702" s="283"/>
      <c r="AU702" s="276"/>
      <c r="AV702" s="283"/>
      <c r="AW702" s="276"/>
      <c r="AX702" s="283"/>
      <c r="AY702" s="276"/>
      <c r="AZ702" s="283"/>
      <c r="BA702" s="276"/>
      <c r="BB702" s="283"/>
      <c r="BC702" s="276"/>
      <c r="BD702" s="283"/>
      <c r="BE702" s="276"/>
      <c r="BG702" s="283"/>
      <c r="BH702" s="276"/>
      <c r="BI702" s="283"/>
      <c r="BJ702" s="276"/>
      <c r="BK702" s="283"/>
      <c r="BL702" s="276"/>
      <c r="BM702" s="283"/>
      <c r="BN702" s="276"/>
      <c r="BO702" s="283"/>
      <c r="BP702" s="276"/>
      <c r="BQ702" s="283"/>
      <c r="BR702" s="283"/>
      <c r="BS702" s="276"/>
    </row>
    <row r="703" spans="12:71" ht="12" customHeight="1">
      <c r="L703" s="283"/>
      <c r="M703" s="276"/>
      <c r="N703" s="283"/>
      <c r="O703" s="276"/>
      <c r="P703" s="283"/>
      <c r="Q703" s="276"/>
      <c r="S703" s="283"/>
      <c r="T703" s="276"/>
      <c r="W703" s="283"/>
      <c r="X703" s="276"/>
      <c r="Y703" s="283"/>
      <c r="Z703" s="276"/>
      <c r="AA703" s="283"/>
      <c r="AB703" s="276"/>
      <c r="AC703" s="283"/>
      <c r="AE703" s="283"/>
      <c r="AF703" s="276"/>
      <c r="AI703" s="283"/>
      <c r="AJ703" s="276"/>
      <c r="AK703" s="283"/>
      <c r="AL703" s="276"/>
      <c r="AM703" s="283"/>
      <c r="AN703" s="276"/>
      <c r="AO703" s="283"/>
      <c r="AP703" s="276"/>
      <c r="AQ703" s="283"/>
      <c r="AR703" s="276"/>
      <c r="AT703" s="283"/>
      <c r="AU703" s="276"/>
      <c r="AV703" s="283"/>
      <c r="AW703" s="276"/>
      <c r="AX703" s="283"/>
      <c r="AY703" s="276"/>
      <c r="AZ703" s="283"/>
      <c r="BA703" s="276"/>
      <c r="BB703" s="283"/>
      <c r="BC703" s="276"/>
      <c r="BD703" s="283"/>
      <c r="BE703" s="276"/>
      <c r="BG703" s="283"/>
      <c r="BH703" s="276"/>
      <c r="BI703" s="283"/>
      <c r="BJ703" s="276"/>
      <c r="BK703" s="283"/>
      <c r="BL703" s="276"/>
      <c r="BM703" s="283"/>
      <c r="BN703" s="276"/>
      <c r="BO703" s="283"/>
      <c r="BP703" s="276"/>
      <c r="BQ703" s="283"/>
      <c r="BR703" s="283"/>
      <c r="BS703" s="276"/>
    </row>
    <row r="704" spans="12:71" ht="12" customHeight="1">
      <c r="L704" s="283"/>
      <c r="M704" s="276"/>
      <c r="N704" s="283"/>
      <c r="O704" s="276"/>
      <c r="P704" s="283"/>
      <c r="Q704" s="276"/>
      <c r="S704" s="283"/>
      <c r="T704" s="276"/>
      <c r="W704" s="283"/>
      <c r="X704" s="276"/>
      <c r="Y704" s="283"/>
      <c r="Z704" s="276"/>
      <c r="AA704" s="283"/>
      <c r="AB704" s="276"/>
      <c r="AC704" s="283"/>
      <c r="AE704" s="283"/>
      <c r="AF704" s="276"/>
      <c r="AI704" s="283"/>
      <c r="AJ704" s="276"/>
      <c r="AK704" s="283"/>
      <c r="AL704" s="276"/>
      <c r="AM704" s="283"/>
      <c r="AN704" s="276"/>
      <c r="AO704" s="283"/>
      <c r="AP704" s="276"/>
      <c r="AQ704" s="283"/>
      <c r="AR704" s="276"/>
      <c r="AT704" s="283"/>
      <c r="AU704" s="276"/>
      <c r="AV704" s="283"/>
      <c r="AW704" s="276"/>
      <c r="AX704" s="283"/>
      <c r="AY704" s="276"/>
      <c r="AZ704" s="283"/>
      <c r="BA704" s="276"/>
      <c r="BB704" s="283"/>
      <c r="BC704" s="276"/>
      <c r="BD704" s="283"/>
      <c r="BE704" s="276"/>
      <c r="BG704" s="283"/>
      <c r="BH704" s="276"/>
      <c r="BI704" s="283"/>
      <c r="BJ704" s="276"/>
      <c r="BK704" s="283"/>
      <c r="BL704" s="276"/>
      <c r="BM704" s="283"/>
      <c r="BN704" s="276"/>
      <c r="BO704" s="283"/>
      <c r="BP704" s="276"/>
      <c r="BQ704" s="283"/>
      <c r="BR704" s="283"/>
      <c r="BS704" s="276"/>
    </row>
    <row r="705" spans="12:71" ht="12" customHeight="1">
      <c r="L705" s="283"/>
      <c r="M705" s="276"/>
      <c r="N705" s="283"/>
      <c r="O705" s="276"/>
      <c r="P705" s="283"/>
      <c r="Q705" s="276"/>
      <c r="S705" s="283"/>
      <c r="T705" s="276"/>
      <c r="W705" s="283"/>
      <c r="X705" s="276"/>
      <c r="Y705" s="283"/>
      <c r="Z705" s="276"/>
      <c r="AA705" s="283"/>
      <c r="AB705" s="276"/>
      <c r="AC705" s="283"/>
      <c r="AE705" s="283"/>
      <c r="AF705" s="276"/>
      <c r="AI705" s="283"/>
      <c r="AJ705" s="276"/>
      <c r="AK705" s="283"/>
      <c r="AL705" s="276"/>
      <c r="AM705" s="283"/>
      <c r="AN705" s="276"/>
      <c r="AO705" s="283"/>
      <c r="AP705" s="276"/>
      <c r="AQ705" s="283"/>
      <c r="AR705" s="276"/>
      <c r="AT705" s="283"/>
      <c r="AU705" s="276"/>
      <c r="AV705" s="283"/>
      <c r="AW705" s="276"/>
      <c r="AX705" s="283"/>
      <c r="AY705" s="276"/>
      <c r="AZ705" s="283"/>
      <c r="BA705" s="276"/>
      <c r="BB705" s="283"/>
      <c r="BC705" s="276"/>
      <c r="BD705" s="283"/>
      <c r="BE705" s="276"/>
      <c r="BG705" s="283"/>
      <c r="BH705" s="276"/>
      <c r="BI705" s="283"/>
      <c r="BJ705" s="276"/>
      <c r="BK705" s="283"/>
      <c r="BL705" s="276"/>
      <c r="BM705" s="283"/>
      <c r="BN705" s="276"/>
      <c r="BO705" s="283"/>
      <c r="BP705" s="276"/>
      <c r="BQ705" s="283"/>
      <c r="BR705" s="283"/>
      <c r="BS705" s="276"/>
    </row>
    <row r="706" spans="12:71" ht="12" customHeight="1">
      <c r="L706" s="283"/>
      <c r="M706" s="276"/>
      <c r="N706" s="283"/>
      <c r="O706" s="276"/>
      <c r="P706" s="283"/>
      <c r="Q706" s="276"/>
      <c r="S706" s="283"/>
      <c r="T706" s="276"/>
      <c r="W706" s="283"/>
      <c r="X706" s="276"/>
      <c r="Y706" s="283"/>
      <c r="Z706" s="276"/>
      <c r="AA706" s="283"/>
      <c r="AB706" s="276"/>
      <c r="AC706" s="283"/>
      <c r="AE706" s="283"/>
      <c r="AF706" s="276"/>
      <c r="AI706" s="283"/>
      <c r="AJ706" s="276"/>
      <c r="AK706" s="283"/>
      <c r="AL706" s="276"/>
      <c r="AM706" s="283"/>
      <c r="AN706" s="276"/>
      <c r="AO706" s="283"/>
      <c r="AP706" s="276"/>
      <c r="AQ706" s="283"/>
      <c r="AR706" s="276"/>
      <c r="AT706" s="283"/>
      <c r="AU706" s="276"/>
      <c r="AV706" s="283"/>
      <c r="AW706" s="276"/>
      <c r="AX706" s="283"/>
      <c r="AY706" s="276"/>
      <c r="AZ706" s="283"/>
      <c r="BA706" s="276"/>
      <c r="BB706" s="283"/>
      <c r="BC706" s="276"/>
      <c r="BD706" s="283"/>
      <c r="BE706" s="276"/>
      <c r="BG706" s="283"/>
      <c r="BH706" s="276"/>
      <c r="BI706" s="283"/>
      <c r="BJ706" s="276"/>
      <c r="BK706" s="283"/>
      <c r="BL706" s="276"/>
      <c r="BM706" s="283"/>
      <c r="BN706" s="276"/>
      <c r="BO706" s="283"/>
      <c r="BP706" s="276"/>
      <c r="BQ706" s="283"/>
      <c r="BR706" s="283"/>
      <c r="BS706" s="276"/>
    </row>
    <row r="707" spans="12:71" ht="12" customHeight="1">
      <c r="L707" s="283"/>
      <c r="M707" s="276"/>
      <c r="N707" s="283"/>
      <c r="O707" s="276"/>
      <c r="P707" s="283"/>
      <c r="Q707" s="276"/>
      <c r="S707" s="283"/>
      <c r="T707" s="276"/>
      <c r="W707" s="283"/>
      <c r="X707" s="276"/>
      <c r="Y707" s="283"/>
      <c r="Z707" s="276"/>
      <c r="AA707" s="283"/>
      <c r="AB707" s="276"/>
      <c r="AC707" s="283"/>
      <c r="AE707" s="283"/>
      <c r="AF707" s="276"/>
      <c r="AI707" s="283"/>
      <c r="AJ707" s="276"/>
      <c r="AK707" s="283"/>
      <c r="AL707" s="276"/>
      <c r="AM707" s="283"/>
      <c r="AN707" s="276"/>
      <c r="AO707" s="283"/>
      <c r="AP707" s="276"/>
      <c r="AQ707" s="283"/>
      <c r="AR707" s="276"/>
      <c r="AT707" s="283"/>
      <c r="AU707" s="276"/>
      <c r="AV707" s="283"/>
      <c r="AW707" s="276"/>
      <c r="AX707" s="283"/>
      <c r="AY707" s="276"/>
      <c r="AZ707" s="283"/>
      <c r="BA707" s="276"/>
      <c r="BB707" s="283"/>
      <c r="BC707" s="276"/>
      <c r="BD707" s="283"/>
      <c r="BE707" s="276"/>
      <c r="BG707" s="283"/>
      <c r="BH707" s="276"/>
      <c r="BI707" s="283"/>
      <c r="BJ707" s="276"/>
      <c r="BK707" s="283"/>
      <c r="BL707" s="276"/>
      <c r="BM707" s="283"/>
      <c r="BN707" s="276"/>
      <c r="BO707" s="283"/>
      <c r="BP707" s="276"/>
      <c r="BQ707" s="283"/>
      <c r="BR707" s="283"/>
      <c r="BS707" s="276"/>
    </row>
    <row r="708" spans="12:71" ht="12" customHeight="1">
      <c r="L708" s="283"/>
      <c r="M708" s="276"/>
      <c r="N708" s="283"/>
      <c r="O708" s="276"/>
      <c r="P708" s="283"/>
      <c r="Q708" s="276"/>
      <c r="S708" s="283"/>
      <c r="T708" s="276"/>
      <c r="W708" s="283"/>
      <c r="X708" s="276"/>
      <c r="Y708" s="283"/>
      <c r="Z708" s="276"/>
      <c r="AA708" s="283"/>
      <c r="AB708" s="276"/>
      <c r="AC708" s="283"/>
      <c r="AE708" s="283"/>
      <c r="AF708" s="276"/>
      <c r="AI708" s="283"/>
      <c r="AJ708" s="276"/>
      <c r="AK708" s="283"/>
      <c r="AL708" s="276"/>
      <c r="AM708" s="283"/>
      <c r="AN708" s="276"/>
      <c r="AO708" s="283"/>
      <c r="AP708" s="276"/>
      <c r="AQ708" s="283"/>
      <c r="AR708" s="276"/>
      <c r="AT708" s="283"/>
      <c r="AU708" s="276"/>
      <c r="AV708" s="283"/>
      <c r="AW708" s="276"/>
      <c r="AX708" s="283"/>
      <c r="AY708" s="276"/>
      <c r="AZ708" s="283"/>
      <c r="BA708" s="276"/>
      <c r="BB708" s="283"/>
      <c r="BC708" s="276"/>
      <c r="BD708" s="283"/>
      <c r="BE708" s="276"/>
      <c r="BG708" s="283"/>
      <c r="BH708" s="276"/>
      <c r="BI708" s="283"/>
      <c r="BJ708" s="276"/>
      <c r="BK708" s="283"/>
      <c r="BL708" s="276"/>
      <c r="BM708" s="283"/>
      <c r="BN708" s="276"/>
      <c r="BO708" s="283"/>
      <c r="BP708" s="276"/>
      <c r="BQ708" s="283"/>
      <c r="BR708" s="283"/>
      <c r="BS708" s="276"/>
    </row>
    <row r="709" spans="12:71" ht="12" customHeight="1">
      <c r="L709" s="283"/>
      <c r="M709" s="276"/>
      <c r="N709" s="283"/>
      <c r="O709" s="276"/>
      <c r="P709" s="283"/>
      <c r="Q709" s="276"/>
      <c r="S709" s="283"/>
      <c r="T709" s="276"/>
      <c r="W709" s="283"/>
      <c r="X709" s="276"/>
      <c r="Y709" s="283"/>
      <c r="Z709" s="276"/>
      <c r="AA709" s="283"/>
      <c r="AB709" s="276"/>
      <c r="AC709" s="283"/>
      <c r="AE709" s="283"/>
      <c r="AF709" s="276"/>
      <c r="AI709" s="283"/>
      <c r="AJ709" s="276"/>
      <c r="AK709" s="283"/>
      <c r="AL709" s="276"/>
      <c r="AM709" s="283"/>
      <c r="AN709" s="276"/>
      <c r="AO709" s="283"/>
      <c r="AP709" s="276"/>
      <c r="AQ709" s="283"/>
      <c r="AR709" s="276"/>
      <c r="AT709" s="283"/>
      <c r="AU709" s="276"/>
      <c r="AV709" s="283"/>
      <c r="AW709" s="276"/>
      <c r="AX709" s="283"/>
      <c r="AY709" s="276"/>
      <c r="AZ709" s="283"/>
      <c r="BA709" s="276"/>
      <c r="BB709" s="283"/>
      <c r="BC709" s="276"/>
      <c r="BD709" s="283"/>
      <c r="BE709" s="276"/>
      <c r="BG709" s="283"/>
      <c r="BH709" s="276"/>
      <c r="BI709" s="283"/>
      <c r="BJ709" s="276"/>
      <c r="BK709" s="283"/>
      <c r="BL709" s="276"/>
      <c r="BM709" s="283"/>
      <c r="BN709" s="276"/>
      <c r="BO709" s="283"/>
      <c r="BP709" s="276"/>
      <c r="BQ709" s="283"/>
      <c r="BR709" s="283"/>
      <c r="BS709" s="276"/>
    </row>
    <row r="710" spans="12:71" ht="12" customHeight="1">
      <c r="L710" s="283"/>
      <c r="M710" s="276"/>
      <c r="N710" s="283"/>
      <c r="O710" s="276"/>
      <c r="P710" s="283"/>
      <c r="Q710" s="276"/>
      <c r="S710" s="283"/>
      <c r="T710" s="276"/>
      <c r="W710" s="283"/>
      <c r="X710" s="276"/>
      <c r="Y710" s="283"/>
      <c r="Z710" s="276"/>
      <c r="AA710" s="283"/>
      <c r="AB710" s="276"/>
      <c r="AC710" s="283"/>
      <c r="AE710" s="283"/>
      <c r="AF710" s="276"/>
      <c r="AI710" s="283"/>
      <c r="AJ710" s="276"/>
      <c r="AK710" s="283"/>
      <c r="AL710" s="276"/>
      <c r="AM710" s="283"/>
      <c r="AN710" s="276"/>
      <c r="AO710" s="283"/>
      <c r="AP710" s="276"/>
      <c r="AQ710" s="283"/>
      <c r="AR710" s="276"/>
      <c r="AT710" s="283"/>
      <c r="AU710" s="276"/>
      <c r="AV710" s="283"/>
      <c r="AW710" s="276"/>
      <c r="AX710" s="283"/>
      <c r="AY710" s="276"/>
      <c r="AZ710" s="283"/>
      <c r="BA710" s="276"/>
      <c r="BB710" s="283"/>
      <c r="BC710" s="276"/>
      <c r="BD710" s="283"/>
      <c r="BE710" s="276"/>
      <c r="BG710" s="283"/>
      <c r="BH710" s="276"/>
      <c r="BI710" s="283"/>
      <c r="BJ710" s="276"/>
      <c r="BK710" s="283"/>
      <c r="BL710" s="276"/>
      <c r="BM710" s="283"/>
      <c r="BN710" s="276"/>
      <c r="BO710" s="283"/>
      <c r="BP710" s="276"/>
      <c r="BQ710" s="283"/>
      <c r="BR710" s="283"/>
      <c r="BS710" s="276"/>
    </row>
    <row r="711" spans="12:71" ht="12" customHeight="1">
      <c r="L711" s="283"/>
      <c r="M711" s="276"/>
      <c r="N711" s="283"/>
      <c r="O711" s="276"/>
      <c r="P711" s="283"/>
      <c r="Q711" s="276"/>
      <c r="S711" s="283"/>
      <c r="T711" s="276"/>
      <c r="W711" s="283"/>
      <c r="X711" s="276"/>
      <c r="Y711" s="283"/>
      <c r="Z711" s="276"/>
      <c r="AA711" s="283"/>
      <c r="AB711" s="276"/>
      <c r="AC711" s="283"/>
      <c r="AE711" s="283"/>
      <c r="AF711" s="276"/>
      <c r="AI711" s="283"/>
      <c r="AJ711" s="276"/>
      <c r="AK711" s="283"/>
      <c r="AL711" s="276"/>
      <c r="AM711" s="283"/>
      <c r="AN711" s="276"/>
      <c r="AO711" s="283"/>
      <c r="AP711" s="276"/>
      <c r="AQ711" s="283"/>
      <c r="AR711" s="276"/>
      <c r="AT711" s="283"/>
      <c r="AU711" s="276"/>
      <c r="AV711" s="283"/>
      <c r="AW711" s="276"/>
      <c r="AX711" s="283"/>
      <c r="AY711" s="276"/>
      <c r="AZ711" s="283"/>
      <c r="BA711" s="276"/>
      <c r="BB711" s="283"/>
      <c r="BC711" s="276"/>
      <c r="BD711" s="283"/>
      <c r="BE711" s="276"/>
      <c r="BG711" s="283"/>
      <c r="BH711" s="276"/>
      <c r="BI711" s="283"/>
      <c r="BJ711" s="276"/>
      <c r="BK711" s="283"/>
      <c r="BL711" s="276"/>
      <c r="BM711" s="283"/>
      <c r="BN711" s="276"/>
      <c r="BO711" s="283"/>
      <c r="BP711" s="276"/>
      <c r="BQ711" s="283"/>
      <c r="BR711" s="283"/>
      <c r="BS711" s="276"/>
    </row>
    <row r="712" spans="12:71" ht="12" customHeight="1">
      <c r="L712" s="283"/>
      <c r="M712" s="276"/>
      <c r="N712" s="283"/>
      <c r="O712" s="276"/>
      <c r="P712" s="283"/>
      <c r="Q712" s="276"/>
      <c r="S712" s="283"/>
      <c r="T712" s="276"/>
      <c r="W712" s="283"/>
      <c r="X712" s="276"/>
      <c r="Y712" s="283"/>
      <c r="Z712" s="276"/>
      <c r="AA712" s="283"/>
      <c r="AB712" s="276"/>
      <c r="AC712" s="283"/>
      <c r="AE712" s="283"/>
      <c r="AF712" s="276"/>
      <c r="AI712" s="283"/>
      <c r="AJ712" s="276"/>
      <c r="AK712" s="283"/>
      <c r="AL712" s="276"/>
      <c r="AM712" s="283"/>
      <c r="AN712" s="276"/>
      <c r="AO712" s="283"/>
      <c r="AP712" s="276"/>
      <c r="AQ712" s="283"/>
      <c r="AR712" s="276"/>
      <c r="AT712" s="283"/>
      <c r="AU712" s="276"/>
      <c r="AV712" s="283"/>
      <c r="AW712" s="276"/>
      <c r="AX712" s="283"/>
      <c r="AY712" s="276"/>
      <c r="AZ712" s="283"/>
      <c r="BA712" s="276"/>
      <c r="BB712" s="283"/>
      <c r="BC712" s="276"/>
      <c r="BD712" s="283"/>
      <c r="BE712" s="276"/>
      <c r="BG712" s="283"/>
      <c r="BH712" s="276"/>
      <c r="BI712" s="283"/>
      <c r="BJ712" s="276"/>
      <c r="BK712" s="283"/>
      <c r="BL712" s="276"/>
      <c r="BM712" s="283"/>
      <c r="BN712" s="276"/>
      <c r="BO712" s="283"/>
      <c r="BP712" s="276"/>
      <c r="BQ712" s="283"/>
      <c r="BR712" s="283"/>
      <c r="BS712" s="276"/>
    </row>
    <row r="713" spans="12:71" ht="12" customHeight="1">
      <c r="L713" s="283"/>
      <c r="M713" s="276"/>
      <c r="N713" s="283"/>
      <c r="O713" s="276"/>
      <c r="P713" s="283"/>
      <c r="Q713" s="276"/>
      <c r="S713" s="283"/>
      <c r="T713" s="276"/>
      <c r="W713" s="283"/>
      <c r="X713" s="276"/>
      <c r="Y713" s="283"/>
      <c r="Z713" s="276"/>
      <c r="AA713" s="283"/>
      <c r="AB713" s="276"/>
      <c r="AC713" s="283"/>
      <c r="AE713" s="283"/>
      <c r="AF713" s="276"/>
      <c r="AI713" s="283"/>
      <c r="AJ713" s="276"/>
      <c r="AK713" s="283"/>
      <c r="AL713" s="276"/>
      <c r="AM713" s="283"/>
      <c r="AN713" s="276"/>
      <c r="AO713" s="283"/>
      <c r="AP713" s="276"/>
      <c r="AQ713" s="283"/>
      <c r="AR713" s="276"/>
      <c r="AT713" s="283"/>
      <c r="AU713" s="276"/>
      <c r="AV713" s="283"/>
      <c r="AW713" s="276"/>
      <c r="AX713" s="283"/>
      <c r="AY713" s="276"/>
      <c r="AZ713" s="283"/>
      <c r="BA713" s="276"/>
      <c r="BB713" s="283"/>
      <c r="BC713" s="276"/>
      <c r="BD713" s="283"/>
      <c r="BE713" s="276"/>
      <c r="BG713" s="283"/>
      <c r="BH713" s="276"/>
      <c r="BI713" s="283"/>
      <c r="BJ713" s="276"/>
      <c r="BK713" s="283"/>
      <c r="BL713" s="276"/>
      <c r="BM713" s="283"/>
      <c r="BN713" s="276"/>
      <c r="BO713" s="283"/>
      <c r="BP713" s="276"/>
      <c r="BQ713" s="283"/>
      <c r="BR713" s="283"/>
      <c r="BS713" s="276"/>
    </row>
    <row r="714" spans="12:71" ht="12" customHeight="1">
      <c r="L714" s="283"/>
      <c r="M714" s="276"/>
      <c r="N714" s="283"/>
      <c r="O714" s="276"/>
      <c r="P714" s="283"/>
      <c r="Q714" s="276"/>
      <c r="S714" s="283"/>
      <c r="T714" s="276"/>
      <c r="W714" s="283"/>
      <c r="X714" s="276"/>
      <c r="Y714" s="283"/>
      <c r="Z714" s="276"/>
      <c r="AA714" s="283"/>
      <c r="AB714" s="276"/>
      <c r="AC714" s="283"/>
      <c r="AE714" s="283"/>
      <c r="AF714" s="276"/>
      <c r="AI714" s="283"/>
      <c r="AJ714" s="276"/>
      <c r="AK714" s="283"/>
      <c r="AL714" s="276"/>
      <c r="AM714" s="283"/>
      <c r="AN714" s="276"/>
      <c r="AO714" s="283"/>
      <c r="AP714" s="276"/>
      <c r="AQ714" s="283"/>
      <c r="AR714" s="276"/>
      <c r="AT714" s="283"/>
      <c r="AU714" s="276"/>
      <c r="AV714" s="283"/>
      <c r="AW714" s="276"/>
      <c r="AX714" s="283"/>
      <c r="AY714" s="276"/>
      <c r="AZ714" s="283"/>
      <c r="BA714" s="276"/>
      <c r="BB714" s="283"/>
      <c r="BC714" s="276"/>
      <c r="BD714" s="283"/>
      <c r="BE714" s="276"/>
      <c r="BG714" s="283"/>
      <c r="BH714" s="276"/>
      <c r="BI714" s="283"/>
      <c r="BJ714" s="276"/>
      <c r="BK714" s="283"/>
      <c r="BL714" s="276"/>
      <c r="BM714" s="283"/>
      <c r="BN714" s="276"/>
      <c r="BO714" s="283"/>
      <c r="BP714" s="276"/>
      <c r="BQ714" s="283"/>
      <c r="BR714" s="283"/>
      <c r="BS714" s="276"/>
    </row>
    <row r="715" spans="12:71" ht="12" customHeight="1">
      <c r="L715" s="283"/>
      <c r="M715" s="276"/>
      <c r="N715" s="283"/>
      <c r="O715" s="276"/>
      <c r="P715" s="283"/>
      <c r="Q715" s="276"/>
      <c r="S715" s="283"/>
      <c r="T715" s="276"/>
      <c r="W715" s="283"/>
      <c r="X715" s="276"/>
      <c r="Y715" s="283"/>
      <c r="Z715" s="276"/>
      <c r="AA715" s="283"/>
      <c r="AB715" s="276"/>
      <c r="AC715" s="283"/>
      <c r="AE715" s="283"/>
      <c r="AF715" s="276"/>
      <c r="AI715" s="283"/>
      <c r="AJ715" s="276"/>
      <c r="AK715" s="283"/>
      <c r="AL715" s="276"/>
      <c r="AM715" s="283"/>
      <c r="AN715" s="276"/>
      <c r="AO715" s="283"/>
      <c r="AP715" s="276"/>
      <c r="AQ715" s="283"/>
      <c r="AR715" s="276"/>
      <c r="AT715" s="283"/>
      <c r="AU715" s="276"/>
      <c r="AV715" s="283"/>
      <c r="AW715" s="276"/>
      <c r="AX715" s="283"/>
      <c r="AY715" s="276"/>
      <c r="AZ715" s="283"/>
      <c r="BA715" s="276"/>
      <c r="BB715" s="283"/>
      <c r="BC715" s="276"/>
      <c r="BD715" s="283"/>
      <c r="BE715" s="276"/>
      <c r="BG715" s="283"/>
      <c r="BH715" s="276"/>
      <c r="BI715" s="283"/>
      <c r="BJ715" s="276"/>
      <c r="BK715" s="283"/>
      <c r="BL715" s="276"/>
      <c r="BM715" s="283"/>
      <c r="BN715" s="276"/>
      <c r="BO715" s="283"/>
      <c r="BP715" s="276"/>
      <c r="BQ715" s="283"/>
      <c r="BR715" s="283"/>
      <c r="BS715" s="276"/>
    </row>
    <row r="716" spans="12:71" ht="12" customHeight="1">
      <c r="L716" s="283"/>
      <c r="M716" s="276"/>
      <c r="N716" s="283"/>
      <c r="O716" s="276"/>
      <c r="P716" s="283"/>
      <c r="Q716" s="276"/>
      <c r="S716" s="283"/>
      <c r="T716" s="276"/>
      <c r="W716" s="283"/>
      <c r="X716" s="276"/>
      <c r="Y716" s="283"/>
      <c r="Z716" s="276"/>
      <c r="AA716" s="283"/>
      <c r="AB716" s="276"/>
      <c r="AC716" s="283"/>
      <c r="AE716" s="283"/>
      <c r="AF716" s="276"/>
      <c r="AI716" s="283"/>
      <c r="AJ716" s="276"/>
      <c r="AK716" s="283"/>
      <c r="AL716" s="276"/>
      <c r="AM716" s="283"/>
      <c r="AN716" s="276"/>
      <c r="AO716" s="283"/>
      <c r="AP716" s="276"/>
      <c r="AQ716" s="283"/>
      <c r="AR716" s="276"/>
      <c r="AT716" s="283"/>
      <c r="AU716" s="276"/>
      <c r="AV716" s="283"/>
      <c r="AW716" s="276"/>
      <c r="AX716" s="283"/>
      <c r="AY716" s="276"/>
      <c r="AZ716" s="283"/>
      <c r="BA716" s="276"/>
      <c r="BB716" s="283"/>
      <c r="BC716" s="276"/>
      <c r="BD716" s="283"/>
      <c r="BE716" s="276"/>
      <c r="BG716" s="283"/>
      <c r="BH716" s="276"/>
      <c r="BI716" s="283"/>
      <c r="BJ716" s="276"/>
      <c r="BK716" s="283"/>
      <c r="BL716" s="276"/>
      <c r="BM716" s="283"/>
      <c r="BN716" s="276"/>
      <c r="BO716" s="283"/>
      <c r="BP716" s="276"/>
      <c r="BQ716" s="283"/>
      <c r="BR716" s="283"/>
      <c r="BS716" s="276"/>
    </row>
    <row r="717" spans="12:71" ht="12" customHeight="1">
      <c r="L717" s="283"/>
      <c r="M717" s="276"/>
      <c r="N717" s="283"/>
      <c r="O717" s="276"/>
      <c r="P717" s="283"/>
      <c r="Q717" s="276"/>
      <c r="S717" s="283"/>
      <c r="T717" s="276"/>
      <c r="W717" s="283"/>
      <c r="X717" s="276"/>
      <c r="Y717" s="283"/>
      <c r="Z717" s="276"/>
      <c r="AA717" s="283"/>
      <c r="AB717" s="276"/>
      <c r="AC717" s="283"/>
      <c r="AE717" s="283"/>
      <c r="AF717" s="276"/>
      <c r="AI717" s="283"/>
      <c r="AJ717" s="276"/>
      <c r="AK717" s="283"/>
      <c r="AL717" s="276"/>
      <c r="AM717" s="283"/>
      <c r="AN717" s="276"/>
      <c r="AO717" s="283"/>
      <c r="AP717" s="276"/>
      <c r="AQ717" s="283"/>
      <c r="AR717" s="276"/>
      <c r="AT717" s="283"/>
      <c r="AU717" s="276"/>
      <c r="AV717" s="283"/>
      <c r="AW717" s="276"/>
      <c r="AX717" s="283"/>
      <c r="AY717" s="276"/>
      <c r="AZ717" s="283"/>
      <c r="BA717" s="276"/>
      <c r="BB717" s="283"/>
      <c r="BC717" s="276"/>
      <c r="BD717" s="283"/>
      <c r="BE717" s="276"/>
      <c r="BG717" s="283"/>
      <c r="BH717" s="276"/>
      <c r="BI717" s="283"/>
      <c r="BJ717" s="276"/>
      <c r="BK717" s="283"/>
      <c r="BL717" s="276"/>
      <c r="BM717" s="283"/>
      <c r="BN717" s="276"/>
      <c r="BO717" s="283"/>
      <c r="BP717" s="276"/>
      <c r="BQ717" s="283"/>
      <c r="BR717" s="283"/>
      <c r="BS717" s="276"/>
    </row>
    <row r="718" spans="12:71" ht="12" customHeight="1">
      <c r="L718" s="283"/>
      <c r="M718" s="276"/>
      <c r="N718" s="283"/>
      <c r="O718" s="276"/>
      <c r="P718" s="283"/>
      <c r="Q718" s="276"/>
      <c r="S718" s="283"/>
      <c r="T718" s="276"/>
      <c r="W718" s="283"/>
      <c r="X718" s="276"/>
      <c r="Y718" s="283"/>
      <c r="Z718" s="276"/>
      <c r="AA718" s="283"/>
      <c r="AB718" s="276"/>
      <c r="AC718" s="283"/>
      <c r="AE718" s="283"/>
      <c r="AF718" s="276"/>
      <c r="AI718" s="283"/>
      <c r="AJ718" s="276"/>
      <c r="AK718" s="283"/>
      <c r="AL718" s="276"/>
      <c r="AM718" s="283"/>
      <c r="AN718" s="276"/>
      <c r="AO718" s="283"/>
      <c r="AP718" s="276"/>
      <c r="AQ718" s="283"/>
      <c r="AR718" s="276"/>
      <c r="AT718" s="283"/>
      <c r="AU718" s="276"/>
      <c r="AV718" s="283"/>
      <c r="AW718" s="276"/>
      <c r="AX718" s="283"/>
      <c r="AY718" s="276"/>
      <c r="AZ718" s="283"/>
      <c r="BA718" s="276"/>
      <c r="BB718" s="283"/>
      <c r="BC718" s="276"/>
      <c r="BD718" s="283"/>
      <c r="BE718" s="276"/>
      <c r="BG718" s="283"/>
      <c r="BH718" s="276"/>
      <c r="BI718" s="283"/>
      <c r="BJ718" s="276"/>
      <c r="BK718" s="283"/>
      <c r="BL718" s="276"/>
      <c r="BM718" s="283"/>
      <c r="BN718" s="276"/>
      <c r="BO718" s="283"/>
      <c r="BP718" s="276"/>
      <c r="BQ718" s="283"/>
      <c r="BR718" s="283"/>
      <c r="BS718" s="276"/>
    </row>
    <row r="719" spans="12:71" ht="12" customHeight="1">
      <c r="L719" s="283"/>
      <c r="M719" s="276"/>
      <c r="N719" s="283"/>
      <c r="O719" s="276"/>
      <c r="P719" s="283"/>
      <c r="Q719" s="276"/>
      <c r="S719" s="283"/>
      <c r="T719" s="276"/>
      <c r="W719" s="283"/>
      <c r="X719" s="276"/>
      <c r="Y719" s="283"/>
      <c r="Z719" s="276"/>
      <c r="AA719" s="283"/>
      <c r="AB719" s="276"/>
      <c r="AC719" s="283"/>
      <c r="AE719" s="283"/>
      <c r="AF719" s="276"/>
      <c r="AI719" s="283"/>
      <c r="AJ719" s="276"/>
      <c r="AK719" s="283"/>
      <c r="AL719" s="276"/>
      <c r="AM719" s="283"/>
      <c r="AN719" s="276"/>
      <c r="AO719" s="283"/>
      <c r="AP719" s="276"/>
      <c r="AQ719" s="283"/>
      <c r="AR719" s="276"/>
      <c r="AT719" s="283"/>
      <c r="AU719" s="276"/>
      <c r="AV719" s="283"/>
      <c r="AW719" s="276"/>
      <c r="AX719" s="283"/>
      <c r="AY719" s="276"/>
      <c r="AZ719" s="283"/>
      <c r="BA719" s="276"/>
      <c r="BB719" s="283"/>
      <c r="BC719" s="276"/>
      <c r="BD719" s="283"/>
      <c r="BE719" s="276"/>
      <c r="BG719" s="283"/>
      <c r="BH719" s="276"/>
      <c r="BI719" s="283"/>
      <c r="BJ719" s="276"/>
      <c r="BK719" s="283"/>
      <c r="BL719" s="276"/>
      <c r="BM719" s="283"/>
      <c r="BN719" s="276"/>
      <c r="BO719" s="283"/>
      <c r="BP719" s="276"/>
      <c r="BQ719" s="283"/>
      <c r="BR719" s="283"/>
      <c r="BS719" s="276"/>
    </row>
    <row r="720" spans="12:71" ht="12" customHeight="1">
      <c r="L720" s="283"/>
      <c r="M720" s="276"/>
      <c r="N720" s="283"/>
      <c r="O720" s="276"/>
      <c r="P720" s="283"/>
      <c r="Q720" s="276"/>
      <c r="S720" s="283"/>
      <c r="T720" s="276"/>
      <c r="W720" s="283"/>
      <c r="X720" s="276"/>
      <c r="Y720" s="283"/>
      <c r="Z720" s="276"/>
      <c r="AA720" s="283"/>
      <c r="AB720" s="276"/>
      <c r="AC720" s="283"/>
      <c r="AE720" s="283"/>
      <c r="AF720" s="276"/>
      <c r="AI720" s="283"/>
      <c r="AJ720" s="276"/>
      <c r="AK720" s="283"/>
      <c r="AL720" s="276"/>
      <c r="AM720" s="283"/>
      <c r="AN720" s="276"/>
      <c r="AO720" s="283"/>
      <c r="AP720" s="276"/>
      <c r="AQ720" s="283"/>
      <c r="AR720" s="276"/>
      <c r="AT720" s="283"/>
      <c r="AU720" s="276"/>
      <c r="AV720" s="283"/>
      <c r="AW720" s="276"/>
      <c r="AX720" s="283"/>
      <c r="AY720" s="276"/>
      <c r="AZ720" s="283"/>
      <c r="BA720" s="276"/>
      <c r="BB720" s="283"/>
      <c r="BC720" s="276"/>
      <c r="BD720" s="283"/>
      <c r="BE720" s="276"/>
      <c r="BG720" s="283"/>
      <c r="BH720" s="276"/>
      <c r="BI720" s="283"/>
      <c r="BJ720" s="276"/>
      <c r="BK720" s="283"/>
      <c r="BL720" s="276"/>
      <c r="BM720" s="283"/>
      <c r="BN720" s="276"/>
      <c r="BO720" s="283"/>
      <c r="BP720" s="276"/>
      <c r="BQ720" s="283"/>
      <c r="BR720" s="283"/>
      <c r="BS720" s="276"/>
    </row>
    <row r="721" spans="12:71" ht="12" customHeight="1">
      <c r="L721" s="283"/>
      <c r="M721" s="276"/>
      <c r="N721" s="283"/>
      <c r="O721" s="276"/>
      <c r="P721" s="283"/>
      <c r="Q721" s="276"/>
      <c r="S721" s="283"/>
      <c r="T721" s="276"/>
      <c r="W721" s="283"/>
      <c r="X721" s="276"/>
      <c r="Y721" s="283"/>
      <c r="Z721" s="276"/>
      <c r="AA721" s="283"/>
      <c r="AB721" s="276"/>
      <c r="AC721" s="283"/>
      <c r="AE721" s="283"/>
      <c r="AF721" s="276"/>
      <c r="AI721" s="283"/>
      <c r="AJ721" s="276"/>
      <c r="AK721" s="283"/>
      <c r="AL721" s="276"/>
      <c r="AM721" s="283"/>
      <c r="AN721" s="276"/>
      <c r="AO721" s="283"/>
      <c r="AP721" s="276"/>
      <c r="AQ721" s="283"/>
      <c r="AR721" s="276"/>
      <c r="AT721" s="283"/>
      <c r="AU721" s="276"/>
      <c r="AV721" s="283"/>
      <c r="AW721" s="276"/>
      <c r="AX721" s="283"/>
      <c r="AY721" s="276"/>
      <c r="AZ721" s="283"/>
      <c r="BA721" s="276"/>
      <c r="BB721" s="283"/>
      <c r="BC721" s="276"/>
      <c r="BD721" s="283"/>
      <c r="BE721" s="276"/>
      <c r="BG721" s="283"/>
      <c r="BH721" s="276"/>
      <c r="BI721" s="283"/>
      <c r="BJ721" s="276"/>
      <c r="BK721" s="283"/>
      <c r="BL721" s="276"/>
      <c r="BM721" s="283"/>
      <c r="BN721" s="276"/>
      <c r="BO721" s="283"/>
      <c r="BP721" s="276"/>
      <c r="BQ721" s="283"/>
      <c r="BR721" s="283"/>
      <c r="BS721" s="276"/>
    </row>
    <row r="722" spans="12:71" ht="12" customHeight="1">
      <c r="L722" s="283"/>
      <c r="M722" s="276"/>
      <c r="N722" s="283"/>
      <c r="O722" s="276"/>
      <c r="P722" s="283"/>
      <c r="Q722" s="276"/>
      <c r="S722" s="283"/>
      <c r="T722" s="276"/>
      <c r="W722" s="283"/>
      <c r="X722" s="276"/>
      <c r="Y722" s="283"/>
      <c r="Z722" s="276"/>
      <c r="AA722" s="283"/>
      <c r="AB722" s="276"/>
      <c r="AC722" s="283"/>
      <c r="AE722" s="283"/>
      <c r="AF722" s="276"/>
      <c r="AI722" s="283"/>
      <c r="AJ722" s="276"/>
      <c r="AK722" s="283"/>
      <c r="AL722" s="276"/>
      <c r="AM722" s="283"/>
      <c r="AN722" s="276"/>
      <c r="AO722" s="283"/>
      <c r="AP722" s="276"/>
      <c r="AQ722" s="283"/>
      <c r="AR722" s="276"/>
      <c r="AT722" s="283"/>
      <c r="AU722" s="276"/>
      <c r="AV722" s="283"/>
      <c r="AW722" s="276"/>
      <c r="AX722" s="283"/>
      <c r="AY722" s="276"/>
      <c r="AZ722" s="283"/>
      <c r="BA722" s="276"/>
      <c r="BB722" s="283"/>
      <c r="BC722" s="276"/>
      <c r="BD722" s="283"/>
      <c r="BE722" s="276"/>
      <c r="BG722" s="283"/>
      <c r="BH722" s="276"/>
      <c r="BI722" s="283"/>
      <c r="BJ722" s="276"/>
      <c r="BK722" s="283"/>
      <c r="BL722" s="276"/>
      <c r="BM722" s="283"/>
      <c r="BN722" s="276"/>
      <c r="BO722" s="283"/>
      <c r="BP722" s="276"/>
      <c r="BQ722" s="283"/>
      <c r="BR722" s="283"/>
      <c r="BS722" s="276"/>
    </row>
    <row r="723" spans="12:71" ht="12" customHeight="1">
      <c r="L723" s="283"/>
      <c r="M723" s="276"/>
      <c r="N723" s="283"/>
      <c r="O723" s="276"/>
      <c r="P723" s="283"/>
      <c r="Q723" s="276"/>
      <c r="S723" s="283"/>
      <c r="T723" s="276"/>
      <c r="W723" s="283"/>
      <c r="X723" s="276"/>
      <c r="Y723" s="283"/>
      <c r="Z723" s="276"/>
      <c r="AA723" s="283"/>
      <c r="AB723" s="276"/>
      <c r="AC723" s="283"/>
      <c r="AE723" s="283"/>
      <c r="AF723" s="276"/>
      <c r="AI723" s="283"/>
      <c r="AJ723" s="276"/>
      <c r="AK723" s="283"/>
      <c r="AL723" s="276"/>
      <c r="AM723" s="283"/>
      <c r="AN723" s="276"/>
      <c r="AO723" s="283"/>
      <c r="AP723" s="276"/>
      <c r="AQ723" s="283"/>
      <c r="AR723" s="276"/>
      <c r="AT723" s="283"/>
      <c r="AU723" s="276"/>
      <c r="AV723" s="283"/>
      <c r="AW723" s="276"/>
      <c r="AX723" s="283"/>
      <c r="AY723" s="276"/>
      <c r="AZ723" s="283"/>
      <c r="BA723" s="276"/>
      <c r="BB723" s="283"/>
      <c r="BC723" s="276"/>
      <c r="BD723" s="283"/>
      <c r="BE723" s="276"/>
      <c r="BG723" s="283"/>
      <c r="BH723" s="276"/>
      <c r="BI723" s="283"/>
      <c r="BJ723" s="276"/>
      <c r="BK723" s="283"/>
      <c r="BL723" s="276"/>
      <c r="BM723" s="283"/>
      <c r="BN723" s="276"/>
      <c r="BO723" s="283"/>
      <c r="BP723" s="276"/>
      <c r="BQ723" s="283"/>
      <c r="BR723" s="283"/>
      <c r="BS723" s="276"/>
    </row>
    <row r="724" spans="12:71" ht="12" customHeight="1">
      <c r="L724" s="283"/>
      <c r="M724" s="276"/>
      <c r="N724" s="283"/>
      <c r="O724" s="276"/>
      <c r="P724" s="283"/>
      <c r="Q724" s="276"/>
      <c r="S724" s="283"/>
      <c r="T724" s="276"/>
      <c r="W724" s="283"/>
      <c r="X724" s="276"/>
      <c r="Y724" s="283"/>
      <c r="Z724" s="276"/>
      <c r="AA724" s="283"/>
      <c r="AB724" s="276"/>
      <c r="AC724" s="283"/>
      <c r="AE724" s="283"/>
      <c r="AF724" s="276"/>
      <c r="AI724" s="283"/>
      <c r="AJ724" s="276"/>
      <c r="AK724" s="283"/>
      <c r="AL724" s="276"/>
      <c r="AM724" s="283"/>
      <c r="AN724" s="276"/>
      <c r="AO724" s="283"/>
      <c r="AP724" s="276"/>
      <c r="AQ724" s="283"/>
      <c r="AR724" s="276"/>
      <c r="AT724" s="283"/>
      <c r="AU724" s="276"/>
      <c r="AV724" s="283"/>
      <c r="AW724" s="276"/>
      <c r="AX724" s="283"/>
      <c r="AY724" s="276"/>
      <c r="AZ724" s="283"/>
      <c r="BA724" s="276"/>
      <c r="BB724" s="283"/>
      <c r="BC724" s="276"/>
      <c r="BD724" s="283"/>
      <c r="BE724" s="276"/>
      <c r="BG724" s="283"/>
      <c r="BH724" s="276"/>
      <c r="BI724" s="283"/>
      <c r="BJ724" s="276"/>
      <c r="BK724" s="283"/>
      <c r="BL724" s="276"/>
      <c r="BM724" s="283"/>
      <c r="BN724" s="276"/>
      <c r="BO724" s="283"/>
      <c r="BP724" s="276"/>
      <c r="BQ724" s="283"/>
      <c r="BR724" s="283"/>
      <c r="BS724" s="276"/>
    </row>
    <row r="725" spans="12:71" ht="12" customHeight="1">
      <c r="L725" s="283"/>
      <c r="M725" s="276"/>
      <c r="N725" s="283"/>
      <c r="O725" s="276"/>
      <c r="P725" s="283"/>
      <c r="Q725" s="276"/>
      <c r="S725" s="283"/>
      <c r="T725" s="276"/>
      <c r="W725" s="283"/>
      <c r="X725" s="276"/>
      <c r="Y725" s="283"/>
      <c r="Z725" s="276"/>
      <c r="AA725" s="283"/>
      <c r="AB725" s="276"/>
      <c r="AC725" s="283"/>
      <c r="AE725" s="283"/>
      <c r="AF725" s="276"/>
      <c r="AI725" s="283"/>
      <c r="AJ725" s="276"/>
      <c r="AK725" s="283"/>
      <c r="AL725" s="276"/>
      <c r="AM725" s="283"/>
      <c r="AN725" s="276"/>
      <c r="AO725" s="283"/>
      <c r="AP725" s="276"/>
      <c r="AQ725" s="283"/>
      <c r="AR725" s="276"/>
      <c r="AT725" s="283"/>
      <c r="AU725" s="276"/>
      <c r="AV725" s="283"/>
      <c r="AW725" s="276"/>
      <c r="AX725" s="283"/>
      <c r="AY725" s="276"/>
      <c r="AZ725" s="283"/>
      <c r="BA725" s="276"/>
      <c r="BB725" s="283"/>
      <c r="BC725" s="276"/>
      <c r="BD725" s="283"/>
      <c r="BE725" s="276"/>
      <c r="BG725" s="283"/>
      <c r="BH725" s="276"/>
      <c r="BI725" s="283"/>
      <c r="BJ725" s="276"/>
      <c r="BK725" s="283"/>
      <c r="BL725" s="276"/>
      <c r="BM725" s="283"/>
      <c r="BN725" s="276"/>
      <c r="BO725" s="283"/>
      <c r="BP725" s="276"/>
      <c r="BQ725" s="283"/>
      <c r="BR725" s="283"/>
      <c r="BS725" s="276"/>
    </row>
    <row r="726" spans="12:71" ht="12" customHeight="1">
      <c r="L726" s="283"/>
      <c r="M726" s="276"/>
      <c r="N726" s="283"/>
      <c r="O726" s="276"/>
      <c r="P726" s="283"/>
      <c r="Q726" s="276"/>
      <c r="S726" s="283"/>
      <c r="T726" s="276"/>
      <c r="W726" s="283"/>
      <c r="X726" s="276"/>
      <c r="Y726" s="283"/>
      <c r="Z726" s="276"/>
      <c r="AA726" s="283"/>
      <c r="AB726" s="276"/>
      <c r="AC726" s="283"/>
      <c r="AE726" s="283"/>
      <c r="AF726" s="276"/>
      <c r="AI726" s="283"/>
      <c r="AJ726" s="276"/>
      <c r="AK726" s="283"/>
      <c r="AL726" s="276"/>
      <c r="AM726" s="283"/>
      <c r="AN726" s="276"/>
      <c r="AO726" s="283"/>
      <c r="AP726" s="276"/>
      <c r="AQ726" s="283"/>
      <c r="AR726" s="276"/>
      <c r="AT726" s="283"/>
      <c r="AU726" s="276"/>
      <c r="AV726" s="283"/>
      <c r="AW726" s="276"/>
      <c r="AX726" s="283"/>
      <c r="AY726" s="276"/>
      <c r="AZ726" s="283"/>
      <c r="BA726" s="276"/>
      <c r="BB726" s="283"/>
      <c r="BC726" s="276"/>
      <c r="BD726" s="283"/>
      <c r="BE726" s="276"/>
      <c r="BG726" s="283"/>
      <c r="BH726" s="276"/>
      <c r="BI726" s="283"/>
      <c r="BJ726" s="276"/>
      <c r="BK726" s="283"/>
      <c r="BL726" s="276"/>
      <c r="BM726" s="283"/>
      <c r="BN726" s="276"/>
      <c r="BO726" s="283"/>
      <c r="BP726" s="276"/>
      <c r="BQ726" s="283"/>
      <c r="BR726" s="283"/>
      <c r="BS726" s="276"/>
    </row>
    <row r="727" spans="12:71" ht="12" customHeight="1">
      <c r="L727" s="283"/>
      <c r="M727" s="276"/>
      <c r="N727" s="283"/>
      <c r="O727" s="276"/>
      <c r="P727" s="283"/>
      <c r="Q727" s="276"/>
      <c r="S727" s="283"/>
      <c r="T727" s="276"/>
      <c r="W727" s="283"/>
      <c r="X727" s="276"/>
      <c r="Y727" s="283"/>
      <c r="Z727" s="276"/>
      <c r="AA727" s="283"/>
      <c r="AB727" s="276"/>
      <c r="AC727" s="283"/>
      <c r="AE727" s="283"/>
      <c r="AF727" s="276"/>
      <c r="AI727" s="283"/>
      <c r="AJ727" s="276"/>
      <c r="AK727" s="283"/>
      <c r="AL727" s="276"/>
      <c r="AM727" s="283"/>
      <c r="AN727" s="276"/>
      <c r="AO727" s="283"/>
      <c r="AP727" s="276"/>
      <c r="AQ727" s="283"/>
      <c r="AR727" s="276"/>
      <c r="AT727" s="283"/>
      <c r="AU727" s="276"/>
      <c r="AV727" s="283"/>
      <c r="AW727" s="276"/>
      <c r="AX727" s="283"/>
      <c r="AY727" s="276"/>
      <c r="AZ727" s="283"/>
      <c r="BA727" s="276"/>
      <c r="BB727" s="283"/>
      <c r="BC727" s="276"/>
      <c r="BD727" s="283"/>
      <c r="BE727" s="276"/>
      <c r="BG727" s="283"/>
      <c r="BH727" s="276"/>
      <c r="BI727" s="283"/>
      <c r="BJ727" s="276"/>
      <c r="BK727" s="283"/>
      <c r="BL727" s="276"/>
      <c r="BM727" s="283"/>
      <c r="BN727" s="276"/>
      <c r="BO727" s="283"/>
      <c r="BP727" s="276"/>
      <c r="BQ727" s="283"/>
      <c r="BR727" s="283"/>
      <c r="BS727" s="276"/>
    </row>
    <row r="728" spans="12:71" ht="12" customHeight="1">
      <c r="L728" s="283"/>
      <c r="M728" s="276"/>
      <c r="N728" s="283"/>
      <c r="O728" s="276"/>
      <c r="P728" s="283"/>
      <c r="Q728" s="276"/>
      <c r="S728" s="283"/>
      <c r="T728" s="276"/>
      <c r="W728" s="283"/>
      <c r="X728" s="276"/>
      <c r="Y728" s="283"/>
      <c r="Z728" s="276"/>
      <c r="AA728" s="283"/>
      <c r="AB728" s="276"/>
      <c r="AC728" s="283"/>
      <c r="AE728" s="283"/>
      <c r="AF728" s="276"/>
      <c r="AI728" s="283"/>
      <c r="AJ728" s="276"/>
      <c r="AK728" s="283"/>
      <c r="AL728" s="276"/>
      <c r="AM728" s="283"/>
      <c r="AN728" s="276"/>
      <c r="AO728" s="283"/>
      <c r="AP728" s="276"/>
      <c r="AQ728" s="283"/>
      <c r="AR728" s="276"/>
      <c r="AT728" s="283"/>
      <c r="AU728" s="276"/>
      <c r="AV728" s="283"/>
      <c r="AW728" s="276"/>
      <c r="AX728" s="283"/>
      <c r="AY728" s="276"/>
      <c r="AZ728" s="283"/>
      <c r="BA728" s="276"/>
      <c r="BB728" s="283"/>
      <c r="BC728" s="276"/>
      <c r="BD728" s="283"/>
      <c r="BE728" s="276"/>
      <c r="BG728" s="283"/>
      <c r="BH728" s="276"/>
      <c r="BI728" s="283"/>
      <c r="BJ728" s="276"/>
      <c r="BK728" s="283"/>
      <c r="BL728" s="276"/>
      <c r="BM728" s="283"/>
      <c r="BN728" s="276"/>
      <c r="BO728" s="283"/>
      <c r="BP728" s="276"/>
      <c r="BQ728" s="283"/>
      <c r="BR728" s="283"/>
      <c r="BS728" s="276"/>
    </row>
    <row r="729" spans="12:71" ht="12" customHeight="1">
      <c r="L729" s="283"/>
      <c r="M729" s="276"/>
      <c r="N729" s="283"/>
      <c r="O729" s="276"/>
      <c r="P729" s="283"/>
      <c r="Q729" s="276"/>
      <c r="S729" s="283"/>
      <c r="T729" s="276"/>
      <c r="W729" s="283"/>
      <c r="X729" s="276"/>
      <c r="Y729" s="283"/>
      <c r="Z729" s="276"/>
      <c r="AA729" s="283"/>
      <c r="AB729" s="276"/>
      <c r="AC729" s="283"/>
      <c r="AE729" s="283"/>
      <c r="AF729" s="276"/>
      <c r="AI729" s="283"/>
      <c r="AJ729" s="276"/>
      <c r="AK729" s="283"/>
      <c r="AL729" s="276"/>
      <c r="AM729" s="283"/>
      <c r="AN729" s="276"/>
      <c r="AO729" s="283"/>
      <c r="AP729" s="276"/>
      <c r="AQ729" s="283"/>
      <c r="AR729" s="276"/>
      <c r="AT729" s="283"/>
      <c r="AU729" s="276"/>
      <c r="AV729" s="283"/>
      <c r="AW729" s="276"/>
      <c r="AX729" s="283"/>
      <c r="AY729" s="276"/>
      <c r="AZ729" s="283"/>
      <c r="BA729" s="276"/>
      <c r="BB729" s="283"/>
      <c r="BC729" s="276"/>
      <c r="BD729" s="283"/>
      <c r="BE729" s="276"/>
      <c r="BG729" s="283"/>
      <c r="BH729" s="276"/>
      <c r="BI729" s="283"/>
      <c r="BJ729" s="276"/>
      <c r="BK729" s="283"/>
      <c r="BL729" s="276"/>
      <c r="BM729" s="283"/>
      <c r="BN729" s="276"/>
      <c r="BO729" s="283"/>
      <c r="BP729" s="276"/>
      <c r="BQ729" s="283"/>
      <c r="BR729" s="283"/>
      <c r="BS729" s="276"/>
    </row>
    <row r="730" spans="12:71" ht="12" customHeight="1">
      <c r="L730" s="283"/>
      <c r="M730" s="276"/>
      <c r="N730" s="283"/>
      <c r="O730" s="276"/>
      <c r="P730" s="283"/>
      <c r="Q730" s="276"/>
      <c r="S730" s="283"/>
      <c r="T730" s="276"/>
      <c r="W730" s="283"/>
      <c r="X730" s="276"/>
      <c r="Y730" s="283"/>
      <c r="Z730" s="276"/>
      <c r="AA730" s="283"/>
      <c r="AB730" s="276"/>
      <c r="AC730" s="283"/>
      <c r="AE730" s="283"/>
      <c r="AF730" s="276"/>
      <c r="AI730" s="283"/>
      <c r="AJ730" s="276"/>
      <c r="AK730" s="283"/>
      <c r="AL730" s="276"/>
      <c r="AM730" s="283"/>
      <c r="AN730" s="276"/>
      <c r="AO730" s="283"/>
      <c r="AP730" s="276"/>
      <c r="AQ730" s="283"/>
      <c r="AR730" s="276"/>
      <c r="AT730" s="283"/>
      <c r="AU730" s="276"/>
      <c r="AV730" s="283"/>
      <c r="AW730" s="276"/>
      <c r="AX730" s="283"/>
      <c r="AY730" s="276"/>
      <c r="AZ730" s="283"/>
      <c r="BA730" s="276"/>
      <c r="BB730" s="283"/>
      <c r="BC730" s="276"/>
      <c r="BD730" s="283"/>
      <c r="BE730" s="276"/>
      <c r="BG730" s="283"/>
      <c r="BH730" s="276"/>
      <c r="BI730" s="283"/>
      <c r="BJ730" s="276"/>
      <c r="BK730" s="283"/>
      <c r="BL730" s="276"/>
      <c r="BM730" s="283"/>
      <c r="BN730" s="276"/>
      <c r="BO730" s="283"/>
      <c r="BP730" s="276"/>
      <c r="BQ730" s="283"/>
      <c r="BR730" s="283"/>
      <c r="BS730" s="276"/>
    </row>
    <row r="731" spans="12:71" ht="12" customHeight="1">
      <c r="L731" s="283"/>
      <c r="M731" s="276"/>
      <c r="N731" s="283"/>
      <c r="O731" s="276"/>
      <c r="P731" s="283"/>
      <c r="Q731" s="276"/>
      <c r="S731" s="283"/>
      <c r="T731" s="276"/>
      <c r="W731" s="283"/>
      <c r="X731" s="276"/>
      <c r="Y731" s="283"/>
      <c r="Z731" s="276"/>
      <c r="AA731" s="283"/>
      <c r="AB731" s="276"/>
      <c r="AC731" s="283"/>
      <c r="AE731" s="283"/>
      <c r="AF731" s="276"/>
      <c r="AI731" s="283"/>
      <c r="AJ731" s="276"/>
      <c r="AK731" s="283"/>
      <c r="AL731" s="276"/>
      <c r="AM731" s="283"/>
      <c r="AN731" s="276"/>
      <c r="AO731" s="283"/>
      <c r="AP731" s="276"/>
      <c r="AQ731" s="283"/>
      <c r="AR731" s="276"/>
      <c r="AT731" s="283"/>
      <c r="AU731" s="276"/>
      <c r="AV731" s="283"/>
      <c r="AW731" s="276"/>
      <c r="AX731" s="283"/>
      <c r="AY731" s="276"/>
      <c r="AZ731" s="283"/>
      <c r="BA731" s="276"/>
      <c r="BB731" s="283"/>
      <c r="BC731" s="276"/>
      <c r="BD731" s="283"/>
      <c r="BE731" s="276"/>
      <c r="BG731" s="283"/>
      <c r="BH731" s="276"/>
      <c r="BI731" s="283"/>
      <c r="BJ731" s="276"/>
      <c r="BK731" s="283"/>
      <c r="BL731" s="276"/>
      <c r="BM731" s="283"/>
      <c r="BN731" s="276"/>
      <c r="BO731" s="283"/>
      <c r="BP731" s="276"/>
      <c r="BQ731" s="283"/>
      <c r="BR731" s="283"/>
      <c r="BS731" s="276"/>
    </row>
    <row r="732" spans="12:71" ht="12" customHeight="1">
      <c r="L732" s="283"/>
      <c r="M732" s="276"/>
      <c r="N732" s="283"/>
      <c r="O732" s="276"/>
      <c r="P732" s="283"/>
      <c r="Q732" s="276"/>
      <c r="S732" s="283"/>
      <c r="T732" s="276"/>
      <c r="W732" s="283"/>
      <c r="X732" s="276"/>
      <c r="Y732" s="283"/>
      <c r="Z732" s="276"/>
      <c r="AA732" s="283"/>
      <c r="AB732" s="276"/>
      <c r="AC732" s="283"/>
      <c r="AE732" s="283"/>
      <c r="AF732" s="276"/>
      <c r="AI732" s="283"/>
      <c r="AJ732" s="276"/>
      <c r="AK732" s="283"/>
      <c r="AL732" s="276"/>
      <c r="AM732" s="283"/>
      <c r="AN732" s="276"/>
      <c r="AO732" s="283"/>
      <c r="AP732" s="276"/>
      <c r="AQ732" s="283"/>
      <c r="AR732" s="276"/>
      <c r="AT732" s="283"/>
      <c r="AU732" s="276"/>
      <c r="AV732" s="283"/>
      <c r="AW732" s="276"/>
      <c r="AX732" s="283"/>
      <c r="AY732" s="276"/>
      <c r="AZ732" s="283"/>
      <c r="BA732" s="276"/>
      <c r="BB732" s="283"/>
      <c r="BC732" s="276"/>
      <c r="BD732" s="283"/>
      <c r="BE732" s="276"/>
      <c r="BG732" s="283"/>
      <c r="BH732" s="276"/>
      <c r="BI732" s="283"/>
      <c r="BJ732" s="276"/>
      <c r="BK732" s="283"/>
      <c r="BL732" s="276"/>
      <c r="BM732" s="283"/>
      <c r="BN732" s="276"/>
      <c r="BO732" s="283"/>
      <c r="BP732" s="276"/>
      <c r="BQ732" s="283"/>
      <c r="BR732" s="283"/>
      <c r="BS732" s="276"/>
    </row>
    <row r="733" spans="12:71" ht="12" customHeight="1">
      <c r="L733" s="283"/>
      <c r="M733" s="276"/>
      <c r="N733" s="283"/>
      <c r="O733" s="276"/>
      <c r="P733" s="283"/>
      <c r="Q733" s="276"/>
      <c r="S733" s="283"/>
      <c r="T733" s="276"/>
      <c r="W733" s="283"/>
      <c r="X733" s="276"/>
      <c r="Y733" s="283"/>
      <c r="Z733" s="276"/>
      <c r="AA733" s="283"/>
      <c r="AB733" s="276"/>
      <c r="AC733" s="283"/>
      <c r="AE733" s="283"/>
      <c r="AF733" s="276"/>
      <c r="AI733" s="283"/>
      <c r="AJ733" s="276"/>
      <c r="AK733" s="283"/>
      <c r="AL733" s="276"/>
      <c r="AM733" s="283"/>
      <c r="AN733" s="276"/>
      <c r="AO733" s="283"/>
      <c r="AP733" s="276"/>
      <c r="AQ733" s="283"/>
      <c r="AR733" s="276"/>
      <c r="AT733" s="283"/>
      <c r="AU733" s="276"/>
      <c r="AV733" s="283"/>
      <c r="AW733" s="276"/>
      <c r="AX733" s="283"/>
      <c r="AY733" s="276"/>
      <c r="AZ733" s="283"/>
      <c r="BA733" s="276"/>
      <c r="BB733" s="283"/>
      <c r="BC733" s="276"/>
      <c r="BD733" s="283"/>
      <c r="BE733" s="276"/>
      <c r="BG733" s="283"/>
      <c r="BH733" s="276"/>
      <c r="BI733" s="283"/>
      <c r="BJ733" s="276"/>
      <c r="BK733" s="283"/>
      <c r="BL733" s="276"/>
      <c r="BM733" s="283"/>
      <c r="BN733" s="276"/>
      <c r="BO733" s="283"/>
      <c r="BP733" s="276"/>
      <c r="BQ733" s="283"/>
      <c r="BR733" s="283"/>
      <c r="BS733" s="276"/>
    </row>
    <row r="734" spans="12:71" ht="12" customHeight="1">
      <c r="L734" s="283"/>
      <c r="M734" s="276"/>
      <c r="N734" s="283"/>
      <c r="O734" s="276"/>
      <c r="P734" s="283"/>
      <c r="Q734" s="276"/>
      <c r="S734" s="283"/>
      <c r="T734" s="276"/>
      <c r="W734" s="283"/>
      <c r="X734" s="276"/>
      <c r="Y734" s="283"/>
      <c r="Z734" s="276"/>
      <c r="AA734" s="283"/>
      <c r="AB734" s="276"/>
      <c r="AC734" s="283"/>
      <c r="AE734" s="283"/>
      <c r="AF734" s="276"/>
      <c r="AI734" s="283"/>
      <c r="AJ734" s="276"/>
      <c r="AK734" s="283"/>
      <c r="AL734" s="276"/>
      <c r="AM734" s="283"/>
      <c r="AN734" s="276"/>
      <c r="AO734" s="283"/>
      <c r="AP734" s="276"/>
      <c r="AQ734" s="283"/>
      <c r="AR734" s="276"/>
      <c r="AT734" s="283"/>
      <c r="AU734" s="276"/>
      <c r="AV734" s="283"/>
      <c r="AW734" s="276"/>
      <c r="AX734" s="283"/>
      <c r="AY734" s="276"/>
      <c r="AZ734" s="283"/>
      <c r="BA734" s="276"/>
      <c r="BB734" s="283"/>
      <c r="BC734" s="276"/>
      <c r="BD734" s="283"/>
      <c r="BE734" s="276"/>
      <c r="BG734" s="283"/>
      <c r="BH734" s="276"/>
      <c r="BI734" s="283"/>
      <c r="BJ734" s="276"/>
      <c r="BK734" s="283"/>
      <c r="BL734" s="276"/>
      <c r="BM734" s="283"/>
      <c r="BN734" s="276"/>
      <c r="BO734" s="283"/>
      <c r="BP734" s="276"/>
      <c r="BQ734" s="283"/>
      <c r="BR734" s="283"/>
      <c r="BS734" s="276"/>
    </row>
    <row r="735" spans="12:71" ht="12" customHeight="1">
      <c r="L735" s="283"/>
      <c r="M735" s="276"/>
      <c r="N735" s="283"/>
      <c r="O735" s="276"/>
      <c r="P735" s="283"/>
      <c r="Q735" s="276"/>
      <c r="S735" s="283"/>
      <c r="T735" s="276"/>
      <c r="W735" s="283"/>
      <c r="X735" s="276"/>
      <c r="Y735" s="283"/>
      <c r="Z735" s="276"/>
      <c r="AA735" s="283"/>
      <c r="AB735" s="276"/>
      <c r="AC735" s="283"/>
      <c r="AE735" s="283"/>
      <c r="AF735" s="276"/>
      <c r="AI735" s="283"/>
      <c r="AJ735" s="276"/>
      <c r="AK735" s="283"/>
      <c r="AL735" s="276"/>
      <c r="AM735" s="283"/>
      <c r="AN735" s="276"/>
      <c r="AO735" s="283"/>
      <c r="AP735" s="276"/>
      <c r="AQ735" s="283"/>
      <c r="AR735" s="276"/>
      <c r="AT735" s="283"/>
      <c r="AU735" s="276"/>
      <c r="AV735" s="283"/>
      <c r="AW735" s="276"/>
      <c r="AX735" s="283"/>
      <c r="AY735" s="276"/>
      <c r="AZ735" s="283"/>
      <c r="BA735" s="276"/>
      <c r="BB735" s="283"/>
      <c r="BC735" s="276"/>
      <c r="BD735" s="283"/>
      <c r="BE735" s="276"/>
      <c r="BG735" s="283"/>
      <c r="BH735" s="276"/>
      <c r="BI735" s="283"/>
      <c r="BJ735" s="276"/>
      <c r="BK735" s="283"/>
      <c r="BL735" s="276"/>
      <c r="BM735" s="283"/>
      <c r="BN735" s="276"/>
      <c r="BO735" s="283"/>
      <c r="BP735" s="276"/>
      <c r="BQ735" s="283"/>
      <c r="BR735" s="283"/>
      <c r="BS735" s="276"/>
    </row>
    <row r="736" spans="12:71" ht="12" customHeight="1">
      <c r="L736" s="283"/>
      <c r="M736" s="276"/>
      <c r="N736" s="283"/>
      <c r="O736" s="276"/>
      <c r="P736" s="283"/>
      <c r="Q736" s="276"/>
      <c r="S736" s="283"/>
      <c r="T736" s="276"/>
      <c r="W736" s="283"/>
      <c r="X736" s="276"/>
      <c r="Y736" s="283"/>
      <c r="Z736" s="276"/>
      <c r="AA736" s="283"/>
      <c r="AB736" s="276"/>
      <c r="AC736" s="283"/>
      <c r="AE736" s="283"/>
      <c r="AF736" s="276"/>
      <c r="AI736" s="283"/>
      <c r="AJ736" s="276"/>
      <c r="AK736" s="283"/>
      <c r="AL736" s="276"/>
      <c r="AM736" s="283"/>
      <c r="AN736" s="276"/>
      <c r="AO736" s="283"/>
      <c r="AP736" s="276"/>
      <c r="AQ736" s="283"/>
      <c r="AR736" s="276"/>
      <c r="AT736" s="283"/>
      <c r="AU736" s="276"/>
      <c r="AV736" s="283"/>
      <c r="AW736" s="276"/>
      <c r="AX736" s="283"/>
      <c r="AY736" s="276"/>
      <c r="AZ736" s="283"/>
      <c r="BA736" s="276"/>
      <c r="BB736" s="283"/>
      <c r="BC736" s="276"/>
      <c r="BD736" s="283"/>
      <c r="BE736" s="276"/>
      <c r="BG736" s="283"/>
      <c r="BH736" s="276"/>
      <c r="BI736" s="283"/>
      <c r="BJ736" s="276"/>
      <c r="BK736" s="283"/>
      <c r="BL736" s="276"/>
      <c r="BM736" s="283"/>
      <c r="BN736" s="276"/>
      <c r="BO736" s="283"/>
      <c r="BP736" s="276"/>
      <c r="BQ736" s="283"/>
      <c r="BR736" s="283"/>
      <c r="BS736" s="276"/>
    </row>
    <row r="737" spans="12:71" ht="12" customHeight="1">
      <c r="L737" s="283"/>
      <c r="M737" s="276"/>
      <c r="N737" s="283"/>
      <c r="O737" s="276"/>
      <c r="P737" s="283"/>
      <c r="Q737" s="276"/>
      <c r="S737" s="283"/>
      <c r="T737" s="276"/>
      <c r="W737" s="283"/>
      <c r="X737" s="276"/>
      <c r="Y737" s="283"/>
      <c r="Z737" s="276"/>
      <c r="AA737" s="283"/>
      <c r="AB737" s="276"/>
      <c r="AC737" s="283"/>
      <c r="AE737" s="283"/>
      <c r="AF737" s="276"/>
      <c r="AI737" s="283"/>
      <c r="AJ737" s="276"/>
      <c r="AK737" s="283"/>
      <c r="AL737" s="276"/>
      <c r="AM737" s="283"/>
      <c r="AN737" s="276"/>
      <c r="AO737" s="283"/>
      <c r="AP737" s="276"/>
      <c r="AQ737" s="283"/>
      <c r="AR737" s="276"/>
      <c r="AT737" s="283"/>
      <c r="AU737" s="276"/>
      <c r="AV737" s="283"/>
      <c r="AW737" s="276"/>
      <c r="AX737" s="283"/>
      <c r="AY737" s="276"/>
      <c r="AZ737" s="283"/>
      <c r="BA737" s="276"/>
      <c r="BB737" s="283"/>
      <c r="BC737" s="276"/>
      <c r="BD737" s="283"/>
      <c r="BE737" s="276"/>
      <c r="BG737" s="283"/>
      <c r="BH737" s="276"/>
      <c r="BI737" s="283"/>
      <c r="BJ737" s="276"/>
      <c r="BK737" s="283"/>
      <c r="BL737" s="276"/>
      <c r="BM737" s="283"/>
      <c r="BN737" s="276"/>
      <c r="BO737" s="283"/>
      <c r="BP737" s="276"/>
      <c r="BQ737" s="283"/>
      <c r="BR737" s="283"/>
      <c r="BS737" s="276"/>
    </row>
    <row r="738" spans="12:71" ht="12" customHeight="1">
      <c r="L738" s="283"/>
      <c r="M738" s="276"/>
      <c r="N738" s="283"/>
      <c r="O738" s="276"/>
      <c r="P738" s="283"/>
      <c r="Q738" s="276"/>
      <c r="S738" s="283"/>
      <c r="T738" s="276"/>
      <c r="W738" s="283"/>
      <c r="X738" s="276"/>
      <c r="Y738" s="283"/>
      <c r="Z738" s="276"/>
      <c r="AA738" s="283"/>
      <c r="AB738" s="276"/>
      <c r="AC738" s="283"/>
      <c r="AE738" s="283"/>
      <c r="AF738" s="276"/>
      <c r="AI738" s="283"/>
      <c r="AJ738" s="276"/>
      <c r="AK738" s="283"/>
      <c r="AL738" s="276"/>
      <c r="AM738" s="283"/>
      <c r="AN738" s="276"/>
      <c r="AO738" s="283"/>
      <c r="AP738" s="276"/>
      <c r="AQ738" s="283"/>
      <c r="AR738" s="276"/>
      <c r="AT738" s="283"/>
      <c r="AU738" s="276"/>
      <c r="AV738" s="283"/>
      <c r="AW738" s="276"/>
      <c r="AX738" s="283"/>
      <c r="AY738" s="276"/>
      <c r="AZ738" s="283"/>
      <c r="BA738" s="276"/>
      <c r="BB738" s="283"/>
      <c r="BC738" s="276"/>
      <c r="BD738" s="283"/>
      <c r="BE738" s="276"/>
      <c r="BG738" s="283"/>
      <c r="BH738" s="276"/>
      <c r="BI738" s="283"/>
      <c r="BJ738" s="276"/>
      <c r="BK738" s="283"/>
      <c r="BL738" s="276"/>
      <c r="BM738" s="283"/>
      <c r="BN738" s="276"/>
      <c r="BO738" s="283"/>
      <c r="BP738" s="276"/>
      <c r="BQ738" s="283"/>
      <c r="BR738" s="283"/>
      <c r="BS738" s="276"/>
    </row>
    <row r="739" spans="12:71" ht="12" customHeight="1">
      <c r="L739" s="283"/>
      <c r="M739" s="276"/>
      <c r="N739" s="283"/>
      <c r="O739" s="276"/>
      <c r="P739" s="283"/>
      <c r="Q739" s="276"/>
      <c r="S739" s="283"/>
      <c r="T739" s="276"/>
      <c r="W739" s="283"/>
      <c r="X739" s="276"/>
      <c r="Y739" s="283"/>
      <c r="Z739" s="276"/>
      <c r="AA739" s="283"/>
      <c r="AB739" s="276"/>
      <c r="AC739" s="283"/>
      <c r="AE739" s="283"/>
      <c r="AF739" s="276"/>
      <c r="AI739" s="283"/>
      <c r="AJ739" s="276"/>
      <c r="AK739" s="283"/>
      <c r="AL739" s="276"/>
      <c r="AM739" s="283"/>
      <c r="AN739" s="276"/>
      <c r="AO739" s="283"/>
      <c r="AP739" s="276"/>
      <c r="AQ739" s="283"/>
      <c r="AR739" s="276"/>
      <c r="AT739" s="283"/>
      <c r="AU739" s="276"/>
      <c r="AV739" s="283"/>
      <c r="AW739" s="276"/>
      <c r="AX739" s="283"/>
      <c r="AY739" s="276"/>
      <c r="AZ739" s="283"/>
      <c r="BA739" s="276"/>
      <c r="BB739" s="283"/>
      <c r="BC739" s="276"/>
      <c r="BD739" s="283"/>
      <c r="BE739" s="276"/>
      <c r="BG739" s="283"/>
      <c r="BH739" s="276"/>
      <c r="BI739" s="283"/>
      <c r="BJ739" s="276"/>
      <c r="BK739" s="283"/>
      <c r="BL739" s="276"/>
      <c r="BM739" s="283"/>
      <c r="BN739" s="276"/>
      <c r="BO739" s="283"/>
      <c r="BP739" s="276"/>
      <c r="BQ739" s="283"/>
      <c r="BR739" s="283"/>
      <c r="BS739" s="276"/>
    </row>
    <row r="740" spans="12:71" ht="12" customHeight="1">
      <c r="L740" s="283"/>
      <c r="M740" s="276"/>
      <c r="N740" s="283"/>
      <c r="O740" s="276"/>
      <c r="P740" s="283"/>
      <c r="Q740" s="276"/>
      <c r="S740" s="283"/>
      <c r="T740" s="276"/>
      <c r="W740" s="283"/>
      <c r="X740" s="276"/>
      <c r="Y740" s="283"/>
      <c r="Z740" s="276"/>
      <c r="AA740" s="283"/>
      <c r="AB740" s="276"/>
      <c r="AC740" s="283"/>
      <c r="AE740" s="283"/>
      <c r="AF740" s="276"/>
      <c r="AI740" s="283"/>
      <c r="AJ740" s="276"/>
      <c r="AK740" s="283"/>
      <c r="AL740" s="276"/>
      <c r="AM740" s="283"/>
      <c r="AN740" s="276"/>
      <c r="AO740" s="283"/>
      <c r="AP740" s="276"/>
      <c r="AQ740" s="283"/>
      <c r="AR740" s="276"/>
      <c r="AT740" s="283"/>
      <c r="AU740" s="276"/>
      <c r="AV740" s="283"/>
      <c r="AW740" s="276"/>
      <c r="AX740" s="283"/>
      <c r="AY740" s="276"/>
      <c r="AZ740" s="283"/>
      <c r="BA740" s="276"/>
      <c r="BB740" s="283"/>
      <c r="BC740" s="276"/>
      <c r="BD740" s="283"/>
      <c r="BE740" s="276"/>
      <c r="BG740" s="283"/>
      <c r="BH740" s="276"/>
      <c r="BI740" s="283"/>
      <c r="BJ740" s="276"/>
      <c r="BK740" s="283"/>
      <c r="BL740" s="276"/>
      <c r="BM740" s="283"/>
      <c r="BN740" s="276"/>
      <c r="BO740" s="283"/>
      <c r="BP740" s="276"/>
      <c r="BQ740" s="283"/>
      <c r="BR740" s="283"/>
      <c r="BS740" s="276"/>
    </row>
    <row r="741" spans="12:71" ht="12" customHeight="1">
      <c r="L741" s="283"/>
      <c r="M741" s="276"/>
      <c r="N741" s="283"/>
      <c r="O741" s="276"/>
      <c r="P741" s="283"/>
      <c r="Q741" s="276"/>
      <c r="S741" s="283"/>
      <c r="T741" s="276"/>
      <c r="W741" s="283"/>
      <c r="X741" s="276"/>
      <c r="Y741" s="283"/>
      <c r="Z741" s="276"/>
      <c r="AA741" s="283"/>
      <c r="AB741" s="276"/>
      <c r="AC741" s="283"/>
      <c r="AE741" s="283"/>
      <c r="AF741" s="276"/>
      <c r="AI741" s="283"/>
      <c r="AJ741" s="276"/>
      <c r="AK741" s="283"/>
      <c r="AL741" s="276"/>
      <c r="AM741" s="283"/>
      <c r="AN741" s="276"/>
      <c r="AO741" s="283"/>
      <c r="AP741" s="276"/>
      <c r="AQ741" s="283"/>
      <c r="AR741" s="276"/>
      <c r="AT741" s="283"/>
      <c r="AU741" s="276"/>
      <c r="AV741" s="283"/>
      <c r="AW741" s="276"/>
      <c r="AX741" s="283"/>
      <c r="AY741" s="276"/>
      <c r="AZ741" s="283"/>
      <c r="BA741" s="276"/>
      <c r="BB741" s="283"/>
      <c r="BC741" s="276"/>
      <c r="BD741" s="283"/>
      <c r="BE741" s="276"/>
      <c r="BG741" s="283"/>
      <c r="BH741" s="276"/>
      <c r="BI741" s="283"/>
      <c r="BJ741" s="276"/>
      <c r="BK741" s="283"/>
      <c r="BL741" s="276"/>
      <c r="BM741" s="283"/>
      <c r="BN741" s="276"/>
      <c r="BO741" s="283"/>
      <c r="BP741" s="276"/>
      <c r="BQ741" s="283"/>
      <c r="BR741" s="283"/>
      <c r="BS741" s="276"/>
    </row>
    <row r="742" spans="12:71" ht="12" customHeight="1">
      <c r="L742" s="283"/>
      <c r="M742" s="276"/>
      <c r="N742" s="283"/>
      <c r="O742" s="276"/>
      <c r="P742" s="283"/>
      <c r="Q742" s="276"/>
      <c r="S742" s="283"/>
      <c r="T742" s="276"/>
      <c r="W742" s="283"/>
      <c r="X742" s="276"/>
      <c r="Y742" s="283"/>
      <c r="Z742" s="276"/>
      <c r="AA742" s="283"/>
      <c r="AB742" s="276"/>
      <c r="AC742" s="283"/>
      <c r="AE742" s="283"/>
      <c r="AF742" s="276"/>
      <c r="AI742" s="283"/>
      <c r="AJ742" s="276"/>
      <c r="AK742" s="283"/>
      <c r="AL742" s="276"/>
      <c r="AM742" s="283"/>
      <c r="AN742" s="276"/>
      <c r="AO742" s="283"/>
      <c r="AP742" s="276"/>
      <c r="AQ742" s="283"/>
      <c r="AR742" s="276"/>
      <c r="AT742" s="283"/>
      <c r="AU742" s="276"/>
      <c r="AV742" s="283"/>
      <c r="AW742" s="276"/>
      <c r="AX742" s="283"/>
      <c r="AY742" s="276"/>
      <c r="AZ742" s="283"/>
      <c r="BA742" s="276"/>
      <c r="BB742" s="283"/>
      <c r="BC742" s="276"/>
      <c r="BD742" s="283"/>
      <c r="BE742" s="276"/>
      <c r="BG742" s="283"/>
      <c r="BH742" s="276"/>
      <c r="BI742" s="283"/>
      <c r="BJ742" s="276"/>
      <c r="BK742" s="283"/>
      <c r="BL742" s="276"/>
      <c r="BM742" s="283"/>
      <c r="BN742" s="276"/>
      <c r="BO742" s="283"/>
      <c r="BP742" s="276"/>
      <c r="BQ742" s="283"/>
      <c r="BR742" s="283"/>
      <c r="BS742" s="276"/>
    </row>
    <row r="743" spans="12:71" ht="12" customHeight="1">
      <c r="L743" s="283"/>
      <c r="M743" s="276"/>
      <c r="N743" s="283"/>
      <c r="O743" s="276"/>
      <c r="P743" s="283"/>
      <c r="Q743" s="276"/>
      <c r="S743" s="283"/>
      <c r="T743" s="276"/>
      <c r="W743" s="283"/>
      <c r="X743" s="276"/>
      <c r="Y743" s="283"/>
      <c r="Z743" s="276"/>
      <c r="AA743" s="283"/>
      <c r="AB743" s="276"/>
      <c r="AC743" s="283"/>
      <c r="AE743" s="283"/>
      <c r="AF743" s="276"/>
      <c r="AI743" s="283"/>
      <c r="AJ743" s="276"/>
      <c r="AK743" s="283"/>
      <c r="AL743" s="276"/>
      <c r="AM743" s="283"/>
      <c r="AN743" s="276"/>
      <c r="AO743" s="283"/>
      <c r="AP743" s="276"/>
      <c r="AQ743" s="283"/>
      <c r="AR743" s="276"/>
      <c r="AT743" s="283"/>
      <c r="AU743" s="276"/>
      <c r="AV743" s="283"/>
      <c r="AW743" s="276"/>
      <c r="AX743" s="283"/>
      <c r="AY743" s="276"/>
      <c r="AZ743" s="283"/>
      <c r="BA743" s="276"/>
      <c r="BB743" s="283"/>
      <c r="BC743" s="276"/>
      <c r="BD743" s="283"/>
      <c r="BE743" s="276"/>
      <c r="BG743" s="283"/>
      <c r="BH743" s="276"/>
      <c r="BI743" s="283"/>
      <c r="BJ743" s="276"/>
      <c r="BK743" s="283"/>
      <c r="BL743" s="276"/>
      <c r="BM743" s="283"/>
      <c r="BN743" s="276"/>
      <c r="BO743" s="283"/>
      <c r="BP743" s="276"/>
      <c r="BQ743" s="283"/>
      <c r="BR743" s="283"/>
      <c r="BS743" s="276"/>
    </row>
    <row r="744" spans="12:71" ht="12" customHeight="1">
      <c r="L744" s="283"/>
      <c r="M744" s="276"/>
      <c r="N744" s="283"/>
      <c r="O744" s="276"/>
      <c r="P744" s="283"/>
      <c r="Q744" s="276"/>
      <c r="S744" s="283"/>
      <c r="T744" s="276"/>
      <c r="W744" s="283"/>
      <c r="X744" s="276"/>
      <c r="Y744" s="283"/>
      <c r="Z744" s="276"/>
      <c r="AA744" s="283"/>
      <c r="AB744" s="276"/>
      <c r="AC744" s="283"/>
      <c r="AE744" s="283"/>
      <c r="AF744" s="276"/>
      <c r="AI744" s="283"/>
      <c r="AJ744" s="276"/>
      <c r="AK744" s="283"/>
      <c r="AL744" s="276"/>
      <c r="AM744" s="283"/>
      <c r="AN744" s="276"/>
      <c r="AO744" s="283"/>
      <c r="AP744" s="276"/>
      <c r="AQ744" s="283"/>
      <c r="AR744" s="276"/>
      <c r="AT744" s="283"/>
      <c r="AU744" s="276"/>
      <c r="AV744" s="283"/>
      <c r="AW744" s="276"/>
      <c r="AX744" s="283"/>
      <c r="AY744" s="276"/>
      <c r="AZ744" s="283"/>
      <c r="BA744" s="276"/>
      <c r="BB744" s="283"/>
      <c r="BC744" s="276"/>
      <c r="BD744" s="283"/>
      <c r="BE744" s="276"/>
      <c r="BG744" s="283"/>
      <c r="BH744" s="276"/>
      <c r="BI744" s="283"/>
      <c r="BJ744" s="276"/>
      <c r="BK744" s="283"/>
      <c r="BL744" s="276"/>
      <c r="BM744" s="283"/>
      <c r="BN744" s="276"/>
      <c r="BO744" s="283"/>
      <c r="BP744" s="276"/>
      <c r="BQ744" s="283"/>
      <c r="BR744" s="283"/>
      <c r="BS744" s="276"/>
    </row>
    <row r="745" spans="12:71" ht="12" customHeight="1">
      <c r="L745" s="283"/>
      <c r="M745" s="276"/>
      <c r="N745" s="283"/>
      <c r="O745" s="276"/>
      <c r="P745" s="283"/>
      <c r="Q745" s="276"/>
      <c r="S745" s="283"/>
      <c r="T745" s="276"/>
      <c r="W745" s="283"/>
      <c r="X745" s="276"/>
      <c r="Y745" s="283"/>
      <c r="Z745" s="276"/>
      <c r="AA745" s="283"/>
      <c r="AB745" s="276"/>
      <c r="AC745" s="283"/>
      <c r="AE745" s="283"/>
      <c r="AF745" s="276"/>
      <c r="AI745" s="283"/>
      <c r="AJ745" s="276"/>
      <c r="AK745" s="283"/>
      <c r="AL745" s="276"/>
      <c r="AM745" s="283"/>
      <c r="AN745" s="276"/>
      <c r="AO745" s="283"/>
      <c r="AP745" s="276"/>
      <c r="AQ745" s="283"/>
      <c r="AR745" s="276"/>
      <c r="AT745" s="283"/>
      <c r="AU745" s="276"/>
      <c r="AV745" s="283"/>
      <c r="AW745" s="276"/>
      <c r="AX745" s="283"/>
      <c r="AY745" s="276"/>
      <c r="AZ745" s="283"/>
      <c r="BA745" s="276"/>
      <c r="BB745" s="283"/>
      <c r="BC745" s="276"/>
      <c r="BD745" s="283"/>
      <c r="BE745" s="276"/>
      <c r="BG745" s="283"/>
      <c r="BH745" s="276"/>
      <c r="BI745" s="283"/>
      <c r="BJ745" s="276"/>
      <c r="BK745" s="283"/>
      <c r="BL745" s="276"/>
      <c r="BM745" s="283"/>
      <c r="BN745" s="276"/>
      <c r="BO745" s="283"/>
      <c r="BP745" s="276"/>
      <c r="BQ745" s="283"/>
      <c r="BR745" s="283"/>
      <c r="BS745" s="276"/>
    </row>
    <row r="746" spans="12:71" ht="12" customHeight="1">
      <c r="L746" s="283"/>
      <c r="M746" s="276"/>
      <c r="N746" s="283"/>
      <c r="O746" s="276"/>
      <c r="P746" s="283"/>
      <c r="Q746" s="276"/>
      <c r="S746" s="283"/>
      <c r="T746" s="276"/>
      <c r="W746" s="283"/>
      <c r="X746" s="276"/>
      <c r="Y746" s="283"/>
      <c r="Z746" s="276"/>
      <c r="AA746" s="283"/>
      <c r="AB746" s="276"/>
      <c r="AC746" s="283"/>
      <c r="AE746" s="283"/>
      <c r="AF746" s="276"/>
      <c r="AI746" s="283"/>
      <c r="AJ746" s="276"/>
      <c r="AK746" s="283"/>
      <c r="AL746" s="276"/>
      <c r="AM746" s="283"/>
      <c r="AN746" s="276"/>
      <c r="AO746" s="283"/>
      <c r="AP746" s="276"/>
      <c r="AQ746" s="283"/>
      <c r="AR746" s="276"/>
      <c r="AT746" s="283"/>
      <c r="AU746" s="276"/>
      <c r="AV746" s="283"/>
      <c r="AW746" s="276"/>
      <c r="AX746" s="283"/>
      <c r="AY746" s="276"/>
      <c r="AZ746" s="283"/>
      <c r="BA746" s="276"/>
      <c r="BB746" s="283"/>
      <c r="BC746" s="276"/>
      <c r="BD746" s="283"/>
      <c r="BE746" s="276"/>
      <c r="BG746" s="283"/>
      <c r="BH746" s="276"/>
      <c r="BI746" s="283"/>
      <c r="BJ746" s="276"/>
      <c r="BK746" s="283"/>
      <c r="BL746" s="276"/>
      <c r="BM746" s="283"/>
      <c r="BN746" s="276"/>
      <c r="BO746" s="283"/>
      <c r="BP746" s="276"/>
      <c r="BQ746" s="283"/>
      <c r="BR746" s="283"/>
      <c r="BS746" s="276"/>
    </row>
    <row r="747" spans="12:71" ht="12" customHeight="1">
      <c r="L747" s="283"/>
      <c r="M747" s="276"/>
      <c r="N747" s="283"/>
      <c r="O747" s="276"/>
      <c r="P747" s="283"/>
      <c r="Q747" s="276"/>
      <c r="S747" s="283"/>
      <c r="T747" s="276"/>
      <c r="W747" s="283"/>
      <c r="X747" s="276"/>
      <c r="Y747" s="283"/>
      <c r="Z747" s="276"/>
      <c r="AA747" s="283"/>
      <c r="AB747" s="276"/>
      <c r="AC747" s="283"/>
      <c r="AE747" s="283"/>
      <c r="AF747" s="276"/>
      <c r="AI747" s="283"/>
      <c r="AJ747" s="276"/>
      <c r="AK747" s="283"/>
      <c r="AL747" s="276"/>
      <c r="AM747" s="283"/>
      <c r="AN747" s="276"/>
      <c r="AO747" s="283"/>
      <c r="AP747" s="276"/>
      <c r="AQ747" s="283"/>
      <c r="AR747" s="276"/>
      <c r="AT747" s="283"/>
      <c r="AU747" s="276"/>
      <c r="AV747" s="283"/>
      <c r="AW747" s="276"/>
      <c r="AX747" s="283"/>
      <c r="AY747" s="276"/>
      <c r="AZ747" s="283"/>
      <c r="BA747" s="276"/>
      <c r="BB747" s="283"/>
      <c r="BC747" s="276"/>
      <c r="BD747" s="283"/>
      <c r="BE747" s="276"/>
      <c r="BG747" s="283"/>
      <c r="BH747" s="276"/>
      <c r="BI747" s="283"/>
      <c r="BJ747" s="276"/>
      <c r="BK747" s="283"/>
      <c r="BL747" s="276"/>
      <c r="BM747" s="283"/>
      <c r="BN747" s="276"/>
      <c r="BO747" s="283"/>
      <c r="BP747" s="276"/>
      <c r="BQ747" s="283"/>
      <c r="BR747" s="283"/>
      <c r="BS747" s="276"/>
    </row>
    <row r="748" spans="12:71" ht="12" customHeight="1">
      <c r="L748" s="283"/>
      <c r="M748" s="276"/>
      <c r="N748" s="283"/>
      <c r="O748" s="276"/>
      <c r="P748" s="283"/>
      <c r="Q748" s="276"/>
      <c r="S748" s="283"/>
      <c r="T748" s="276"/>
      <c r="W748" s="283"/>
      <c r="X748" s="276"/>
      <c r="Y748" s="283"/>
      <c r="Z748" s="276"/>
      <c r="AA748" s="283"/>
      <c r="AB748" s="276"/>
      <c r="AC748" s="283"/>
      <c r="AE748" s="283"/>
      <c r="AF748" s="276"/>
      <c r="AI748" s="283"/>
      <c r="AJ748" s="276"/>
      <c r="AK748" s="283"/>
      <c r="AL748" s="276"/>
      <c r="AM748" s="283"/>
      <c r="AN748" s="276"/>
      <c r="AO748" s="283"/>
      <c r="AP748" s="276"/>
      <c r="AQ748" s="283"/>
      <c r="AR748" s="276"/>
      <c r="AT748" s="283"/>
      <c r="AU748" s="276"/>
      <c r="AV748" s="283"/>
      <c r="AW748" s="276"/>
      <c r="AX748" s="283"/>
      <c r="AY748" s="276"/>
      <c r="AZ748" s="283"/>
      <c r="BA748" s="276"/>
      <c r="BB748" s="283"/>
      <c r="BC748" s="276"/>
      <c r="BD748" s="283"/>
      <c r="BE748" s="276"/>
      <c r="BG748" s="283"/>
      <c r="BH748" s="276"/>
      <c r="BI748" s="283"/>
      <c r="BJ748" s="276"/>
      <c r="BK748" s="283"/>
      <c r="BL748" s="276"/>
      <c r="BM748" s="283"/>
      <c r="BN748" s="276"/>
      <c r="BO748" s="283"/>
      <c r="BP748" s="276"/>
      <c r="BQ748" s="283"/>
      <c r="BR748" s="283"/>
      <c r="BS748" s="276"/>
    </row>
    <row r="749" spans="12:71" ht="12" customHeight="1">
      <c r="L749" s="283"/>
      <c r="M749" s="276"/>
      <c r="N749" s="283"/>
      <c r="O749" s="276"/>
      <c r="P749" s="283"/>
      <c r="Q749" s="276"/>
      <c r="S749" s="283"/>
      <c r="T749" s="276"/>
      <c r="W749" s="283"/>
      <c r="X749" s="276"/>
      <c r="Y749" s="283"/>
      <c r="Z749" s="276"/>
      <c r="AA749" s="283"/>
      <c r="AB749" s="276"/>
      <c r="AC749" s="283"/>
      <c r="AE749" s="283"/>
      <c r="AF749" s="276"/>
      <c r="AI749" s="283"/>
      <c r="AJ749" s="276"/>
      <c r="AK749" s="283"/>
      <c r="AL749" s="276"/>
      <c r="AM749" s="283"/>
      <c r="AN749" s="276"/>
      <c r="AO749" s="283"/>
      <c r="AP749" s="276"/>
      <c r="AQ749" s="283"/>
      <c r="AR749" s="276"/>
      <c r="AT749" s="283"/>
      <c r="AU749" s="276"/>
      <c r="AV749" s="283"/>
      <c r="AW749" s="276"/>
      <c r="AX749" s="283"/>
      <c r="AY749" s="276"/>
      <c r="AZ749" s="283"/>
      <c r="BA749" s="276"/>
      <c r="BB749" s="283"/>
      <c r="BC749" s="276"/>
      <c r="BD749" s="283"/>
      <c r="BE749" s="276"/>
      <c r="BG749" s="283"/>
      <c r="BH749" s="276"/>
      <c r="BI749" s="283"/>
      <c r="BJ749" s="276"/>
      <c r="BK749" s="283"/>
      <c r="BL749" s="276"/>
      <c r="BM749" s="283"/>
      <c r="BN749" s="276"/>
      <c r="BO749" s="283"/>
      <c r="BP749" s="276"/>
      <c r="BQ749" s="283"/>
      <c r="BR749" s="283"/>
      <c r="BS749" s="276"/>
    </row>
    <row r="750" spans="12:71" ht="12" customHeight="1">
      <c r="L750" s="283"/>
      <c r="M750" s="276"/>
      <c r="N750" s="283"/>
      <c r="O750" s="276"/>
      <c r="P750" s="283"/>
      <c r="Q750" s="276"/>
      <c r="S750" s="283"/>
      <c r="T750" s="276"/>
      <c r="W750" s="283"/>
      <c r="X750" s="276"/>
      <c r="Y750" s="283"/>
      <c r="Z750" s="276"/>
      <c r="AA750" s="283"/>
      <c r="AB750" s="276"/>
      <c r="AC750" s="283"/>
      <c r="AE750" s="283"/>
      <c r="AF750" s="276"/>
      <c r="AI750" s="283"/>
      <c r="AJ750" s="276"/>
      <c r="AK750" s="283"/>
      <c r="AL750" s="276"/>
      <c r="AM750" s="283"/>
      <c r="AN750" s="276"/>
      <c r="AO750" s="283"/>
      <c r="AP750" s="276"/>
      <c r="AQ750" s="283"/>
      <c r="AR750" s="276"/>
      <c r="AT750" s="283"/>
      <c r="AU750" s="276"/>
      <c r="AV750" s="283"/>
      <c r="AW750" s="276"/>
      <c r="AX750" s="283"/>
      <c r="AY750" s="276"/>
      <c r="AZ750" s="283"/>
      <c r="BA750" s="276"/>
      <c r="BB750" s="283"/>
      <c r="BC750" s="276"/>
      <c r="BD750" s="283"/>
      <c r="BE750" s="276"/>
      <c r="BG750" s="283"/>
      <c r="BH750" s="276"/>
      <c r="BI750" s="283"/>
      <c r="BJ750" s="276"/>
      <c r="BK750" s="283"/>
      <c r="BL750" s="276"/>
      <c r="BM750" s="283"/>
      <c r="BN750" s="276"/>
      <c r="BO750" s="283"/>
      <c r="BP750" s="276"/>
      <c r="BQ750" s="283"/>
      <c r="BR750" s="283"/>
      <c r="BS750" s="276"/>
    </row>
    <row r="751" spans="12:71" ht="12" customHeight="1">
      <c r="L751" s="283"/>
      <c r="M751" s="276"/>
      <c r="N751" s="283"/>
      <c r="O751" s="276"/>
      <c r="P751" s="283"/>
      <c r="Q751" s="276"/>
      <c r="S751" s="283"/>
      <c r="T751" s="276"/>
      <c r="W751" s="283"/>
      <c r="X751" s="276"/>
      <c r="Y751" s="283"/>
      <c r="Z751" s="276"/>
      <c r="AA751" s="283"/>
      <c r="AB751" s="276"/>
      <c r="AC751" s="283"/>
      <c r="AE751" s="283"/>
      <c r="AF751" s="276"/>
      <c r="AI751" s="283"/>
      <c r="AJ751" s="276"/>
      <c r="AK751" s="283"/>
      <c r="AL751" s="276"/>
      <c r="AM751" s="283"/>
      <c r="AN751" s="276"/>
      <c r="AO751" s="283"/>
      <c r="AP751" s="276"/>
      <c r="AQ751" s="283"/>
      <c r="AR751" s="276"/>
      <c r="AT751" s="283"/>
      <c r="AU751" s="276"/>
      <c r="AV751" s="283"/>
      <c r="AW751" s="276"/>
      <c r="AX751" s="283"/>
      <c r="AY751" s="276"/>
      <c r="AZ751" s="283"/>
      <c r="BA751" s="276"/>
      <c r="BB751" s="283"/>
      <c r="BC751" s="276"/>
      <c r="BD751" s="283"/>
      <c r="BE751" s="276"/>
      <c r="BG751" s="283"/>
      <c r="BH751" s="276"/>
      <c r="BI751" s="283"/>
      <c r="BJ751" s="276"/>
      <c r="BK751" s="283"/>
      <c r="BL751" s="276"/>
      <c r="BM751" s="283"/>
      <c r="BN751" s="276"/>
      <c r="BO751" s="283"/>
      <c r="BP751" s="276"/>
      <c r="BQ751" s="283"/>
      <c r="BR751" s="283"/>
      <c r="BS751" s="276"/>
    </row>
    <row r="752" spans="12:71" ht="12" customHeight="1">
      <c r="L752" s="283"/>
      <c r="M752" s="276"/>
      <c r="N752" s="283"/>
      <c r="O752" s="276"/>
      <c r="P752" s="283"/>
      <c r="Q752" s="276"/>
      <c r="S752" s="283"/>
      <c r="T752" s="276"/>
      <c r="W752" s="283"/>
      <c r="X752" s="276"/>
      <c r="Y752" s="283"/>
      <c r="Z752" s="276"/>
      <c r="AA752" s="283"/>
      <c r="AB752" s="276"/>
      <c r="AC752" s="283"/>
      <c r="AE752" s="283"/>
      <c r="AF752" s="276"/>
      <c r="AI752" s="283"/>
      <c r="AJ752" s="276"/>
      <c r="AK752" s="283"/>
      <c r="AL752" s="276"/>
      <c r="AM752" s="283"/>
      <c r="AN752" s="276"/>
      <c r="AO752" s="283"/>
      <c r="AP752" s="276"/>
      <c r="AQ752" s="283"/>
      <c r="AR752" s="276"/>
      <c r="AT752" s="283"/>
      <c r="AU752" s="276"/>
      <c r="AV752" s="283"/>
      <c r="AW752" s="276"/>
      <c r="AX752" s="283"/>
      <c r="AY752" s="276"/>
      <c r="AZ752" s="283"/>
      <c r="BA752" s="276"/>
      <c r="BB752" s="283"/>
      <c r="BC752" s="276"/>
      <c r="BD752" s="283"/>
      <c r="BE752" s="276"/>
      <c r="BG752" s="283"/>
      <c r="BH752" s="276"/>
      <c r="BI752" s="283"/>
      <c r="BJ752" s="276"/>
      <c r="BK752" s="283"/>
      <c r="BL752" s="276"/>
      <c r="BM752" s="283"/>
      <c r="BN752" s="276"/>
      <c r="BO752" s="283"/>
      <c r="BP752" s="276"/>
      <c r="BQ752" s="283"/>
      <c r="BR752" s="283"/>
      <c r="BS752" s="276"/>
    </row>
    <row r="753" spans="12:71" ht="12" customHeight="1">
      <c r="L753" s="283"/>
      <c r="M753" s="276"/>
      <c r="N753" s="283"/>
      <c r="O753" s="276"/>
      <c r="P753" s="283"/>
      <c r="Q753" s="276"/>
      <c r="S753" s="283"/>
      <c r="T753" s="276"/>
      <c r="W753" s="283"/>
      <c r="X753" s="276"/>
      <c r="Y753" s="283"/>
      <c r="Z753" s="276"/>
      <c r="AA753" s="283"/>
      <c r="AB753" s="276"/>
      <c r="AC753" s="283"/>
      <c r="AE753" s="283"/>
      <c r="AF753" s="276"/>
      <c r="AI753" s="283"/>
      <c r="AJ753" s="276"/>
      <c r="AK753" s="283"/>
      <c r="AL753" s="276"/>
      <c r="AM753" s="283"/>
      <c r="AN753" s="276"/>
      <c r="AO753" s="283"/>
      <c r="AP753" s="276"/>
      <c r="AQ753" s="283"/>
      <c r="AR753" s="276"/>
      <c r="AT753" s="283"/>
      <c r="AU753" s="276"/>
      <c r="AV753" s="283"/>
      <c r="AW753" s="276"/>
      <c r="AX753" s="283"/>
      <c r="AY753" s="276"/>
      <c r="AZ753" s="283"/>
      <c r="BA753" s="276"/>
      <c r="BB753" s="283"/>
      <c r="BC753" s="276"/>
      <c r="BD753" s="283"/>
      <c r="BE753" s="276"/>
      <c r="BG753" s="283"/>
      <c r="BH753" s="276"/>
      <c r="BI753" s="283"/>
      <c r="BJ753" s="276"/>
      <c r="BK753" s="283"/>
      <c r="BL753" s="276"/>
      <c r="BM753" s="283"/>
      <c r="BN753" s="276"/>
      <c r="BO753" s="283"/>
      <c r="BP753" s="276"/>
      <c r="BQ753" s="283"/>
      <c r="BR753" s="283"/>
      <c r="BS753" s="276"/>
    </row>
    <row r="754" spans="12:71" ht="12" customHeight="1">
      <c r="L754" s="283"/>
      <c r="M754" s="276"/>
      <c r="N754" s="283"/>
      <c r="O754" s="276"/>
      <c r="P754" s="283"/>
      <c r="Q754" s="276"/>
      <c r="S754" s="283"/>
      <c r="T754" s="276"/>
      <c r="W754" s="283"/>
      <c r="X754" s="276"/>
      <c r="Y754" s="283"/>
      <c r="Z754" s="276"/>
      <c r="AA754" s="283"/>
      <c r="AB754" s="276"/>
      <c r="AC754" s="283"/>
      <c r="AE754" s="283"/>
      <c r="AF754" s="276"/>
      <c r="AI754" s="283"/>
      <c r="AJ754" s="276"/>
      <c r="AK754" s="283"/>
      <c r="AL754" s="276"/>
      <c r="AM754" s="283"/>
      <c r="AN754" s="276"/>
      <c r="AO754" s="283"/>
      <c r="AP754" s="276"/>
      <c r="AQ754" s="283"/>
      <c r="AR754" s="276"/>
      <c r="AT754" s="283"/>
      <c r="AU754" s="276"/>
      <c r="AV754" s="283"/>
      <c r="AW754" s="276"/>
      <c r="AX754" s="283"/>
      <c r="AY754" s="276"/>
      <c r="AZ754" s="283"/>
      <c r="BA754" s="276"/>
      <c r="BB754" s="283"/>
      <c r="BC754" s="276"/>
      <c r="BD754" s="283"/>
      <c r="BE754" s="276"/>
      <c r="BG754" s="283"/>
      <c r="BH754" s="276"/>
      <c r="BI754" s="283"/>
      <c r="BJ754" s="276"/>
      <c r="BK754" s="283"/>
      <c r="BL754" s="276"/>
      <c r="BM754" s="283"/>
      <c r="BN754" s="276"/>
      <c r="BO754" s="283"/>
      <c r="BP754" s="276"/>
      <c r="BQ754" s="283"/>
      <c r="BR754" s="283"/>
      <c r="BS754" s="276"/>
    </row>
    <row r="755" spans="12:71" ht="12" customHeight="1">
      <c r="L755" s="283"/>
      <c r="M755" s="276"/>
      <c r="N755" s="283"/>
      <c r="O755" s="276"/>
      <c r="P755" s="283"/>
      <c r="Q755" s="276"/>
      <c r="S755" s="283"/>
      <c r="T755" s="276"/>
      <c r="W755" s="283"/>
      <c r="X755" s="276"/>
      <c r="Y755" s="283"/>
      <c r="Z755" s="276"/>
      <c r="AA755" s="283"/>
      <c r="AB755" s="276"/>
      <c r="AC755" s="283"/>
      <c r="AE755" s="283"/>
      <c r="AF755" s="276"/>
      <c r="AI755" s="283"/>
      <c r="AJ755" s="276"/>
      <c r="AK755" s="283"/>
      <c r="AL755" s="276"/>
      <c r="AM755" s="283"/>
      <c r="AN755" s="276"/>
      <c r="AO755" s="283"/>
      <c r="AP755" s="276"/>
      <c r="AQ755" s="283"/>
      <c r="AR755" s="276"/>
      <c r="AT755" s="283"/>
      <c r="AU755" s="276"/>
      <c r="AV755" s="283"/>
      <c r="AW755" s="276"/>
      <c r="AX755" s="283"/>
      <c r="AY755" s="276"/>
      <c r="AZ755" s="283"/>
      <c r="BA755" s="276"/>
      <c r="BB755" s="283"/>
      <c r="BC755" s="276"/>
      <c r="BD755" s="283"/>
      <c r="BE755" s="276"/>
      <c r="BG755" s="283"/>
      <c r="BH755" s="276"/>
      <c r="BI755" s="283"/>
      <c r="BJ755" s="276"/>
      <c r="BK755" s="283"/>
      <c r="BL755" s="276"/>
      <c r="BM755" s="283"/>
      <c r="BN755" s="276"/>
      <c r="BO755" s="283"/>
      <c r="BP755" s="276"/>
      <c r="BQ755" s="283"/>
      <c r="BR755" s="283"/>
      <c r="BS755" s="276"/>
    </row>
    <row r="756" spans="12:71" ht="12" customHeight="1">
      <c r="L756" s="283"/>
      <c r="M756" s="276"/>
      <c r="N756" s="283"/>
      <c r="O756" s="276"/>
      <c r="P756" s="283"/>
      <c r="Q756" s="276"/>
      <c r="S756" s="283"/>
      <c r="T756" s="276"/>
      <c r="W756" s="283"/>
      <c r="X756" s="276"/>
      <c r="Y756" s="283"/>
      <c r="Z756" s="276"/>
      <c r="AA756" s="283"/>
      <c r="AB756" s="276"/>
      <c r="AC756" s="283"/>
      <c r="AE756" s="283"/>
      <c r="AF756" s="276"/>
      <c r="AI756" s="283"/>
      <c r="AJ756" s="276"/>
      <c r="AK756" s="283"/>
      <c r="AL756" s="276"/>
      <c r="AM756" s="283"/>
      <c r="AN756" s="276"/>
      <c r="AO756" s="283"/>
      <c r="AP756" s="276"/>
      <c r="AQ756" s="283"/>
      <c r="AR756" s="276"/>
      <c r="AT756" s="283"/>
      <c r="AU756" s="276"/>
      <c r="AV756" s="283"/>
      <c r="AW756" s="276"/>
      <c r="AX756" s="283"/>
      <c r="AY756" s="276"/>
      <c r="AZ756" s="283"/>
      <c r="BA756" s="276"/>
      <c r="BB756" s="283"/>
      <c r="BC756" s="276"/>
      <c r="BD756" s="283"/>
      <c r="BE756" s="276"/>
      <c r="BG756" s="283"/>
      <c r="BH756" s="276"/>
      <c r="BI756" s="283"/>
      <c r="BJ756" s="276"/>
      <c r="BK756" s="283"/>
      <c r="BL756" s="276"/>
      <c r="BM756" s="283"/>
      <c r="BN756" s="276"/>
      <c r="BO756" s="283"/>
      <c r="BP756" s="276"/>
      <c r="BQ756" s="283"/>
      <c r="BR756" s="283"/>
      <c r="BS756" s="276"/>
    </row>
    <row r="757" spans="12:71" ht="12" customHeight="1">
      <c r="L757" s="283"/>
      <c r="M757" s="276"/>
      <c r="N757" s="283"/>
      <c r="O757" s="276"/>
      <c r="P757" s="283"/>
      <c r="Q757" s="276"/>
      <c r="S757" s="283"/>
      <c r="T757" s="276"/>
      <c r="W757" s="283"/>
      <c r="X757" s="276"/>
      <c r="Y757" s="283"/>
      <c r="Z757" s="276"/>
      <c r="AA757" s="283"/>
      <c r="AB757" s="276"/>
      <c r="AC757" s="283"/>
      <c r="AE757" s="283"/>
      <c r="AF757" s="276"/>
      <c r="AI757" s="283"/>
      <c r="AJ757" s="276"/>
      <c r="AK757" s="283"/>
      <c r="AL757" s="276"/>
      <c r="AM757" s="283"/>
      <c r="AN757" s="276"/>
      <c r="AO757" s="283"/>
      <c r="AP757" s="276"/>
      <c r="AQ757" s="283"/>
      <c r="AR757" s="276"/>
      <c r="AT757" s="283"/>
      <c r="AU757" s="276"/>
      <c r="AV757" s="283"/>
      <c r="AW757" s="276"/>
      <c r="AX757" s="283"/>
      <c r="AY757" s="276"/>
      <c r="AZ757" s="283"/>
      <c r="BA757" s="276"/>
      <c r="BB757" s="283"/>
      <c r="BC757" s="276"/>
      <c r="BD757" s="283"/>
      <c r="BE757" s="276"/>
      <c r="BG757" s="283"/>
      <c r="BH757" s="276"/>
      <c r="BI757" s="283"/>
      <c r="BJ757" s="276"/>
      <c r="BK757" s="283"/>
      <c r="BL757" s="276"/>
      <c r="BM757" s="283"/>
      <c r="BN757" s="276"/>
      <c r="BO757" s="283"/>
      <c r="BP757" s="276"/>
      <c r="BQ757" s="283"/>
      <c r="BR757" s="283"/>
      <c r="BS757" s="276"/>
    </row>
    <row r="758" spans="12:71" ht="12" customHeight="1">
      <c r="L758" s="283"/>
      <c r="M758" s="276"/>
      <c r="N758" s="283"/>
      <c r="O758" s="276"/>
      <c r="P758" s="283"/>
      <c r="Q758" s="276"/>
      <c r="S758" s="283"/>
      <c r="T758" s="276"/>
      <c r="W758" s="283"/>
      <c r="X758" s="276"/>
      <c r="Y758" s="283"/>
      <c r="Z758" s="276"/>
      <c r="AA758" s="283"/>
      <c r="AB758" s="276"/>
      <c r="AC758" s="283"/>
      <c r="AE758" s="283"/>
      <c r="AF758" s="276"/>
      <c r="AI758" s="283"/>
      <c r="AJ758" s="276"/>
      <c r="AK758" s="283"/>
      <c r="AL758" s="276"/>
      <c r="AM758" s="283"/>
      <c r="AN758" s="276"/>
      <c r="AO758" s="283"/>
      <c r="AP758" s="276"/>
      <c r="AQ758" s="283"/>
      <c r="AR758" s="276"/>
      <c r="AT758" s="283"/>
      <c r="AU758" s="276"/>
      <c r="AV758" s="283"/>
      <c r="AW758" s="276"/>
      <c r="AX758" s="283"/>
      <c r="AY758" s="276"/>
      <c r="AZ758" s="283"/>
      <c r="BA758" s="276"/>
      <c r="BB758" s="283"/>
      <c r="BC758" s="276"/>
      <c r="BD758" s="283"/>
      <c r="BE758" s="276"/>
      <c r="BG758" s="283"/>
      <c r="BH758" s="276"/>
      <c r="BI758" s="283"/>
      <c r="BJ758" s="276"/>
      <c r="BK758" s="283"/>
      <c r="BL758" s="276"/>
      <c r="BM758" s="283"/>
      <c r="BN758" s="276"/>
      <c r="BO758" s="283"/>
      <c r="BP758" s="276"/>
      <c r="BQ758" s="283"/>
      <c r="BR758" s="283"/>
      <c r="BS758" s="276"/>
    </row>
    <row r="759" spans="12:71" ht="12" customHeight="1">
      <c r="L759" s="283"/>
      <c r="M759" s="276"/>
      <c r="N759" s="283"/>
      <c r="O759" s="276"/>
      <c r="P759" s="283"/>
      <c r="Q759" s="276"/>
      <c r="S759" s="283"/>
      <c r="T759" s="276"/>
      <c r="W759" s="283"/>
      <c r="X759" s="276"/>
      <c r="Y759" s="283"/>
      <c r="Z759" s="276"/>
      <c r="AA759" s="283"/>
      <c r="AB759" s="276"/>
      <c r="AC759" s="283"/>
      <c r="AE759" s="283"/>
      <c r="AF759" s="276"/>
      <c r="AI759" s="283"/>
      <c r="AJ759" s="276"/>
      <c r="AK759" s="283"/>
      <c r="AL759" s="276"/>
      <c r="AM759" s="283"/>
      <c r="AN759" s="276"/>
      <c r="AO759" s="283"/>
      <c r="AP759" s="276"/>
      <c r="AQ759" s="283"/>
      <c r="AR759" s="276"/>
      <c r="AT759" s="283"/>
      <c r="AU759" s="276"/>
      <c r="AV759" s="283"/>
      <c r="AW759" s="276"/>
      <c r="AX759" s="283"/>
      <c r="AY759" s="276"/>
      <c r="AZ759" s="283"/>
      <c r="BA759" s="276"/>
      <c r="BB759" s="283"/>
      <c r="BC759" s="276"/>
      <c r="BD759" s="283"/>
      <c r="BE759" s="276"/>
      <c r="BG759" s="283"/>
      <c r="BH759" s="276"/>
      <c r="BI759" s="283"/>
      <c r="BJ759" s="276"/>
      <c r="BK759" s="283"/>
      <c r="BL759" s="276"/>
      <c r="BM759" s="283"/>
      <c r="BN759" s="276"/>
      <c r="BO759" s="283"/>
      <c r="BP759" s="276"/>
      <c r="BQ759" s="283"/>
      <c r="BR759" s="283"/>
      <c r="BS759" s="276"/>
    </row>
    <row r="760" spans="12:71" ht="12" customHeight="1">
      <c r="L760" s="283"/>
      <c r="M760" s="276"/>
      <c r="N760" s="283"/>
      <c r="O760" s="276"/>
      <c r="P760" s="283"/>
      <c r="Q760" s="276"/>
      <c r="S760" s="283"/>
      <c r="T760" s="276"/>
      <c r="W760" s="283"/>
      <c r="X760" s="276"/>
      <c r="Y760" s="283"/>
      <c r="Z760" s="276"/>
      <c r="AA760" s="283"/>
      <c r="AB760" s="276"/>
      <c r="AC760" s="283"/>
      <c r="AE760" s="283"/>
      <c r="AF760" s="276"/>
      <c r="AI760" s="283"/>
      <c r="AJ760" s="276"/>
      <c r="AK760" s="283"/>
      <c r="AL760" s="276"/>
      <c r="AM760" s="283"/>
      <c r="AN760" s="276"/>
      <c r="AO760" s="283"/>
      <c r="AP760" s="276"/>
      <c r="AQ760" s="283"/>
      <c r="AR760" s="276"/>
      <c r="AT760" s="283"/>
      <c r="AU760" s="276"/>
      <c r="AV760" s="283"/>
      <c r="AW760" s="276"/>
      <c r="AX760" s="283"/>
      <c r="AY760" s="276"/>
      <c r="AZ760" s="283"/>
      <c r="BA760" s="276"/>
      <c r="BB760" s="283"/>
      <c r="BC760" s="276"/>
      <c r="BD760" s="283"/>
      <c r="BE760" s="276"/>
      <c r="BG760" s="283"/>
      <c r="BH760" s="276"/>
      <c r="BI760" s="283"/>
      <c r="BJ760" s="276"/>
      <c r="BK760" s="283"/>
      <c r="BL760" s="276"/>
      <c r="BM760" s="283"/>
      <c r="BN760" s="276"/>
      <c r="BO760" s="283"/>
      <c r="BP760" s="276"/>
      <c r="BQ760" s="283"/>
      <c r="BR760" s="283"/>
      <c r="BS760" s="276"/>
    </row>
    <row r="761" spans="12:71" ht="12" customHeight="1">
      <c r="L761" s="283"/>
      <c r="M761" s="276"/>
      <c r="N761" s="283"/>
      <c r="O761" s="276"/>
      <c r="P761" s="283"/>
      <c r="Q761" s="276"/>
      <c r="S761" s="283"/>
      <c r="T761" s="276"/>
      <c r="W761" s="283"/>
      <c r="X761" s="276"/>
      <c r="Y761" s="283"/>
      <c r="Z761" s="276"/>
      <c r="AA761" s="283"/>
      <c r="AB761" s="276"/>
      <c r="AC761" s="283"/>
      <c r="AE761" s="283"/>
      <c r="AF761" s="276"/>
      <c r="AI761" s="283"/>
      <c r="AJ761" s="276"/>
      <c r="AK761" s="283"/>
      <c r="AL761" s="276"/>
      <c r="AM761" s="283"/>
      <c r="AN761" s="276"/>
      <c r="AO761" s="283"/>
      <c r="AP761" s="276"/>
      <c r="AQ761" s="283"/>
      <c r="AR761" s="276"/>
      <c r="AT761" s="283"/>
      <c r="AU761" s="276"/>
      <c r="AV761" s="283"/>
      <c r="AW761" s="276"/>
      <c r="AX761" s="283"/>
      <c r="AY761" s="276"/>
      <c r="AZ761" s="283"/>
      <c r="BA761" s="276"/>
      <c r="BB761" s="283"/>
      <c r="BC761" s="276"/>
      <c r="BD761" s="283"/>
      <c r="BE761" s="276"/>
      <c r="BG761" s="283"/>
      <c r="BH761" s="276"/>
      <c r="BI761" s="283"/>
      <c r="BJ761" s="276"/>
      <c r="BK761" s="283"/>
      <c r="BL761" s="276"/>
      <c r="BM761" s="283"/>
      <c r="BN761" s="276"/>
      <c r="BO761" s="283"/>
      <c r="BP761" s="276"/>
      <c r="BQ761" s="283"/>
      <c r="BR761" s="283"/>
      <c r="BS761" s="276"/>
    </row>
    <row r="762" spans="12:71" ht="12" customHeight="1">
      <c r="L762" s="283"/>
      <c r="M762" s="276"/>
      <c r="N762" s="283"/>
      <c r="O762" s="276"/>
      <c r="P762" s="283"/>
      <c r="Q762" s="276"/>
      <c r="S762" s="283"/>
      <c r="T762" s="276"/>
      <c r="W762" s="283"/>
      <c r="X762" s="276"/>
      <c r="Y762" s="283"/>
      <c r="Z762" s="276"/>
      <c r="AA762" s="283"/>
      <c r="AB762" s="276"/>
      <c r="AC762" s="283"/>
      <c r="AE762" s="283"/>
      <c r="AF762" s="276"/>
      <c r="AI762" s="283"/>
      <c r="AJ762" s="276"/>
      <c r="AK762" s="283"/>
      <c r="AL762" s="276"/>
      <c r="AM762" s="283"/>
      <c r="AN762" s="276"/>
      <c r="AO762" s="283"/>
      <c r="AP762" s="276"/>
      <c r="AQ762" s="283"/>
      <c r="AR762" s="276"/>
      <c r="AT762" s="283"/>
      <c r="AU762" s="276"/>
      <c r="AV762" s="283"/>
      <c r="AW762" s="276"/>
      <c r="AX762" s="283"/>
      <c r="AY762" s="276"/>
      <c r="AZ762" s="283"/>
      <c r="BA762" s="276"/>
      <c r="BB762" s="283"/>
      <c r="BC762" s="276"/>
      <c r="BD762" s="283"/>
      <c r="BE762" s="276"/>
      <c r="BG762" s="283"/>
      <c r="BH762" s="276"/>
      <c r="BI762" s="283"/>
      <c r="BJ762" s="276"/>
      <c r="BK762" s="283"/>
      <c r="BL762" s="276"/>
      <c r="BM762" s="283"/>
      <c r="BN762" s="276"/>
      <c r="BO762" s="283"/>
      <c r="BP762" s="276"/>
      <c r="BQ762" s="283"/>
      <c r="BR762" s="283"/>
      <c r="BS762" s="276"/>
    </row>
    <row r="763" spans="12:71" ht="12" customHeight="1">
      <c r="L763" s="283"/>
      <c r="M763" s="276"/>
      <c r="N763" s="283"/>
      <c r="O763" s="276"/>
      <c r="P763" s="283"/>
      <c r="Q763" s="276"/>
      <c r="S763" s="283"/>
      <c r="T763" s="276"/>
      <c r="W763" s="283"/>
      <c r="X763" s="276"/>
      <c r="Y763" s="283"/>
      <c r="Z763" s="276"/>
      <c r="AA763" s="283"/>
      <c r="AB763" s="276"/>
      <c r="AC763" s="283"/>
      <c r="AE763" s="283"/>
      <c r="AF763" s="276"/>
      <c r="AI763" s="283"/>
      <c r="AJ763" s="276"/>
      <c r="AK763" s="283"/>
      <c r="AL763" s="276"/>
      <c r="AM763" s="283"/>
      <c r="AN763" s="276"/>
      <c r="AO763" s="283"/>
      <c r="AP763" s="276"/>
      <c r="AQ763" s="283"/>
      <c r="AR763" s="276"/>
      <c r="AT763" s="283"/>
      <c r="AU763" s="276"/>
      <c r="AV763" s="283"/>
      <c r="AW763" s="276"/>
      <c r="AX763" s="283"/>
      <c r="AY763" s="276"/>
      <c r="AZ763" s="283"/>
      <c r="BA763" s="276"/>
      <c r="BB763" s="283"/>
      <c r="BC763" s="276"/>
      <c r="BD763" s="283"/>
      <c r="BE763" s="276"/>
      <c r="BG763" s="283"/>
      <c r="BH763" s="276"/>
      <c r="BI763" s="283"/>
      <c r="BJ763" s="276"/>
      <c r="BK763" s="283"/>
      <c r="BL763" s="276"/>
      <c r="BM763" s="283"/>
      <c r="BN763" s="276"/>
      <c r="BO763" s="283"/>
      <c r="BP763" s="276"/>
      <c r="BQ763" s="283"/>
      <c r="BR763" s="283"/>
      <c r="BS763" s="276"/>
    </row>
    <row r="764" spans="12:71" ht="12" customHeight="1">
      <c r="L764" s="283"/>
      <c r="M764" s="276"/>
      <c r="N764" s="283"/>
      <c r="O764" s="276"/>
      <c r="P764" s="283"/>
      <c r="Q764" s="276"/>
      <c r="S764" s="283"/>
      <c r="T764" s="276"/>
      <c r="W764" s="283"/>
      <c r="X764" s="276"/>
      <c r="Y764" s="283"/>
      <c r="Z764" s="276"/>
      <c r="AA764" s="283"/>
      <c r="AB764" s="276"/>
      <c r="AC764" s="283"/>
      <c r="AE764" s="283"/>
      <c r="AF764" s="276"/>
      <c r="AI764" s="283"/>
      <c r="AJ764" s="276"/>
      <c r="AK764" s="283"/>
      <c r="AL764" s="276"/>
      <c r="AM764" s="283"/>
      <c r="AN764" s="276"/>
      <c r="AO764" s="283"/>
      <c r="AP764" s="276"/>
      <c r="AQ764" s="283"/>
      <c r="AR764" s="276"/>
      <c r="AT764" s="283"/>
      <c r="AU764" s="276"/>
      <c r="AV764" s="283"/>
      <c r="AW764" s="276"/>
      <c r="AX764" s="283"/>
      <c r="AY764" s="276"/>
      <c r="AZ764" s="283"/>
      <c r="BA764" s="276"/>
      <c r="BB764" s="283"/>
      <c r="BC764" s="276"/>
      <c r="BD764" s="283"/>
      <c r="BE764" s="276"/>
      <c r="BG764" s="283"/>
      <c r="BH764" s="276"/>
      <c r="BI764" s="283"/>
      <c r="BJ764" s="276"/>
      <c r="BK764" s="283"/>
      <c r="BL764" s="276"/>
      <c r="BM764" s="283"/>
      <c r="BN764" s="276"/>
      <c r="BO764" s="283"/>
      <c r="BP764" s="276"/>
      <c r="BQ764" s="283"/>
      <c r="BR764" s="283"/>
      <c r="BS764" s="276"/>
    </row>
    <row r="765" spans="12:71" ht="12" customHeight="1">
      <c r="L765" s="283"/>
      <c r="M765" s="276"/>
      <c r="N765" s="283"/>
      <c r="O765" s="276"/>
      <c r="P765" s="283"/>
      <c r="Q765" s="276"/>
      <c r="S765" s="283"/>
      <c r="T765" s="276"/>
      <c r="W765" s="283"/>
      <c r="X765" s="276"/>
      <c r="Y765" s="283"/>
      <c r="Z765" s="276"/>
      <c r="AA765" s="283"/>
      <c r="AB765" s="276"/>
      <c r="AC765" s="283"/>
      <c r="AE765" s="283"/>
      <c r="AF765" s="276"/>
      <c r="AI765" s="283"/>
      <c r="AJ765" s="276"/>
      <c r="AK765" s="283"/>
      <c r="AL765" s="276"/>
      <c r="AM765" s="283"/>
      <c r="AN765" s="276"/>
      <c r="AO765" s="283"/>
      <c r="AP765" s="276"/>
      <c r="AQ765" s="283"/>
      <c r="AR765" s="276"/>
      <c r="AT765" s="283"/>
      <c r="AU765" s="276"/>
      <c r="AV765" s="283"/>
      <c r="AW765" s="276"/>
      <c r="AX765" s="283"/>
      <c r="AY765" s="276"/>
      <c r="AZ765" s="283"/>
      <c r="BA765" s="276"/>
      <c r="BB765" s="283"/>
      <c r="BC765" s="276"/>
      <c r="BD765" s="283"/>
      <c r="BE765" s="276"/>
      <c r="BG765" s="283"/>
      <c r="BH765" s="276"/>
      <c r="BI765" s="283"/>
      <c r="BJ765" s="276"/>
      <c r="BK765" s="283"/>
      <c r="BL765" s="276"/>
      <c r="BM765" s="283"/>
      <c r="BN765" s="276"/>
      <c r="BO765" s="283"/>
      <c r="BP765" s="276"/>
      <c r="BQ765" s="283"/>
      <c r="BR765" s="283"/>
      <c r="BS765" s="276"/>
    </row>
    <row r="766" spans="12:71" ht="12" customHeight="1">
      <c r="L766" s="283"/>
      <c r="M766" s="276"/>
      <c r="N766" s="283"/>
      <c r="O766" s="276"/>
      <c r="P766" s="283"/>
      <c r="Q766" s="276"/>
      <c r="S766" s="283"/>
      <c r="T766" s="276"/>
      <c r="W766" s="283"/>
      <c r="X766" s="276"/>
      <c r="Y766" s="283"/>
      <c r="Z766" s="276"/>
      <c r="AA766" s="283"/>
      <c r="AB766" s="276"/>
      <c r="AC766" s="283"/>
      <c r="AE766" s="283"/>
      <c r="AF766" s="276"/>
      <c r="AI766" s="283"/>
      <c r="AJ766" s="276"/>
      <c r="AK766" s="283"/>
      <c r="AL766" s="276"/>
      <c r="AM766" s="283"/>
      <c r="AN766" s="276"/>
      <c r="AO766" s="283"/>
      <c r="AP766" s="276"/>
      <c r="AQ766" s="283"/>
      <c r="AR766" s="276"/>
      <c r="AT766" s="283"/>
      <c r="AU766" s="276"/>
      <c r="AV766" s="283"/>
      <c r="AW766" s="276"/>
      <c r="AX766" s="283"/>
      <c r="AY766" s="276"/>
      <c r="AZ766" s="283"/>
      <c r="BA766" s="276"/>
      <c r="BB766" s="283"/>
      <c r="BC766" s="276"/>
      <c r="BD766" s="283"/>
      <c r="BE766" s="276"/>
      <c r="BG766" s="283"/>
      <c r="BH766" s="276"/>
      <c r="BI766" s="283"/>
      <c r="BJ766" s="276"/>
      <c r="BK766" s="283"/>
      <c r="BL766" s="276"/>
      <c r="BM766" s="283"/>
      <c r="BN766" s="276"/>
      <c r="BO766" s="283"/>
      <c r="BP766" s="276"/>
      <c r="BQ766" s="283"/>
      <c r="BR766" s="283"/>
      <c r="BS766" s="276"/>
    </row>
    <row r="767" spans="12:71" ht="12" customHeight="1">
      <c r="L767" s="283"/>
      <c r="M767" s="276"/>
      <c r="N767" s="283"/>
      <c r="O767" s="276"/>
      <c r="P767" s="283"/>
      <c r="Q767" s="276"/>
      <c r="S767" s="283"/>
      <c r="T767" s="276"/>
      <c r="W767" s="283"/>
      <c r="X767" s="276"/>
      <c r="Y767" s="283"/>
      <c r="Z767" s="276"/>
      <c r="AA767" s="283"/>
      <c r="AB767" s="276"/>
      <c r="AC767" s="283"/>
      <c r="AE767" s="283"/>
      <c r="AF767" s="276"/>
      <c r="AI767" s="283"/>
      <c r="AJ767" s="276"/>
      <c r="AK767" s="283"/>
      <c r="AL767" s="276"/>
      <c r="AM767" s="283"/>
      <c r="AN767" s="276"/>
      <c r="AO767" s="283"/>
      <c r="AP767" s="276"/>
      <c r="AQ767" s="283"/>
      <c r="AR767" s="276"/>
      <c r="AT767" s="283"/>
      <c r="AU767" s="276"/>
      <c r="AV767" s="283"/>
      <c r="AW767" s="276"/>
      <c r="AX767" s="283"/>
      <c r="AY767" s="276"/>
      <c r="AZ767" s="283"/>
      <c r="BA767" s="276"/>
      <c r="BB767" s="283"/>
      <c r="BC767" s="276"/>
      <c r="BD767" s="283"/>
      <c r="BE767" s="276"/>
      <c r="BG767" s="283"/>
      <c r="BH767" s="276"/>
      <c r="BI767" s="283"/>
      <c r="BJ767" s="276"/>
      <c r="BK767" s="283"/>
      <c r="BL767" s="276"/>
      <c r="BM767" s="283"/>
      <c r="BN767" s="276"/>
      <c r="BO767" s="283"/>
      <c r="BP767" s="276"/>
      <c r="BQ767" s="283"/>
      <c r="BR767" s="283"/>
      <c r="BS767" s="276"/>
    </row>
    <row r="768" spans="12:71" ht="12" customHeight="1">
      <c r="L768" s="283"/>
      <c r="M768" s="276"/>
      <c r="N768" s="283"/>
      <c r="O768" s="276"/>
      <c r="P768" s="283"/>
      <c r="Q768" s="276"/>
      <c r="S768" s="283"/>
      <c r="T768" s="276"/>
      <c r="W768" s="283"/>
      <c r="X768" s="276"/>
      <c r="Y768" s="283"/>
      <c r="Z768" s="276"/>
      <c r="AA768" s="283"/>
      <c r="AB768" s="276"/>
      <c r="AC768" s="283"/>
      <c r="AE768" s="283"/>
      <c r="AF768" s="276"/>
      <c r="AI768" s="283"/>
      <c r="AJ768" s="276"/>
      <c r="AK768" s="283"/>
      <c r="AL768" s="276"/>
      <c r="AM768" s="283"/>
      <c r="AN768" s="276"/>
      <c r="AO768" s="283"/>
      <c r="AP768" s="276"/>
      <c r="AQ768" s="283"/>
      <c r="AR768" s="276"/>
      <c r="AT768" s="283"/>
      <c r="AU768" s="276"/>
      <c r="AV768" s="283"/>
      <c r="AW768" s="276"/>
      <c r="AX768" s="283"/>
      <c r="AY768" s="276"/>
      <c r="AZ768" s="283"/>
      <c r="BA768" s="276"/>
      <c r="BB768" s="283"/>
      <c r="BC768" s="276"/>
      <c r="BD768" s="283"/>
      <c r="BE768" s="276"/>
      <c r="BG768" s="283"/>
      <c r="BH768" s="276"/>
      <c r="BI768" s="283"/>
      <c r="BJ768" s="276"/>
      <c r="BK768" s="283"/>
      <c r="BL768" s="276"/>
      <c r="BM768" s="283"/>
      <c r="BN768" s="276"/>
      <c r="BO768" s="283"/>
      <c r="BP768" s="276"/>
      <c r="BQ768" s="283"/>
      <c r="BR768" s="283"/>
      <c r="BS768" s="276"/>
    </row>
    <row r="769" spans="12:71" ht="12" customHeight="1">
      <c r="L769" s="283"/>
      <c r="M769" s="276"/>
      <c r="N769" s="283"/>
      <c r="O769" s="276"/>
      <c r="P769" s="283"/>
      <c r="Q769" s="276"/>
      <c r="S769" s="283"/>
      <c r="T769" s="276"/>
      <c r="W769" s="283"/>
      <c r="X769" s="276"/>
      <c r="Y769" s="283"/>
      <c r="Z769" s="276"/>
      <c r="AA769" s="283"/>
      <c r="AB769" s="276"/>
      <c r="AC769" s="283"/>
      <c r="AE769" s="283"/>
      <c r="AF769" s="276"/>
      <c r="AI769" s="283"/>
      <c r="AJ769" s="276"/>
      <c r="AK769" s="283"/>
      <c r="AL769" s="276"/>
      <c r="AM769" s="283"/>
      <c r="AN769" s="276"/>
      <c r="AO769" s="283"/>
      <c r="AP769" s="276"/>
      <c r="AQ769" s="283"/>
      <c r="AR769" s="276"/>
      <c r="AT769" s="283"/>
      <c r="AU769" s="276"/>
      <c r="AV769" s="283"/>
      <c r="AW769" s="276"/>
      <c r="AX769" s="283"/>
      <c r="AY769" s="276"/>
      <c r="AZ769" s="283"/>
      <c r="BA769" s="276"/>
      <c r="BB769" s="283"/>
      <c r="BC769" s="276"/>
      <c r="BD769" s="283"/>
      <c r="BE769" s="276"/>
      <c r="BG769" s="283"/>
      <c r="BH769" s="276"/>
      <c r="BI769" s="283"/>
      <c r="BJ769" s="276"/>
      <c r="BK769" s="283"/>
      <c r="BL769" s="276"/>
      <c r="BM769" s="283"/>
      <c r="BN769" s="276"/>
      <c r="BO769" s="283"/>
      <c r="BP769" s="276"/>
      <c r="BQ769" s="283"/>
      <c r="BR769" s="283"/>
      <c r="BS769" s="276"/>
    </row>
    <row r="770" spans="12:71" ht="12" customHeight="1">
      <c r="L770" s="283"/>
      <c r="M770" s="276"/>
      <c r="N770" s="283"/>
      <c r="O770" s="276"/>
      <c r="P770" s="283"/>
      <c r="Q770" s="276"/>
      <c r="S770" s="283"/>
      <c r="T770" s="276"/>
      <c r="W770" s="283"/>
      <c r="X770" s="276"/>
      <c r="Y770" s="283"/>
      <c r="Z770" s="276"/>
      <c r="AA770" s="283"/>
      <c r="AB770" s="276"/>
      <c r="AC770" s="283"/>
      <c r="AE770" s="283"/>
      <c r="AF770" s="276"/>
      <c r="AI770" s="283"/>
      <c r="AJ770" s="276"/>
      <c r="AK770" s="283"/>
      <c r="AL770" s="276"/>
      <c r="AM770" s="283"/>
      <c r="AN770" s="276"/>
      <c r="AO770" s="283"/>
      <c r="AP770" s="276"/>
      <c r="AQ770" s="283"/>
      <c r="AR770" s="276"/>
      <c r="AT770" s="283"/>
      <c r="AU770" s="276"/>
      <c r="AV770" s="283"/>
      <c r="AW770" s="276"/>
      <c r="AX770" s="283"/>
      <c r="AY770" s="276"/>
      <c r="AZ770" s="283"/>
      <c r="BA770" s="276"/>
      <c r="BB770" s="283"/>
      <c r="BC770" s="276"/>
      <c r="BD770" s="283"/>
      <c r="BE770" s="276"/>
      <c r="BG770" s="283"/>
      <c r="BH770" s="276"/>
      <c r="BI770" s="283"/>
      <c r="BJ770" s="276"/>
      <c r="BK770" s="283"/>
      <c r="BL770" s="276"/>
      <c r="BM770" s="283"/>
      <c r="BN770" s="276"/>
      <c r="BO770" s="283"/>
      <c r="BP770" s="276"/>
      <c r="BQ770" s="283"/>
      <c r="BR770" s="283"/>
      <c r="BS770" s="276"/>
    </row>
    <row r="771" spans="12:71" ht="12" customHeight="1">
      <c r="L771" s="283"/>
      <c r="M771" s="276"/>
      <c r="N771" s="283"/>
      <c r="O771" s="276"/>
      <c r="P771" s="283"/>
      <c r="Q771" s="276"/>
      <c r="S771" s="283"/>
      <c r="T771" s="276"/>
      <c r="W771" s="283"/>
      <c r="X771" s="276"/>
      <c r="Y771" s="283"/>
      <c r="Z771" s="276"/>
      <c r="AA771" s="283"/>
      <c r="AB771" s="276"/>
      <c r="AC771" s="283"/>
      <c r="AE771" s="283"/>
      <c r="AF771" s="276"/>
      <c r="AI771" s="283"/>
      <c r="AJ771" s="276"/>
      <c r="AK771" s="283"/>
      <c r="AL771" s="276"/>
      <c r="AM771" s="283"/>
      <c r="AN771" s="276"/>
      <c r="AO771" s="283"/>
      <c r="AP771" s="276"/>
      <c r="AQ771" s="283"/>
      <c r="AR771" s="276"/>
      <c r="AT771" s="283"/>
      <c r="AU771" s="276"/>
      <c r="AV771" s="283"/>
      <c r="AW771" s="276"/>
      <c r="AX771" s="283"/>
      <c r="AY771" s="276"/>
      <c r="AZ771" s="283"/>
      <c r="BA771" s="276"/>
      <c r="BB771" s="283"/>
      <c r="BC771" s="276"/>
      <c r="BD771" s="283"/>
      <c r="BE771" s="276"/>
      <c r="BG771" s="283"/>
      <c r="BH771" s="276"/>
      <c r="BI771" s="283"/>
      <c r="BJ771" s="276"/>
      <c r="BK771" s="283"/>
      <c r="BL771" s="276"/>
      <c r="BM771" s="283"/>
      <c r="BN771" s="276"/>
      <c r="BO771" s="283"/>
      <c r="BP771" s="276"/>
      <c r="BQ771" s="283"/>
      <c r="BR771" s="283"/>
      <c r="BS771" s="276"/>
    </row>
    <row r="772" spans="12:71" ht="12" customHeight="1">
      <c r="L772" s="283"/>
      <c r="M772" s="276"/>
      <c r="N772" s="283"/>
      <c r="O772" s="276"/>
      <c r="P772" s="283"/>
      <c r="Q772" s="276"/>
      <c r="S772" s="283"/>
      <c r="T772" s="276"/>
      <c r="W772" s="283"/>
      <c r="X772" s="276"/>
      <c r="Y772" s="283"/>
      <c r="Z772" s="276"/>
      <c r="AA772" s="283"/>
      <c r="AB772" s="276"/>
      <c r="AC772" s="283"/>
      <c r="AE772" s="283"/>
      <c r="AF772" s="276"/>
      <c r="AI772" s="283"/>
      <c r="AJ772" s="276"/>
      <c r="AK772" s="283"/>
      <c r="AL772" s="276"/>
      <c r="AM772" s="283"/>
      <c r="AN772" s="276"/>
      <c r="AO772" s="283"/>
      <c r="AP772" s="276"/>
      <c r="AQ772" s="283"/>
      <c r="AR772" s="276"/>
      <c r="AT772" s="283"/>
      <c r="AU772" s="276"/>
      <c r="AV772" s="283"/>
      <c r="AW772" s="276"/>
      <c r="AX772" s="283"/>
      <c r="AY772" s="276"/>
      <c r="AZ772" s="283"/>
      <c r="BA772" s="276"/>
      <c r="BB772" s="283"/>
      <c r="BC772" s="276"/>
      <c r="BD772" s="283"/>
      <c r="BE772" s="276"/>
      <c r="BG772" s="283"/>
      <c r="BH772" s="276"/>
      <c r="BI772" s="283"/>
      <c r="BJ772" s="276"/>
      <c r="BK772" s="283"/>
      <c r="BL772" s="276"/>
      <c r="BM772" s="283"/>
      <c r="BN772" s="276"/>
      <c r="BO772" s="283"/>
      <c r="BP772" s="276"/>
      <c r="BQ772" s="283"/>
      <c r="BR772" s="283"/>
      <c r="BS772" s="276"/>
    </row>
    <row r="773" spans="12:71" ht="12" customHeight="1">
      <c r="L773" s="283"/>
      <c r="M773" s="276"/>
      <c r="N773" s="283"/>
      <c r="O773" s="276"/>
      <c r="P773" s="283"/>
      <c r="Q773" s="276"/>
      <c r="S773" s="283"/>
      <c r="T773" s="276"/>
      <c r="W773" s="283"/>
      <c r="X773" s="276"/>
      <c r="Y773" s="283"/>
      <c r="Z773" s="276"/>
      <c r="AA773" s="283"/>
      <c r="AB773" s="276"/>
      <c r="AC773" s="283"/>
      <c r="AE773" s="283"/>
      <c r="AF773" s="276"/>
      <c r="AI773" s="283"/>
      <c r="AJ773" s="276"/>
      <c r="AK773" s="283"/>
      <c r="AL773" s="276"/>
      <c r="AM773" s="283"/>
      <c r="AN773" s="276"/>
      <c r="AO773" s="283"/>
      <c r="AP773" s="276"/>
      <c r="AQ773" s="283"/>
      <c r="AR773" s="276"/>
      <c r="AT773" s="283"/>
      <c r="AU773" s="276"/>
      <c r="AV773" s="283"/>
      <c r="AW773" s="276"/>
      <c r="AX773" s="283"/>
      <c r="AY773" s="276"/>
      <c r="AZ773" s="283"/>
      <c r="BA773" s="276"/>
      <c r="BB773" s="283"/>
      <c r="BC773" s="276"/>
      <c r="BD773" s="283"/>
      <c r="BE773" s="276"/>
      <c r="BG773" s="283"/>
      <c r="BH773" s="276"/>
      <c r="BI773" s="283"/>
      <c r="BJ773" s="276"/>
      <c r="BK773" s="283"/>
      <c r="BL773" s="276"/>
      <c r="BM773" s="283"/>
      <c r="BN773" s="276"/>
      <c r="BO773" s="283"/>
      <c r="BP773" s="276"/>
      <c r="BQ773" s="283"/>
      <c r="BR773" s="283"/>
      <c r="BS773" s="276"/>
    </row>
    <row r="774" spans="12:71" ht="12" customHeight="1">
      <c r="L774" s="283"/>
      <c r="M774" s="276"/>
      <c r="N774" s="283"/>
      <c r="O774" s="276"/>
      <c r="P774" s="283"/>
      <c r="Q774" s="276"/>
      <c r="S774" s="283"/>
      <c r="T774" s="276"/>
      <c r="W774" s="283"/>
      <c r="X774" s="276"/>
      <c r="Y774" s="283"/>
      <c r="Z774" s="276"/>
      <c r="AA774" s="283"/>
      <c r="AB774" s="276"/>
      <c r="AC774" s="283"/>
      <c r="AE774" s="283"/>
      <c r="AF774" s="276"/>
      <c r="AI774" s="283"/>
      <c r="AJ774" s="276"/>
      <c r="AK774" s="283"/>
      <c r="AL774" s="276"/>
      <c r="AM774" s="283"/>
      <c r="AN774" s="276"/>
      <c r="AO774" s="283"/>
      <c r="AP774" s="276"/>
      <c r="AQ774" s="283"/>
      <c r="AR774" s="276"/>
      <c r="AT774" s="283"/>
      <c r="AU774" s="276"/>
      <c r="AV774" s="283"/>
      <c r="AW774" s="276"/>
      <c r="AX774" s="283"/>
      <c r="AY774" s="276"/>
      <c r="AZ774" s="283"/>
      <c r="BA774" s="276"/>
      <c r="BB774" s="283"/>
      <c r="BC774" s="276"/>
      <c r="BD774" s="283"/>
      <c r="BE774" s="276"/>
      <c r="BG774" s="283"/>
      <c r="BH774" s="276"/>
      <c r="BI774" s="283"/>
      <c r="BJ774" s="276"/>
      <c r="BK774" s="283"/>
      <c r="BL774" s="276"/>
      <c r="BM774" s="283"/>
      <c r="BN774" s="276"/>
      <c r="BO774" s="283"/>
      <c r="BP774" s="276"/>
      <c r="BQ774" s="283"/>
      <c r="BR774" s="283"/>
      <c r="BS774" s="276"/>
    </row>
    <row r="775" spans="12:71" ht="12" customHeight="1">
      <c r="L775" s="283"/>
      <c r="M775" s="276"/>
      <c r="N775" s="283"/>
      <c r="O775" s="276"/>
      <c r="P775" s="283"/>
      <c r="Q775" s="276"/>
      <c r="S775" s="283"/>
      <c r="T775" s="276"/>
      <c r="W775" s="283"/>
      <c r="X775" s="276"/>
      <c r="Y775" s="283"/>
      <c r="Z775" s="276"/>
      <c r="AA775" s="283"/>
      <c r="AB775" s="276"/>
      <c r="AC775" s="283"/>
      <c r="AE775" s="283"/>
      <c r="AF775" s="276"/>
      <c r="AI775" s="283"/>
      <c r="AJ775" s="276"/>
      <c r="AK775" s="283"/>
      <c r="AL775" s="276"/>
      <c r="AM775" s="283"/>
      <c r="AN775" s="276"/>
      <c r="AO775" s="283"/>
      <c r="AP775" s="276"/>
      <c r="AQ775" s="283"/>
      <c r="AR775" s="276"/>
      <c r="AT775" s="283"/>
      <c r="AU775" s="276"/>
      <c r="AV775" s="283"/>
      <c r="AW775" s="276"/>
      <c r="AX775" s="283"/>
      <c r="AY775" s="276"/>
      <c r="AZ775" s="283"/>
      <c r="BA775" s="276"/>
      <c r="BB775" s="283"/>
      <c r="BC775" s="276"/>
      <c r="BD775" s="283"/>
      <c r="BE775" s="276"/>
      <c r="BG775" s="283"/>
      <c r="BH775" s="276"/>
      <c r="BI775" s="283"/>
      <c r="BJ775" s="276"/>
      <c r="BK775" s="283"/>
      <c r="BL775" s="276"/>
      <c r="BM775" s="283"/>
      <c r="BN775" s="276"/>
      <c r="BO775" s="283"/>
      <c r="BP775" s="276"/>
      <c r="BQ775" s="283"/>
      <c r="BR775" s="283"/>
      <c r="BS775" s="276"/>
    </row>
    <row r="776" spans="12:71" ht="12" customHeight="1">
      <c r="L776" s="283"/>
      <c r="M776" s="276"/>
      <c r="N776" s="283"/>
      <c r="O776" s="276"/>
      <c r="P776" s="283"/>
      <c r="Q776" s="276"/>
      <c r="S776" s="283"/>
      <c r="T776" s="276"/>
      <c r="W776" s="283"/>
      <c r="X776" s="276"/>
      <c r="Y776" s="283"/>
      <c r="Z776" s="276"/>
      <c r="AA776" s="283"/>
      <c r="AB776" s="276"/>
      <c r="AC776" s="283"/>
      <c r="AE776" s="283"/>
      <c r="AF776" s="276"/>
      <c r="AI776" s="283"/>
      <c r="AJ776" s="276"/>
      <c r="AK776" s="283"/>
      <c r="AL776" s="276"/>
      <c r="AM776" s="283"/>
      <c r="AN776" s="276"/>
      <c r="AO776" s="283"/>
      <c r="AP776" s="276"/>
      <c r="AQ776" s="283"/>
      <c r="AR776" s="276"/>
      <c r="AT776" s="283"/>
      <c r="AU776" s="276"/>
      <c r="AV776" s="283"/>
      <c r="AW776" s="276"/>
      <c r="AX776" s="283"/>
      <c r="AY776" s="276"/>
      <c r="AZ776" s="283"/>
      <c r="BA776" s="276"/>
      <c r="BB776" s="283"/>
      <c r="BC776" s="276"/>
      <c r="BD776" s="283"/>
      <c r="BE776" s="276"/>
      <c r="BG776" s="283"/>
      <c r="BH776" s="276"/>
      <c r="BI776" s="283"/>
      <c r="BJ776" s="276"/>
      <c r="BK776" s="283"/>
      <c r="BL776" s="276"/>
      <c r="BM776" s="283"/>
      <c r="BN776" s="276"/>
      <c r="BO776" s="283"/>
      <c r="BP776" s="276"/>
      <c r="BQ776" s="283"/>
      <c r="BR776" s="283"/>
      <c r="BS776" s="276"/>
    </row>
    <row r="777" spans="12:71" ht="12" customHeight="1">
      <c r="L777" s="283"/>
      <c r="M777" s="276"/>
      <c r="N777" s="283"/>
      <c r="O777" s="276"/>
      <c r="P777" s="283"/>
      <c r="Q777" s="276"/>
      <c r="S777" s="283"/>
      <c r="T777" s="276"/>
      <c r="W777" s="283"/>
      <c r="X777" s="276"/>
      <c r="Y777" s="283"/>
      <c r="Z777" s="276"/>
      <c r="AA777" s="283"/>
      <c r="AB777" s="276"/>
      <c r="AC777" s="283"/>
      <c r="AE777" s="283"/>
      <c r="AF777" s="276"/>
      <c r="AI777" s="283"/>
      <c r="AJ777" s="276"/>
      <c r="AK777" s="283"/>
      <c r="AL777" s="276"/>
      <c r="AM777" s="283"/>
      <c r="AN777" s="276"/>
      <c r="AO777" s="283"/>
      <c r="AP777" s="276"/>
      <c r="AQ777" s="283"/>
      <c r="AR777" s="276"/>
      <c r="AT777" s="283"/>
      <c r="AU777" s="276"/>
      <c r="AV777" s="283"/>
      <c r="AW777" s="276"/>
      <c r="AX777" s="283"/>
      <c r="AY777" s="276"/>
      <c r="AZ777" s="283"/>
      <c r="BA777" s="276"/>
      <c r="BB777" s="283"/>
      <c r="BC777" s="276"/>
      <c r="BD777" s="283"/>
      <c r="BE777" s="276"/>
      <c r="BG777" s="283"/>
      <c r="BH777" s="276"/>
      <c r="BI777" s="283"/>
      <c r="BJ777" s="276"/>
      <c r="BK777" s="283"/>
      <c r="BL777" s="276"/>
      <c r="BM777" s="283"/>
      <c r="BN777" s="276"/>
      <c r="BO777" s="283"/>
      <c r="BP777" s="276"/>
      <c r="BQ777" s="283"/>
      <c r="BR777" s="283"/>
      <c r="BS777" s="276"/>
    </row>
    <row r="778" spans="12:71" ht="12" customHeight="1">
      <c r="L778" s="283"/>
      <c r="M778" s="276"/>
      <c r="N778" s="283"/>
      <c r="O778" s="276"/>
      <c r="P778" s="283"/>
      <c r="Q778" s="276"/>
      <c r="S778" s="283"/>
      <c r="T778" s="276"/>
      <c r="W778" s="283"/>
      <c r="X778" s="276"/>
      <c r="Y778" s="283"/>
      <c r="Z778" s="276"/>
      <c r="AA778" s="283"/>
      <c r="AB778" s="276"/>
      <c r="AC778" s="283"/>
      <c r="AE778" s="283"/>
      <c r="AF778" s="276"/>
      <c r="AI778" s="283"/>
      <c r="AJ778" s="276"/>
      <c r="AK778" s="283"/>
      <c r="AL778" s="276"/>
      <c r="AM778" s="283"/>
      <c r="AN778" s="276"/>
      <c r="AO778" s="283"/>
      <c r="AP778" s="276"/>
      <c r="AQ778" s="283"/>
      <c r="AR778" s="276"/>
      <c r="AT778" s="283"/>
      <c r="AU778" s="276"/>
      <c r="AV778" s="283"/>
      <c r="AW778" s="276"/>
      <c r="AX778" s="283"/>
      <c r="AY778" s="276"/>
      <c r="AZ778" s="283"/>
      <c r="BA778" s="276"/>
      <c r="BB778" s="283"/>
      <c r="BC778" s="276"/>
      <c r="BD778" s="283"/>
      <c r="BE778" s="276"/>
      <c r="BG778" s="283"/>
      <c r="BH778" s="276"/>
      <c r="BI778" s="283"/>
      <c r="BJ778" s="276"/>
      <c r="BK778" s="283"/>
      <c r="BL778" s="276"/>
      <c r="BM778" s="283"/>
      <c r="BN778" s="276"/>
      <c r="BO778" s="283"/>
      <c r="BP778" s="276"/>
      <c r="BQ778" s="283"/>
      <c r="BR778" s="283"/>
      <c r="BS778" s="276"/>
    </row>
    <row r="779" spans="12:71" ht="12" customHeight="1">
      <c r="L779" s="283"/>
      <c r="M779" s="276"/>
      <c r="N779" s="283"/>
      <c r="O779" s="276"/>
      <c r="P779" s="283"/>
      <c r="Q779" s="276"/>
      <c r="S779" s="283"/>
      <c r="T779" s="276"/>
      <c r="W779" s="283"/>
      <c r="X779" s="276"/>
      <c r="Y779" s="283"/>
      <c r="Z779" s="276"/>
      <c r="AA779" s="283"/>
      <c r="AB779" s="276"/>
      <c r="AC779" s="283"/>
      <c r="AE779" s="283"/>
      <c r="AF779" s="276"/>
      <c r="AI779" s="283"/>
      <c r="AJ779" s="276"/>
      <c r="AK779" s="283"/>
      <c r="AL779" s="276"/>
      <c r="AM779" s="283"/>
      <c r="AN779" s="276"/>
      <c r="AO779" s="283"/>
      <c r="AP779" s="276"/>
      <c r="AQ779" s="283"/>
      <c r="AR779" s="276"/>
      <c r="AT779" s="283"/>
      <c r="AU779" s="276"/>
      <c r="AV779" s="283"/>
      <c r="AW779" s="276"/>
      <c r="AX779" s="283"/>
      <c r="AY779" s="276"/>
      <c r="AZ779" s="283"/>
      <c r="BA779" s="276"/>
      <c r="BB779" s="283"/>
      <c r="BC779" s="276"/>
      <c r="BD779" s="283"/>
      <c r="BE779" s="276"/>
      <c r="BG779" s="283"/>
      <c r="BH779" s="276"/>
      <c r="BI779" s="283"/>
      <c r="BJ779" s="276"/>
      <c r="BK779" s="283"/>
      <c r="BL779" s="276"/>
      <c r="BM779" s="283"/>
      <c r="BN779" s="276"/>
      <c r="BO779" s="283"/>
      <c r="BP779" s="276"/>
      <c r="BQ779" s="283"/>
      <c r="BR779" s="283"/>
      <c r="BS779" s="276"/>
    </row>
    <row r="780" spans="12:71" ht="12" customHeight="1">
      <c r="L780" s="283"/>
      <c r="M780" s="276"/>
      <c r="N780" s="283"/>
      <c r="O780" s="276"/>
      <c r="P780" s="283"/>
      <c r="Q780" s="276"/>
      <c r="S780" s="283"/>
      <c r="T780" s="276"/>
      <c r="W780" s="283"/>
      <c r="X780" s="276"/>
      <c r="Y780" s="283"/>
      <c r="Z780" s="276"/>
      <c r="AA780" s="283"/>
      <c r="AB780" s="276"/>
      <c r="AC780" s="283"/>
      <c r="AE780" s="283"/>
      <c r="AF780" s="276"/>
      <c r="AI780" s="283"/>
      <c r="AJ780" s="276"/>
      <c r="AK780" s="283"/>
      <c r="AL780" s="276"/>
      <c r="AM780" s="283"/>
      <c r="AN780" s="276"/>
      <c r="AO780" s="283"/>
      <c r="AP780" s="276"/>
      <c r="AQ780" s="283"/>
      <c r="AR780" s="276"/>
      <c r="AT780" s="283"/>
      <c r="AU780" s="276"/>
      <c r="AV780" s="283"/>
      <c r="AW780" s="276"/>
      <c r="AX780" s="283"/>
      <c r="AY780" s="276"/>
      <c r="AZ780" s="283"/>
      <c r="BA780" s="276"/>
      <c r="BB780" s="283"/>
      <c r="BC780" s="276"/>
      <c r="BD780" s="283"/>
      <c r="BE780" s="276"/>
      <c r="BG780" s="283"/>
      <c r="BH780" s="276"/>
      <c r="BI780" s="283"/>
      <c r="BJ780" s="276"/>
      <c r="BK780" s="283"/>
      <c r="BL780" s="276"/>
      <c r="BM780" s="283"/>
      <c r="BN780" s="276"/>
      <c r="BO780" s="283"/>
      <c r="BP780" s="276"/>
      <c r="BQ780" s="283"/>
      <c r="BR780" s="283"/>
      <c r="BS780" s="276"/>
    </row>
    <row r="781" spans="12:71" ht="12" customHeight="1">
      <c r="L781" s="283"/>
      <c r="M781" s="276"/>
      <c r="N781" s="283"/>
      <c r="O781" s="276"/>
      <c r="P781" s="283"/>
      <c r="Q781" s="276"/>
      <c r="S781" s="283"/>
      <c r="T781" s="276"/>
      <c r="W781" s="283"/>
      <c r="X781" s="276"/>
      <c r="Y781" s="283"/>
      <c r="Z781" s="276"/>
      <c r="AA781" s="283"/>
      <c r="AB781" s="276"/>
      <c r="AC781" s="283"/>
      <c r="AE781" s="283"/>
      <c r="AF781" s="276"/>
      <c r="AI781" s="283"/>
      <c r="AJ781" s="276"/>
      <c r="AK781" s="283"/>
      <c r="AL781" s="276"/>
      <c r="AM781" s="283"/>
      <c r="AN781" s="276"/>
      <c r="AO781" s="283"/>
      <c r="AP781" s="276"/>
      <c r="AQ781" s="283"/>
      <c r="AR781" s="276"/>
      <c r="AT781" s="283"/>
      <c r="AU781" s="276"/>
      <c r="AV781" s="283"/>
      <c r="AW781" s="276"/>
      <c r="AX781" s="283"/>
      <c r="AY781" s="276"/>
      <c r="AZ781" s="283"/>
      <c r="BA781" s="276"/>
      <c r="BB781" s="283"/>
      <c r="BC781" s="276"/>
      <c r="BD781" s="283"/>
      <c r="BE781" s="276"/>
      <c r="BG781" s="283"/>
      <c r="BH781" s="276"/>
      <c r="BI781" s="283"/>
      <c r="BJ781" s="276"/>
      <c r="BK781" s="283"/>
      <c r="BL781" s="276"/>
      <c r="BM781" s="283"/>
      <c r="BN781" s="276"/>
      <c r="BO781" s="283"/>
      <c r="BP781" s="276"/>
      <c r="BQ781" s="283"/>
      <c r="BR781" s="283"/>
      <c r="BS781" s="276"/>
    </row>
    <row r="782" spans="12:71" ht="12" customHeight="1">
      <c r="L782" s="283"/>
      <c r="M782" s="276"/>
      <c r="N782" s="283"/>
      <c r="O782" s="276"/>
      <c r="P782" s="283"/>
      <c r="Q782" s="276"/>
      <c r="S782" s="283"/>
      <c r="T782" s="276"/>
      <c r="W782" s="283"/>
      <c r="X782" s="276"/>
      <c r="Y782" s="283"/>
      <c r="Z782" s="276"/>
      <c r="AA782" s="283"/>
      <c r="AB782" s="276"/>
      <c r="AC782" s="283"/>
      <c r="AE782" s="283"/>
      <c r="AF782" s="276"/>
      <c r="AI782" s="283"/>
      <c r="AJ782" s="276"/>
      <c r="AK782" s="283"/>
      <c r="AL782" s="276"/>
      <c r="AM782" s="283"/>
      <c r="AN782" s="276"/>
      <c r="AO782" s="283"/>
      <c r="AP782" s="276"/>
      <c r="AQ782" s="283"/>
      <c r="AR782" s="276"/>
      <c r="AT782" s="283"/>
      <c r="AU782" s="276"/>
      <c r="AV782" s="283"/>
      <c r="AW782" s="276"/>
      <c r="AX782" s="283"/>
      <c r="AY782" s="276"/>
      <c r="AZ782" s="283"/>
      <c r="BA782" s="276"/>
      <c r="BB782" s="283"/>
      <c r="BC782" s="276"/>
      <c r="BD782" s="283"/>
      <c r="BE782" s="276"/>
      <c r="BG782" s="283"/>
      <c r="BH782" s="276"/>
      <c r="BI782" s="283"/>
      <c r="BJ782" s="276"/>
      <c r="BK782" s="283"/>
      <c r="BL782" s="276"/>
      <c r="BM782" s="283"/>
      <c r="BN782" s="276"/>
      <c r="BO782" s="283"/>
      <c r="BP782" s="276"/>
      <c r="BQ782" s="283"/>
      <c r="BR782" s="283"/>
      <c r="BS782" s="276"/>
    </row>
    <row r="783" spans="12:71" ht="12" customHeight="1">
      <c r="L783" s="283"/>
      <c r="M783" s="276"/>
      <c r="N783" s="283"/>
      <c r="O783" s="276"/>
      <c r="P783" s="283"/>
      <c r="Q783" s="276"/>
      <c r="S783" s="283"/>
      <c r="T783" s="276"/>
      <c r="W783" s="283"/>
      <c r="X783" s="276"/>
      <c r="Y783" s="283"/>
      <c r="Z783" s="276"/>
      <c r="AA783" s="283"/>
      <c r="AB783" s="276"/>
      <c r="AC783" s="283"/>
      <c r="AE783" s="283"/>
      <c r="AF783" s="276"/>
      <c r="AI783" s="283"/>
      <c r="AJ783" s="276"/>
      <c r="AK783" s="283"/>
      <c r="AL783" s="276"/>
      <c r="AM783" s="283"/>
      <c r="AN783" s="276"/>
      <c r="AO783" s="283"/>
      <c r="AP783" s="276"/>
      <c r="AQ783" s="283"/>
      <c r="AR783" s="276"/>
      <c r="AT783" s="283"/>
      <c r="AU783" s="276"/>
      <c r="AV783" s="283"/>
      <c r="AW783" s="276"/>
      <c r="AX783" s="283"/>
      <c r="AY783" s="276"/>
      <c r="AZ783" s="283"/>
      <c r="BA783" s="276"/>
      <c r="BB783" s="283"/>
      <c r="BC783" s="276"/>
      <c r="BD783" s="283"/>
      <c r="BE783" s="276"/>
      <c r="BG783" s="283"/>
      <c r="BH783" s="276"/>
      <c r="BI783" s="283"/>
      <c r="BJ783" s="276"/>
      <c r="BK783" s="283"/>
      <c r="BL783" s="276"/>
      <c r="BM783" s="283"/>
      <c r="BN783" s="276"/>
      <c r="BO783" s="283"/>
      <c r="BP783" s="276"/>
      <c r="BQ783" s="283"/>
      <c r="BR783" s="283"/>
      <c r="BS783" s="276"/>
    </row>
    <row r="784" spans="12:71" ht="12" customHeight="1">
      <c r="L784" s="283"/>
      <c r="M784" s="276"/>
      <c r="N784" s="283"/>
      <c r="O784" s="276"/>
      <c r="P784" s="283"/>
      <c r="Q784" s="276"/>
      <c r="S784" s="283"/>
      <c r="T784" s="276"/>
      <c r="W784" s="283"/>
      <c r="X784" s="276"/>
      <c r="Y784" s="283"/>
      <c r="Z784" s="276"/>
      <c r="AA784" s="283"/>
      <c r="AB784" s="276"/>
      <c r="AC784" s="283"/>
      <c r="AE784" s="283"/>
      <c r="AF784" s="276"/>
      <c r="AI784" s="283"/>
      <c r="AJ784" s="276"/>
      <c r="AK784" s="283"/>
      <c r="AL784" s="276"/>
      <c r="AM784" s="283"/>
      <c r="AN784" s="276"/>
      <c r="AO784" s="283"/>
      <c r="AP784" s="276"/>
      <c r="AQ784" s="283"/>
      <c r="AR784" s="276"/>
      <c r="AT784" s="283"/>
      <c r="AU784" s="276"/>
      <c r="AV784" s="283"/>
      <c r="AW784" s="276"/>
      <c r="AX784" s="283"/>
      <c r="AY784" s="276"/>
      <c r="AZ784" s="283"/>
      <c r="BA784" s="276"/>
      <c r="BB784" s="283"/>
      <c r="BC784" s="276"/>
      <c r="BD784" s="283"/>
      <c r="BE784" s="276"/>
      <c r="BG784" s="283"/>
      <c r="BH784" s="276"/>
      <c r="BI784" s="283"/>
      <c r="BJ784" s="276"/>
      <c r="BK784" s="283"/>
      <c r="BL784" s="276"/>
      <c r="BM784" s="283"/>
      <c r="BN784" s="276"/>
      <c r="BO784" s="283"/>
      <c r="BP784" s="276"/>
      <c r="BQ784" s="283"/>
      <c r="BR784" s="283"/>
      <c r="BS784" s="276"/>
    </row>
    <row r="785" spans="12:71" ht="12" customHeight="1">
      <c r="L785" s="283"/>
      <c r="M785" s="276"/>
      <c r="N785" s="283"/>
      <c r="O785" s="276"/>
      <c r="P785" s="283"/>
      <c r="Q785" s="276"/>
      <c r="S785" s="283"/>
      <c r="T785" s="276"/>
      <c r="W785" s="283"/>
      <c r="X785" s="276"/>
      <c r="Y785" s="283"/>
      <c r="Z785" s="276"/>
      <c r="AA785" s="283"/>
      <c r="AB785" s="276"/>
      <c r="AC785" s="283"/>
      <c r="AE785" s="283"/>
      <c r="AF785" s="276"/>
      <c r="AI785" s="283"/>
      <c r="AJ785" s="276"/>
      <c r="AK785" s="283"/>
      <c r="AL785" s="276"/>
      <c r="AM785" s="283"/>
      <c r="AN785" s="276"/>
      <c r="AO785" s="283"/>
      <c r="AP785" s="276"/>
      <c r="AQ785" s="283"/>
      <c r="AR785" s="276"/>
      <c r="AT785" s="283"/>
      <c r="AU785" s="276"/>
      <c r="AV785" s="283"/>
      <c r="AW785" s="276"/>
      <c r="AX785" s="283"/>
      <c r="AY785" s="276"/>
      <c r="AZ785" s="283"/>
      <c r="BA785" s="276"/>
      <c r="BB785" s="283"/>
      <c r="BC785" s="276"/>
      <c r="BD785" s="283"/>
      <c r="BE785" s="276"/>
      <c r="BG785" s="283"/>
      <c r="BH785" s="276"/>
      <c r="BI785" s="283"/>
      <c r="BJ785" s="276"/>
      <c r="BK785" s="283"/>
      <c r="BL785" s="276"/>
      <c r="BM785" s="283"/>
      <c r="BN785" s="276"/>
      <c r="BO785" s="283"/>
      <c r="BP785" s="276"/>
      <c r="BQ785" s="283"/>
      <c r="BR785" s="283"/>
      <c r="BS785" s="276"/>
    </row>
    <row r="786" spans="12:71" ht="12" customHeight="1">
      <c r="L786" s="283"/>
      <c r="M786" s="276"/>
      <c r="N786" s="283"/>
      <c r="O786" s="276"/>
      <c r="P786" s="283"/>
      <c r="Q786" s="276"/>
      <c r="S786" s="283"/>
      <c r="T786" s="276"/>
      <c r="W786" s="283"/>
      <c r="X786" s="276"/>
      <c r="Y786" s="283"/>
      <c r="Z786" s="276"/>
      <c r="AA786" s="283"/>
      <c r="AB786" s="276"/>
      <c r="AC786" s="283"/>
      <c r="AE786" s="283"/>
      <c r="AF786" s="276"/>
      <c r="AI786" s="283"/>
      <c r="AJ786" s="276"/>
      <c r="AK786" s="283"/>
      <c r="AL786" s="276"/>
      <c r="AM786" s="283"/>
      <c r="AN786" s="276"/>
      <c r="AO786" s="283"/>
      <c r="AP786" s="276"/>
      <c r="AQ786" s="283"/>
      <c r="AR786" s="276"/>
      <c r="AT786" s="283"/>
      <c r="AU786" s="276"/>
      <c r="AV786" s="283"/>
      <c r="AW786" s="276"/>
      <c r="AX786" s="283"/>
      <c r="AY786" s="276"/>
      <c r="AZ786" s="283"/>
      <c r="BA786" s="276"/>
      <c r="BB786" s="283"/>
      <c r="BC786" s="276"/>
      <c r="BD786" s="283"/>
      <c r="BE786" s="276"/>
      <c r="BG786" s="283"/>
      <c r="BH786" s="276"/>
      <c r="BI786" s="283"/>
      <c r="BJ786" s="276"/>
      <c r="BK786" s="283"/>
      <c r="BL786" s="276"/>
      <c r="BM786" s="283"/>
      <c r="BN786" s="276"/>
      <c r="BO786" s="283"/>
      <c r="BP786" s="276"/>
      <c r="BQ786" s="283"/>
      <c r="BR786" s="283"/>
      <c r="BS786" s="276"/>
    </row>
    <row r="787" spans="12:71" ht="12" customHeight="1">
      <c r="L787" s="283"/>
      <c r="M787" s="276"/>
      <c r="N787" s="283"/>
      <c r="O787" s="276"/>
      <c r="P787" s="283"/>
      <c r="Q787" s="276"/>
      <c r="S787" s="283"/>
      <c r="T787" s="276"/>
      <c r="W787" s="283"/>
      <c r="X787" s="276"/>
      <c r="Y787" s="283"/>
      <c r="Z787" s="276"/>
      <c r="AA787" s="283"/>
      <c r="AB787" s="276"/>
      <c r="AC787" s="283"/>
      <c r="AE787" s="283"/>
      <c r="AF787" s="276"/>
      <c r="AI787" s="283"/>
      <c r="AJ787" s="276"/>
      <c r="AK787" s="283"/>
      <c r="AL787" s="276"/>
      <c r="AM787" s="283"/>
      <c r="AN787" s="276"/>
      <c r="AO787" s="283"/>
      <c r="AP787" s="276"/>
      <c r="AQ787" s="283"/>
      <c r="AR787" s="276"/>
      <c r="AT787" s="283"/>
      <c r="AU787" s="276"/>
      <c r="AV787" s="283"/>
      <c r="AW787" s="276"/>
      <c r="AX787" s="283"/>
      <c r="AY787" s="276"/>
      <c r="AZ787" s="283"/>
      <c r="BA787" s="276"/>
      <c r="BB787" s="283"/>
      <c r="BC787" s="276"/>
      <c r="BD787" s="283"/>
      <c r="BE787" s="276"/>
      <c r="BG787" s="283"/>
      <c r="BH787" s="276"/>
      <c r="BI787" s="283"/>
      <c r="BJ787" s="276"/>
      <c r="BK787" s="283"/>
      <c r="BL787" s="276"/>
      <c r="BM787" s="283"/>
      <c r="BN787" s="276"/>
      <c r="BO787" s="283"/>
      <c r="BP787" s="276"/>
      <c r="BQ787" s="283"/>
      <c r="BR787" s="283"/>
      <c r="BS787" s="276"/>
    </row>
    <row r="788" spans="12:71" ht="12" customHeight="1">
      <c r="L788" s="283"/>
      <c r="M788" s="276"/>
      <c r="N788" s="283"/>
      <c r="O788" s="276"/>
      <c r="P788" s="283"/>
      <c r="Q788" s="276"/>
      <c r="S788" s="283"/>
      <c r="T788" s="276"/>
      <c r="W788" s="283"/>
      <c r="X788" s="276"/>
      <c r="Y788" s="283"/>
      <c r="Z788" s="276"/>
      <c r="AA788" s="283"/>
      <c r="AB788" s="276"/>
      <c r="AC788" s="283"/>
      <c r="AE788" s="283"/>
      <c r="AF788" s="276"/>
      <c r="AI788" s="283"/>
      <c r="AJ788" s="276"/>
      <c r="AK788" s="283"/>
      <c r="AL788" s="276"/>
      <c r="AM788" s="283"/>
      <c r="AN788" s="276"/>
      <c r="AO788" s="283"/>
      <c r="AP788" s="276"/>
      <c r="AQ788" s="283"/>
      <c r="AR788" s="276"/>
      <c r="AT788" s="283"/>
      <c r="AU788" s="276"/>
      <c r="AV788" s="283"/>
      <c r="AW788" s="276"/>
      <c r="AX788" s="283"/>
      <c r="AY788" s="276"/>
      <c r="AZ788" s="283"/>
      <c r="BA788" s="276"/>
      <c r="BB788" s="283"/>
      <c r="BC788" s="276"/>
      <c r="BD788" s="283"/>
      <c r="BE788" s="276"/>
      <c r="BG788" s="283"/>
      <c r="BH788" s="276"/>
      <c r="BI788" s="283"/>
      <c r="BJ788" s="276"/>
      <c r="BK788" s="283"/>
      <c r="BL788" s="276"/>
      <c r="BM788" s="283"/>
      <c r="BN788" s="276"/>
      <c r="BO788" s="283"/>
      <c r="BP788" s="276"/>
      <c r="BQ788" s="283"/>
      <c r="BR788" s="283"/>
      <c r="BS788" s="276"/>
    </row>
    <row r="789" spans="12:71" ht="12" customHeight="1">
      <c r="L789" s="283"/>
      <c r="M789" s="276"/>
      <c r="N789" s="283"/>
      <c r="O789" s="276"/>
      <c r="P789" s="283"/>
      <c r="Q789" s="276"/>
      <c r="S789" s="283"/>
      <c r="T789" s="276"/>
      <c r="W789" s="283"/>
      <c r="X789" s="276"/>
      <c r="Y789" s="283"/>
      <c r="Z789" s="276"/>
      <c r="AA789" s="283"/>
      <c r="AB789" s="276"/>
      <c r="AC789" s="283"/>
      <c r="AE789" s="283"/>
      <c r="AF789" s="276"/>
      <c r="AI789" s="283"/>
      <c r="AJ789" s="276"/>
      <c r="AK789" s="283"/>
      <c r="AL789" s="276"/>
      <c r="AM789" s="283"/>
      <c r="AN789" s="276"/>
      <c r="AO789" s="283"/>
      <c r="AP789" s="276"/>
      <c r="AQ789" s="283"/>
      <c r="AR789" s="276"/>
      <c r="AT789" s="283"/>
      <c r="AU789" s="276"/>
      <c r="AV789" s="283"/>
      <c r="AW789" s="276"/>
      <c r="AX789" s="283"/>
      <c r="AY789" s="276"/>
      <c r="AZ789" s="283"/>
      <c r="BA789" s="276"/>
      <c r="BB789" s="283"/>
      <c r="BC789" s="276"/>
      <c r="BD789" s="283"/>
      <c r="BE789" s="276"/>
      <c r="BG789" s="283"/>
      <c r="BH789" s="276"/>
      <c r="BI789" s="283"/>
      <c r="BJ789" s="276"/>
      <c r="BK789" s="283"/>
      <c r="BL789" s="276"/>
      <c r="BM789" s="283"/>
      <c r="BN789" s="276"/>
      <c r="BO789" s="283"/>
      <c r="BP789" s="276"/>
      <c r="BQ789" s="283"/>
      <c r="BR789" s="283"/>
      <c r="BS789" s="276"/>
    </row>
    <row r="790" spans="12:71" ht="12" customHeight="1">
      <c r="L790" s="283"/>
      <c r="M790" s="276"/>
      <c r="N790" s="283"/>
      <c r="O790" s="276"/>
      <c r="P790" s="283"/>
      <c r="Q790" s="276"/>
      <c r="S790" s="283"/>
      <c r="T790" s="276"/>
      <c r="W790" s="283"/>
      <c r="X790" s="276"/>
      <c r="Y790" s="283"/>
      <c r="Z790" s="276"/>
      <c r="AA790" s="283"/>
      <c r="AB790" s="276"/>
      <c r="AC790" s="283"/>
      <c r="AE790" s="283"/>
      <c r="AF790" s="276"/>
      <c r="AI790" s="283"/>
      <c r="AJ790" s="276"/>
      <c r="AK790" s="283"/>
      <c r="AL790" s="276"/>
      <c r="AM790" s="283"/>
      <c r="AN790" s="276"/>
      <c r="AO790" s="283"/>
      <c r="AP790" s="276"/>
      <c r="AQ790" s="283"/>
      <c r="AR790" s="276"/>
      <c r="AT790" s="283"/>
      <c r="AU790" s="276"/>
      <c r="AV790" s="283"/>
      <c r="AW790" s="276"/>
      <c r="AX790" s="283"/>
      <c r="AY790" s="276"/>
      <c r="AZ790" s="283"/>
      <c r="BA790" s="276"/>
      <c r="BB790" s="283"/>
      <c r="BC790" s="276"/>
      <c r="BD790" s="283"/>
      <c r="BE790" s="276"/>
      <c r="BG790" s="283"/>
      <c r="BH790" s="276"/>
      <c r="BI790" s="283"/>
      <c r="BJ790" s="276"/>
      <c r="BK790" s="283"/>
      <c r="BL790" s="276"/>
      <c r="BM790" s="283"/>
      <c r="BN790" s="276"/>
      <c r="BO790" s="283"/>
      <c r="BP790" s="276"/>
      <c r="BQ790" s="283"/>
      <c r="BR790" s="283"/>
      <c r="BS790" s="276"/>
    </row>
    <row r="791" spans="12:71" ht="12" customHeight="1">
      <c r="L791" s="283"/>
      <c r="M791" s="276"/>
      <c r="N791" s="283"/>
      <c r="O791" s="276"/>
      <c r="P791" s="283"/>
      <c r="Q791" s="276"/>
      <c r="S791" s="283"/>
      <c r="T791" s="276"/>
      <c r="W791" s="283"/>
      <c r="X791" s="276"/>
      <c r="Y791" s="283"/>
      <c r="Z791" s="276"/>
      <c r="AA791" s="283"/>
      <c r="AB791" s="276"/>
      <c r="AC791" s="283"/>
      <c r="AE791" s="283"/>
      <c r="AF791" s="276"/>
      <c r="AI791" s="283"/>
      <c r="AJ791" s="276"/>
      <c r="AK791" s="283"/>
      <c r="AL791" s="276"/>
      <c r="AM791" s="283"/>
      <c r="AN791" s="276"/>
      <c r="AO791" s="283"/>
      <c r="AP791" s="276"/>
      <c r="AQ791" s="283"/>
      <c r="AR791" s="276"/>
      <c r="AT791" s="283"/>
      <c r="AU791" s="276"/>
      <c r="AV791" s="283"/>
      <c r="AW791" s="276"/>
      <c r="AX791" s="283"/>
      <c r="AY791" s="276"/>
      <c r="AZ791" s="283"/>
      <c r="BA791" s="276"/>
      <c r="BB791" s="283"/>
      <c r="BC791" s="276"/>
      <c r="BD791" s="283"/>
      <c r="BE791" s="276"/>
      <c r="BG791" s="283"/>
      <c r="BH791" s="276"/>
      <c r="BI791" s="283"/>
      <c r="BJ791" s="276"/>
      <c r="BK791" s="283"/>
      <c r="BL791" s="276"/>
      <c r="BM791" s="283"/>
      <c r="BN791" s="276"/>
      <c r="BO791" s="283"/>
      <c r="BP791" s="276"/>
      <c r="BQ791" s="283"/>
      <c r="BR791" s="283"/>
      <c r="BS791" s="276"/>
    </row>
    <row r="792" spans="12:71" ht="12" customHeight="1">
      <c r="L792" s="283"/>
      <c r="M792" s="276"/>
      <c r="N792" s="283"/>
      <c r="O792" s="276"/>
      <c r="P792" s="283"/>
      <c r="Q792" s="276"/>
      <c r="S792" s="283"/>
      <c r="T792" s="276"/>
      <c r="W792" s="283"/>
      <c r="X792" s="276"/>
      <c r="Y792" s="283"/>
      <c r="Z792" s="276"/>
      <c r="AA792" s="283"/>
      <c r="AB792" s="276"/>
      <c r="AC792" s="283"/>
      <c r="AE792" s="283"/>
      <c r="AF792" s="276"/>
      <c r="AI792" s="283"/>
      <c r="AJ792" s="276"/>
      <c r="AK792" s="283"/>
      <c r="AL792" s="276"/>
      <c r="AM792" s="283"/>
      <c r="AN792" s="276"/>
      <c r="AO792" s="283"/>
      <c r="AP792" s="276"/>
      <c r="AQ792" s="283"/>
      <c r="AR792" s="276"/>
      <c r="AT792" s="283"/>
      <c r="AU792" s="276"/>
      <c r="AV792" s="283"/>
      <c r="AW792" s="276"/>
      <c r="AX792" s="283"/>
      <c r="AY792" s="276"/>
      <c r="AZ792" s="283"/>
      <c r="BA792" s="276"/>
      <c r="BB792" s="283"/>
      <c r="BC792" s="276"/>
      <c r="BD792" s="283"/>
      <c r="BE792" s="276"/>
      <c r="BG792" s="283"/>
      <c r="BH792" s="276"/>
      <c r="BI792" s="283"/>
      <c r="BJ792" s="276"/>
      <c r="BK792" s="283"/>
      <c r="BL792" s="276"/>
      <c r="BM792" s="283"/>
      <c r="BN792" s="276"/>
      <c r="BO792" s="283"/>
      <c r="BP792" s="276"/>
      <c r="BQ792" s="283"/>
      <c r="BR792" s="283"/>
      <c r="BS792" s="276"/>
    </row>
    <row r="793" spans="12:71" ht="12" customHeight="1">
      <c r="L793" s="283"/>
      <c r="M793" s="276"/>
      <c r="N793" s="283"/>
      <c r="O793" s="276"/>
      <c r="P793" s="283"/>
      <c r="Q793" s="276"/>
      <c r="S793" s="283"/>
      <c r="T793" s="276"/>
      <c r="W793" s="283"/>
      <c r="X793" s="276"/>
      <c r="Y793" s="283"/>
      <c r="Z793" s="276"/>
      <c r="AA793" s="283"/>
      <c r="AB793" s="276"/>
      <c r="AC793" s="283"/>
      <c r="AE793" s="283"/>
      <c r="AF793" s="276"/>
      <c r="AI793" s="283"/>
      <c r="AJ793" s="276"/>
      <c r="AK793" s="283"/>
      <c r="AL793" s="276"/>
      <c r="AM793" s="283"/>
      <c r="AN793" s="276"/>
      <c r="AO793" s="283"/>
      <c r="AP793" s="276"/>
      <c r="AQ793" s="283"/>
      <c r="AR793" s="276"/>
      <c r="AT793" s="283"/>
      <c r="AU793" s="276"/>
      <c r="AV793" s="283"/>
      <c r="AW793" s="276"/>
      <c r="AX793" s="283"/>
      <c r="AY793" s="276"/>
      <c r="AZ793" s="283"/>
      <c r="BA793" s="276"/>
      <c r="BB793" s="283"/>
      <c r="BC793" s="276"/>
      <c r="BD793" s="283"/>
      <c r="BE793" s="276"/>
      <c r="BG793" s="283"/>
      <c r="BH793" s="276"/>
      <c r="BI793" s="283"/>
      <c r="BJ793" s="276"/>
      <c r="BK793" s="283"/>
      <c r="BL793" s="276"/>
      <c r="BM793" s="283"/>
      <c r="BN793" s="276"/>
      <c r="BO793" s="283"/>
      <c r="BP793" s="276"/>
      <c r="BQ793" s="283"/>
      <c r="BR793" s="283"/>
      <c r="BS793" s="276"/>
    </row>
    <row r="794" spans="12:71" ht="12" customHeight="1">
      <c r="L794" s="283"/>
      <c r="M794" s="276"/>
      <c r="N794" s="283"/>
      <c r="O794" s="276"/>
      <c r="P794" s="283"/>
      <c r="Q794" s="276"/>
      <c r="S794" s="283"/>
      <c r="T794" s="276"/>
      <c r="W794" s="283"/>
      <c r="X794" s="276"/>
      <c r="Y794" s="283"/>
      <c r="Z794" s="276"/>
      <c r="AA794" s="283"/>
      <c r="AB794" s="276"/>
      <c r="AC794" s="283"/>
      <c r="AE794" s="283"/>
      <c r="AF794" s="276"/>
      <c r="AI794" s="283"/>
      <c r="AJ794" s="276"/>
      <c r="AK794" s="283"/>
      <c r="AL794" s="276"/>
      <c r="AM794" s="283"/>
      <c r="AN794" s="276"/>
      <c r="AO794" s="283"/>
      <c r="AP794" s="276"/>
      <c r="AQ794" s="283"/>
      <c r="AR794" s="276"/>
      <c r="AT794" s="283"/>
      <c r="AU794" s="276"/>
      <c r="AV794" s="283"/>
      <c r="AW794" s="276"/>
      <c r="AX794" s="283"/>
      <c r="AY794" s="276"/>
      <c r="AZ794" s="283"/>
      <c r="BA794" s="276"/>
      <c r="BB794" s="283"/>
      <c r="BC794" s="276"/>
      <c r="BD794" s="283"/>
      <c r="BE794" s="276"/>
      <c r="BG794" s="283"/>
      <c r="BH794" s="276"/>
      <c r="BI794" s="283"/>
      <c r="BJ794" s="276"/>
      <c r="BK794" s="283"/>
      <c r="BL794" s="276"/>
      <c r="BM794" s="283"/>
      <c r="BN794" s="276"/>
      <c r="BO794" s="283"/>
      <c r="BP794" s="276"/>
      <c r="BQ794" s="283"/>
      <c r="BR794" s="283"/>
      <c r="BS794" s="276"/>
    </row>
    <row r="795" spans="12:71" ht="12" customHeight="1">
      <c r="L795" s="283"/>
      <c r="M795" s="276"/>
      <c r="N795" s="283"/>
      <c r="O795" s="276"/>
      <c r="P795" s="283"/>
      <c r="Q795" s="276"/>
      <c r="S795" s="283"/>
      <c r="T795" s="276"/>
      <c r="W795" s="283"/>
      <c r="X795" s="276"/>
      <c r="Y795" s="283"/>
      <c r="Z795" s="276"/>
      <c r="AA795" s="283"/>
      <c r="AB795" s="276"/>
      <c r="AC795" s="283"/>
      <c r="AE795" s="283"/>
      <c r="AF795" s="276"/>
      <c r="AI795" s="283"/>
      <c r="AJ795" s="276"/>
      <c r="AK795" s="283"/>
      <c r="AL795" s="276"/>
      <c r="AM795" s="283"/>
      <c r="AN795" s="276"/>
      <c r="AO795" s="283"/>
      <c r="AP795" s="276"/>
      <c r="AQ795" s="283"/>
      <c r="AR795" s="276"/>
      <c r="AT795" s="283"/>
      <c r="AU795" s="276"/>
      <c r="AV795" s="283"/>
      <c r="AW795" s="276"/>
      <c r="AX795" s="283"/>
      <c r="AY795" s="276"/>
      <c r="AZ795" s="283"/>
      <c r="BA795" s="276"/>
      <c r="BB795" s="283"/>
      <c r="BC795" s="276"/>
      <c r="BD795" s="283"/>
      <c r="BE795" s="276"/>
      <c r="BG795" s="283"/>
      <c r="BH795" s="276"/>
      <c r="BI795" s="283"/>
      <c r="BJ795" s="276"/>
      <c r="BK795" s="283"/>
      <c r="BL795" s="276"/>
      <c r="BM795" s="283"/>
      <c r="BN795" s="276"/>
      <c r="BO795" s="283"/>
      <c r="BP795" s="276"/>
      <c r="BQ795" s="283"/>
      <c r="BR795" s="283"/>
      <c r="BS795" s="276"/>
    </row>
    <row r="796" spans="12:71" ht="12" customHeight="1">
      <c r="L796" s="283"/>
      <c r="M796" s="276"/>
      <c r="N796" s="283"/>
      <c r="O796" s="276"/>
      <c r="P796" s="283"/>
      <c r="Q796" s="276"/>
      <c r="S796" s="283"/>
      <c r="T796" s="276"/>
      <c r="W796" s="283"/>
      <c r="X796" s="276"/>
      <c r="Y796" s="283"/>
      <c r="Z796" s="276"/>
      <c r="AA796" s="283"/>
      <c r="AB796" s="276"/>
      <c r="AC796" s="283"/>
      <c r="AE796" s="283"/>
      <c r="AF796" s="276"/>
      <c r="AI796" s="283"/>
      <c r="AJ796" s="276"/>
      <c r="AK796" s="283"/>
      <c r="AL796" s="276"/>
      <c r="AM796" s="283"/>
      <c r="AN796" s="276"/>
      <c r="AO796" s="283"/>
      <c r="AP796" s="276"/>
      <c r="AQ796" s="283"/>
      <c r="AR796" s="276"/>
      <c r="AT796" s="283"/>
      <c r="AU796" s="276"/>
      <c r="AV796" s="283"/>
      <c r="AW796" s="276"/>
      <c r="AX796" s="283"/>
      <c r="AY796" s="276"/>
      <c r="AZ796" s="283"/>
      <c r="BA796" s="276"/>
      <c r="BB796" s="283"/>
      <c r="BC796" s="276"/>
      <c r="BD796" s="283"/>
      <c r="BE796" s="276"/>
      <c r="BG796" s="283"/>
      <c r="BH796" s="276"/>
      <c r="BI796" s="283"/>
      <c r="BJ796" s="276"/>
      <c r="BK796" s="283"/>
      <c r="BL796" s="276"/>
      <c r="BM796" s="283"/>
      <c r="BN796" s="276"/>
      <c r="BO796" s="283"/>
      <c r="BP796" s="276"/>
      <c r="BQ796" s="283"/>
      <c r="BR796" s="283"/>
      <c r="BS796" s="276"/>
    </row>
    <row r="797" spans="12:71" ht="12" customHeight="1">
      <c r="L797" s="283"/>
      <c r="M797" s="276"/>
      <c r="N797" s="283"/>
      <c r="O797" s="276"/>
      <c r="P797" s="283"/>
      <c r="Q797" s="276"/>
      <c r="S797" s="283"/>
      <c r="T797" s="276"/>
      <c r="W797" s="283"/>
      <c r="X797" s="276"/>
      <c r="Y797" s="283"/>
      <c r="Z797" s="276"/>
      <c r="AA797" s="283"/>
      <c r="AB797" s="276"/>
      <c r="AC797" s="283"/>
      <c r="AE797" s="283"/>
      <c r="AF797" s="276"/>
      <c r="AI797" s="283"/>
      <c r="AJ797" s="276"/>
      <c r="AK797" s="283"/>
      <c r="AL797" s="276"/>
      <c r="AM797" s="283"/>
      <c r="AN797" s="276"/>
      <c r="AO797" s="283"/>
      <c r="AP797" s="276"/>
      <c r="AQ797" s="283"/>
      <c r="AR797" s="276"/>
      <c r="AT797" s="283"/>
      <c r="AU797" s="276"/>
      <c r="AV797" s="283"/>
      <c r="AW797" s="276"/>
      <c r="AX797" s="283"/>
      <c r="AY797" s="276"/>
      <c r="AZ797" s="283"/>
      <c r="BA797" s="276"/>
      <c r="BB797" s="283"/>
      <c r="BC797" s="276"/>
      <c r="BD797" s="283"/>
      <c r="BE797" s="276"/>
      <c r="BG797" s="283"/>
      <c r="BH797" s="276"/>
      <c r="BI797" s="283"/>
      <c r="BJ797" s="276"/>
      <c r="BK797" s="283"/>
      <c r="BL797" s="276"/>
      <c r="BM797" s="283"/>
      <c r="BN797" s="276"/>
      <c r="BO797" s="283"/>
      <c r="BP797" s="276"/>
      <c r="BQ797" s="283"/>
      <c r="BR797" s="283"/>
      <c r="BS797" s="276"/>
    </row>
    <row r="798" spans="12:71" ht="12" customHeight="1">
      <c r="L798" s="283"/>
      <c r="M798" s="276"/>
      <c r="N798" s="283"/>
      <c r="O798" s="276"/>
      <c r="P798" s="283"/>
      <c r="Q798" s="276"/>
      <c r="S798" s="283"/>
      <c r="T798" s="276"/>
      <c r="W798" s="283"/>
      <c r="X798" s="276"/>
      <c r="Y798" s="283"/>
      <c r="Z798" s="276"/>
      <c r="AA798" s="283"/>
      <c r="AB798" s="276"/>
      <c r="AC798" s="283"/>
      <c r="AE798" s="283"/>
      <c r="AF798" s="276"/>
      <c r="AI798" s="283"/>
      <c r="AJ798" s="276"/>
      <c r="AK798" s="283"/>
      <c r="AL798" s="276"/>
      <c r="AM798" s="283"/>
      <c r="AN798" s="276"/>
      <c r="AO798" s="283"/>
      <c r="AP798" s="276"/>
      <c r="AQ798" s="283"/>
      <c r="AR798" s="276"/>
      <c r="AT798" s="283"/>
      <c r="AU798" s="276"/>
      <c r="AV798" s="283"/>
      <c r="AW798" s="276"/>
      <c r="AX798" s="283"/>
      <c r="AY798" s="276"/>
      <c r="AZ798" s="283"/>
      <c r="BA798" s="276"/>
      <c r="BB798" s="283"/>
      <c r="BC798" s="276"/>
      <c r="BD798" s="283"/>
      <c r="BE798" s="276"/>
      <c r="BG798" s="283"/>
      <c r="BH798" s="276"/>
      <c r="BI798" s="283"/>
      <c r="BJ798" s="276"/>
      <c r="BK798" s="283"/>
      <c r="BL798" s="276"/>
      <c r="BM798" s="283"/>
      <c r="BN798" s="276"/>
      <c r="BO798" s="283"/>
      <c r="BP798" s="276"/>
      <c r="BQ798" s="283"/>
      <c r="BR798" s="283"/>
      <c r="BS798" s="276"/>
    </row>
    <row r="799" spans="12:71" ht="12" customHeight="1">
      <c r="L799" s="283"/>
      <c r="M799" s="276"/>
      <c r="N799" s="283"/>
      <c r="O799" s="276"/>
      <c r="P799" s="283"/>
      <c r="Q799" s="276"/>
      <c r="S799" s="283"/>
      <c r="T799" s="276"/>
      <c r="W799" s="283"/>
      <c r="X799" s="276"/>
      <c r="Y799" s="283"/>
      <c r="Z799" s="276"/>
      <c r="AA799" s="283"/>
      <c r="AB799" s="276"/>
      <c r="AC799" s="283"/>
      <c r="AE799" s="283"/>
      <c r="AF799" s="276"/>
      <c r="AI799" s="283"/>
      <c r="AJ799" s="276"/>
      <c r="AK799" s="283"/>
      <c r="AL799" s="276"/>
      <c r="AM799" s="283"/>
      <c r="AN799" s="276"/>
      <c r="AO799" s="283"/>
      <c r="AP799" s="276"/>
      <c r="AQ799" s="283"/>
      <c r="AR799" s="276"/>
      <c r="AT799" s="283"/>
      <c r="AU799" s="276"/>
      <c r="AV799" s="283"/>
      <c r="AW799" s="276"/>
      <c r="AX799" s="283"/>
      <c r="AY799" s="276"/>
      <c r="AZ799" s="283"/>
      <c r="BA799" s="276"/>
      <c r="BB799" s="283"/>
      <c r="BC799" s="276"/>
      <c r="BD799" s="283"/>
      <c r="BE799" s="276"/>
      <c r="BG799" s="283"/>
      <c r="BH799" s="276"/>
      <c r="BI799" s="283"/>
      <c r="BJ799" s="276"/>
      <c r="BK799" s="283"/>
      <c r="BL799" s="276"/>
      <c r="BM799" s="283"/>
      <c r="BN799" s="276"/>
      <c r="BO799" s="283"/>
      <c r="BP799" s="276"/>
      <c r="BQ799" s="283"/>
      <c r="BR799" s="283"/>
      <c r="BS799" s="276"/>
    </row>
    <row r="800" spans="12:71" ht="12" customHeight="1">
      <c r="L800" s="283"/>
      <c r="M800" s="276"/>
      <c r="N800" s="283"/>
      <c r="O800" s="276"/>
      <c r="P800" s="283"/>
      <c r="Q800" s="276"/>
      <c r="S800" s="283"/>
      <c r="T800" s="276"/>
      <c r="W800" s="283"/>
      <c r="X800" s="276"/>
      <c r="Y800" s="283"/>
      <c r="Z800" s="276"/>
      <c r="AA800" s="283"/>
      <c r="AB800" s="276"/>
      <c r="AC800" s="283"/>
      <c r="AE800" s="283"/>
      <c r="AF800" s="276"/>
      <c r="AI800" s="283"/>
      <c r="AJ800" s="276"/>
      <c r="AK800" s="283"/>
      <c r="AL800" s="276"/>
      <c r="AM800" s="283"/>
      <c r="AN800" s="276"/>
      <c r="AO800" s="283"/>
      <c r="AP800" s="276"/>
      <c r="AQ800" s="283"/>
      <c r="AR800" s="276"/>
      <c r="AT800" s="283"/>
      <c r="AU800" s="276"/>
      <c r="AV800" s="283"/>
      <c r="AW800" s="276"/>
      <c r="AX800" s="283"/>
      <c r="AY800" s="276"/>
      <c r="AZ800" s="283"/>
      <c r="BA800" s="276"/>
      <c r="BB800" s="283"/>
      <c r="BC800" s="276"/>
      <c r="BD800" s="283"/>
      <c r="BE800" s="276"/>
      <c r="BG800" s="283"/>
      <c r="BH800" s="276"/>
      <c r="BI800" s="283"/>
      <c r="BJ800" s="276"/>
      <c r="BK800" s="283"/>
      <c r="BL800" s="276"/>
      <c r="BM800" s="283"/>
      <c r="BN800" s="276"/>
      <c r="BO800" s="283"/>
      <c r="BP800" s="276"/>
      <c r="BQ800" s="283"/>
      <c r="BR800" s="283"/>
      <c r="BS800" s="276"/>
    </row>
    <row r="801" spans="12:71" ht="12" customHeight="1">
      <c r="L801" s="283"/>
      <c r="M801" s="276"/>
      <c r="N801" s="283"/>
      <c r="O801" s="276"/>
      <c r="P801" s="283"/>
      <c r="Q801" s="276"/>
      <c r="S801" s="283"/>
      <c r="T801" s="276"/>
      <c r="W801" s="283"/>
      <c r="X801" s="276"/>
      <c r="Y801" s="283"/>
      <c r="Z801" s="276"/>
      <c r="AA801" s="283"/>
      <c r="AB801" s="276"/>
      <c r="AC801" s="283"/>
      <c r="AE801" s="283"/>
      <c r="AF801" s="276"/>
      <c r="AI801" s="283"/>
      <c r="AJ801" s="276"/>
      <c r="AK801" s="283"/>
      <c r="AL801" s="276"/>
      <c r="AM801" s="283"/>
      <c r="AN801" s="276"/>
      <c r="AO801" s="283"/>
      <c r="AP801" s="276"/>
      <c r="AQ801" s="283"/>
      <c r="AR801" s="276"/>
      <c r="AT801" s="283"/>
      <c r="AU801" s="276"/>
      <c r="AV801" s="283"/>
      <c r="AW801" s="276"/>
      <c r="AX801" s="283"/>
      <c r="AY801" s="276"/>
      <c r="AZ801" s="283"/>
      <c r="BA801" s="276"/>
      <c r="BB801" s="283"/>
      <c r="BC801" s="276"/>
      <c r="BD801" s="283"/>
      <c r="BE801" s="276"/>
      <c r="BG801" s="283"/>
      <c r="BH801" s="276"/>
      <c r="BI801" s="283"/>
      <c r="BJ801" s="276"/>
      <c r="BK801" s="283"/>
      <c r="BL801" s="276"/>
      <c r="BM801" s="283"/>
      <c r="BN801" s="276"/>
      <c r="BO801" s="283"/>
      <c r="BP801" s="276"/>
      <c r="BQ801" s="283"/>
      <c r="BR801" s="283"/>
      <c r="BS801" s="276"/>
    </row>
    <row r="802" spans="12:71" ht="12" customHeight="1">
      <c r="L802" s="283"/>
      <c r="M802" s="276"/>
      <c r="N802" s="283"/>
      <c r="O802" s="276"/>
      <c r="P802" s="283"/>
      <c r="Q802" s="276"/>
      <c r="S802" s="283"/>
      <c r="T802" s="276"/>
      <c r="W802" s="283"/>
      <c r="X802" s="276"/>
      <c r="Y802" s="283"/>
      <c r="Z802" s="276"/>
      <c r="AA802" s="283"/>
      <c r="AB802" s="276"/>
      <c r="AC802" s="283"/>
      <c r="AE802" s="283"/>
      <c r="AF802" s="276"/>
      <c r="AI802" s="283"/>
      <c r="AJ802" s="276"/>
      <c r="AK802" s="283"/>
      <c r="AL802" s="276"/>
      <c r="AM802" s="283"/>
      <c r="AN802" s="276"/>
      <c r="AO802" s="283"/>
      <c r="AP802" s="276"/>
      <c r="AQ802" s="283"/>
      <c r="AR802" s="276"/>
      <c r="AT802" s="283"/>
      <c r="AU802" s="276"/>
      <c r="AV802" s="283"/>
      <c r="AW802" s="276"/>
      <c r="AX802" s="283"/>
      <c r="AY802" s="276"/>
      <c r="AZ802" s="283"/>
      <c r="BA802" s="276"/>
      <c r="BB802" s="283"/>
      <c r="BC802" s="276"/>
      <c r="BD802" s="283"/>
      <c r="BE802" s="276"/>
      <c r="BG802" s="283"/>
      <c r="BH802" s="276"/>
      <c r="BI802" s="283"/>
      <c r="BJ802" s="276"/>
      <c r="BK802" s="283"/>
      <c r="BL802" s="276"/>
      <c r="BM802" s="283"/>
      <c r="BN802" s="276"/>
      <c r="BO802" s="283"/>
      <c r="BP802" s="276"/>
      <c r="BQ802" s="283"/>
      <c r="BR802" s="283"/>
      <c r="BS802" s="276"/>
    </row>
    <row r="803" spans="12:71" ht="12" customHeight="1">
      <c r="L803" s="283"/>
      <c r="M803" s="276"/>
      <c r="N803" s="283"/>
      <c r="O803" s="276"/>
      <c r="P803" s="283"/>
      <c r="Q803" s="276"/>
      <c r="S803" s="283"/>
      <c r="T803" s="276"/>
      <c r="W803" s="283"/>
      <c r="X803" s="276"/>
      <c r="Y803" s="283"/>
      <c r="Z803" s="276"/>
      <c r="AA803" s="283"/>
      <c r="AB803" s="276"/>
      <c r="AC803" s="283"/>
      <c r="AE803" s="283"/>
      <c r="AF803" s="276"/>
      <c r="AI803" s="283"/>
      <c r="AJ803" s="276"/>
      <c r="AK803" s="283"/>
      <c r="AL803" s="276"/>
      <c r="AM803" s="283"/>
      <c r="AN803" s="276"/>
      <c r="AO803" s="283"/>
      <c r="AP803" s="276"/>
      <c r="AQ803" s="283"/>
      <c r="AR803" s="276"/>
      <c r="AT803" s="283"/>
      <c r="AU803" s="276"/>
      <c r="AV803" s="283"/>
      <c r="AW803" s="276"/>
      <c r="AX803" s="283"/>
      <c r="AY803" s="276"/>
      <c r="AZ803" s="283"/>
      <c r="BA803" s="276"/>
      <c r="BB803" s="283"/>
      <c r="BC803" s="276"/>
      <c r="BD803" s="283"/>
      <c r="BE803" s="276"/>
      <c r="BG803" s="283"/>
      <c r="BH803" s="276"/>
      <c r="BI803" s="283"/>
      <c r="BJ803" s="276"/>
      <c r="BK803" s="283"/>
      <c r="BL803" s="276"/>
      <c r="BM803" s="283"/>
      <c r="BN803" s="276"/>
      <c r="BO803" s="283"/>
      <c r="BP803" s="276"/>
      <c r="BQ803" s="283"/>
      <c r="BR803" s="283"/>
      <c r="BS803" s="276"/>
    </row>
    <row r="804" spans="12:71" ht="12" customHeight="1">
      <c r="L804" s="283"/>
      <c r="M804" s="276"/>
      <c r="N804" s="283"/>
      <c r="O804" s="276"/>
      <c r="P804" s="283"/>
      <c r="Q804" s="276"/>
      <c r="S804" s="283"/>
      <c r="T804" s="276"/>
      <c r="W804" s="283"/>
      <c r="X804" s="276"/>
      <c r="Y804" s="283"/>
      <c r="Z804" s="276"/>
      <c r="AA804" s="283"/>
      <c r="AB804" s="276"/>
      <c r="AC804" s="283"/>
      <c r="AE804" s="283"/>
      <c r="AF804" s="276"/>
      <c r="AI804" s="283"/>
      <c r="AJ804" s="276"/>
      <c r="AK804" s="283"/>
      <c r="AL804" s="276"/>
      <c r="AM804" s="283"/>
      <c r="AN804" s="276"/>
      <c r="AO804" s="283"/>
      <c r="AP804" s="276"/>
      <c r="AQ804" s="283"/>
      <c r="AR804" s="276"/>
      <c r="AT804" s="283"/>
      <c r="AU804" s="276"/>
      <c r="AV804" s="283"/>
      <c r="AW804" s="276"/>
      <c r="AX804" s="283"/>
      <c r="AY804" s="276"/>
      <c r="AZ804" s="283"/>
      <c r="BA804" s="276"/>
      <c r="BB804" s="283"/>
      <c r="BC804" s="276"/>
      <c r="BD804" s="283"/>
      <c r="BE804" s="276"/>
      <c r="BG804" s="283"/>
      <c r="BH804" s="276"/>
      <c r="BI804" s="283"/>
      <c r="BJ804" s="276"/>
      <c r="BK804" s="283"/>
      <c r="BL804" s="276"/>
      <c r="BM804" s="283"/>
      <c r="BN804" s="276"/>
      <c r="BO804" s="283"/>
      <c r="BP804" s="276"/>
      <c r="BQ804" s="283"/>
      <c r="BR804" s="283"/>
      <c r="BS804" s="276"/>
    </row>
    <row r="805" spans="12:71" ht="12" customHeight="1">
      <c r="L805" s="283"/>
      <c r="M805" s="276"/>
      <c r="N805" s="283"/>
      <c r="O805" s="276"/>
      <c r="P805" s="283"/>
      <c r="Q805" s="276"/>
      <c r="S805" s="283"/>
      <c r="T805" s="276"/>
      <c r="W805" s="283"/>
      <c r="X805" s="276"/>
      <c r="Y805" s="283"/>
      <c r="Z805" s="276"/>
      <c r="AA805" s="283"/>
      <c r="AB805" s="276"/>
      <c r="AC805" s="283"/>
      <c r="AE805" s="283"/>
      <c r="AF805" s="276"/>
      <c r="AI805" s="283"/>
      <c r="AJ805" s="276"/>
      <c r="AK805" s="283"/>
      <c r="AL805" s="276"/>
      <c r="AM805" s="283"/>
      <c r="AN805" s="276"/>
      <c r="AO805" s="283"/>
      <c r="AP805" s="276"/>
      <c r="AQ805" s="283"/>
      <c r="AR805" s="276"/>
      <c r="AT805" s="283"/>
      <c r="AU805" s="276"/>
      <c r="AV805" s="283"/>
      <c r="AW805" s="276"/>
      <c r="AX805" s="283"/>
      <c r="AY805" s="276"/>
      <c r="AZ805" s="283"/>
      <c r="BA805" s="276"/>
      <c r="BB805" s="283"/>
      <c r="BC805" s="276"/>
      <c r="BD805" s="283"/>
      <c r="BE805" s="276"/>
      <c r="BG805" s="283"/>
      <c r="BH805" s="276"/>
      <c r="BI805" s="283"/>
      <c r="BJ805" s="276"/>
      <c r="BK805" s="283"/>
      <c r="BL805" s="276"/>
      <c r="BM805" s="283"/>
      <c r="BN805" s="276"/>
      <c r="BO805" s="283"/>
      <c r="BP805" s="276"/>
      <c r="BQ805" s="283"/>
      <c r="BR805" s="283"/>
      <c r="BS805" s="276"/>
    </row>
    <row r="806" spans="12:71" ht="12" customHeight="1">
      <c r="L806" s="283"/>
      <c r="M806" s="276"/>
      <c r="N806" s="283"/>
      <c r="O806" s="276"/>
      <c r="P806" s="283"/>
      <c r="Q806" s="276"/>
      <c r="S806" s="283"/>
      <c r="T806" s="276"/>
      <c r="W806" s="283"/>
      <c r="X806" s="276"/>
      <c r="Y806" s="283"/>
      <c r="Z806" s="276"/>
      <c r="AA806" s="283"/>
      <c r="AB806" s="276"/>
      <c r="AC806" s="283"/>
      <c r="AE806" s="283"/>
      <c r="AF806" s="276"/>
      <c r="AI806" s="283"/>
      <c r="AJ806" s="276"/>
      <c r="AK806" s="283"/>
      <c r="AL806" s="276"/>
      <c r="AM806" s="283"/>
      <c r="AN806" s="276"/>
      <c r="AO806" s="283"/>
      <c r="AP806" s="276"/>
      <c r="AQ806" s="283"/>
      <c r="AR806" s="276"/>
      <c r="AT806" s="283"/>
      <c r="AU806" s="276"/>
      <c r="AV806" s="283"/>
      <c r="AW806" s="276"/>
      <c r="AX806" s="283"/>
      <c r="AY806" s="276"/>
      <c r="AZ806" s="283"/>
      <c r="BA806" s="276"/>
      <c r="BB806" s="283"/>
      <c r="BC806" s="276"/>
      <c r="BD806" s="283"/>
      <c r="BE806" s="276"/>
      <c r="BG806" s="283"/>
      <c r="BH806" s="276"/>
      <c r="BI806" s="283"/>
      <c r="BJ806" s="276"/>
      <c r="BK806" s="283"/>
      <c r="BL806" s="276"/>
      <c r="BM806" s="283"/>
      <c r="BN806" s="276"/>
      <c r="BO806" s="283"/>
      <c r="BP806" s="276"/>
      <c r="BQ806" s="283"/>
      <c r="BR806" s="283"/>
      <c r="BS806" s="276"/>
    </row>
    <row r="807" spans="12:71" ht="12" customHeight="1">
      <c r="L807" s="283"/>
      <c r="M807" s="276"/>
      <c r="N807" s="283"/>
      <c r="O807" s="276"/>
      <c r="P807" s="283"/>
      <c r="Q807" s="276"/>
      <c r="S807" s="283"/>
      <c r="T807" s="276"/>
      <c r="W807" s="283"/>
      <c r="X807" s="276"/>
      <c r="Y807" s="283"/>
      <c r="Z807" s="276"/>
      <c r="AA807" s="283"/>
      <c r="AB807" s="276"/>
      <c r="AC807" s="283"/>
      <c r="AE807" s="283"/>
      <c r="AF807" s="276"/>
      <c r="AI807" s="283"/>
      <c r="AJ807" s="276"/>
      <c r="AK807" s="283"/>
      <c r="AL807" s="276"/>
      <c r="AM807" s="283"/>
      <c r="AN807" s="276"/>
      <c r="AO807" s="283"/>
      <c r="AP807" s="276"/>
      <c r="AQ807" s="283"/>
      <c r="AR807" s="276"/>
      <c r="AT807" s="283"/>
      <c r="AU807" s="276"/>
      <c r="AV807" s="283"/>
      <c r="AW807" s="276"/>
      <c r="AX807" s="283"/>
      <c r="AY807" s="276"/>
      <c r="AZ807" s="283"/>
      <c r="BA807" s="276"/>
      <c r="BB807" s="283"/>
      <c r="BC807" s="276"/>
      <c r="BD807" s="283"/>
      <c r="BE807" s="276"/>
      <c r="BG807" s="283"/>
      <c r="BH807" s="276"/>
      <c r="BI807" s="283"/>
      <c r="BJ807" s="276"/>
      <c r="BK807" s="283"/>
      <c r="BL807" s="276"/>
      <c r="BM807" s="283"/>
      <c r="BN807" s="276"/>
      <c r="BO807" s="283"/>
      <c r="BP807" s="276"/>
      <c r="BQ807" s="283"/>
      <c r="BR807" s="283"/>
      <c r="BS807" s="276"/>
    </row>
    <row r="808" spans="12:71" ht="12" customHeight="1">
      <c r="L808" s="283"/>
      <c r="M808" s="276"/>
      <c r="N808" s="283"/>
      <c r="O808" s="276"/>
      <c r="P808" s="283"/>
      <c r="Q808" s="276"/>
      <c r="S808" s="283"/>
      <c r="T808" s="276"/>
      <c r="W808" s="283"/>
      <c r="X808" s="276"/>
      <c r="Y808" s="283"/>
      <c r="Z808" s="276"/>
      <c r="AA808" s="283"/>
      <c r="AB808" s="276"/>
      <c r="AC808" s="283"/>
      <c r="AE808" s="283"/>
      <c r="AF808" s="276"/>
      <c r="AI808" s="283"/>
      <c r="AJ808" s="276"/>
      <c r="AK808" s="283"/>
      <c r="AL808" s="276"/>
      <c r="AM808" s="283"/>
      <c r="AN808" s="276"/>
      <c r="AO808" s="283"/>
      <c r="AP808" s="276"/>
      <c r="AQ808" s="283"/>
      <c r="AR808" s="276"/>
      <c r="AT808" s="283"/>
      <c r="AU808" s="276"/>
      <c r="AV808" s="283"/>
      <c r="AW808" s="276"/>
      <c r="AX808" s="283"/>
      <c r="AY808" s="276"/>
      <c r="AZ808" s="283"/>
      <c r="BA808" s="276"/>
      <c r="BB808" s="283"/>
      <c r="BC808" s="276"/>
      <c r="BD808" s="283"/>
      <c r="BE808" s="276"/>
      <c r="BG808" s="283"/>
      <c r="BH808" s="276"/>
      <c r="BI808" s="283"/>
      <c r="BJ808" s="276"/>
      <c r="BK808" s="283"/>
      <c r="BL808" s="276"/>
      <c r="BM808" s="283"/>
      <c r="BN808" s="276"/>
      <c r="BO808" s="283"/>
      <c r="BP808" s="276"/>
      <c r="BQ808" s="283"/>
      <c r="BR808" s="283"/>
      <c r="BS808" s="276"/>
    </row>
    <row r="809" spans="12:71" ht="12" customHeight="1">
      <c r="L809" s="283"/>
      <c r="M809" s="276"/>
      <c r="N809" s="283"/>
      <c r="O809" s="276"/>
      <c r="P809" s="283"/>
      <c r="Q809" s="276"/>
      <c r="S809" s="283"/>
      <c r="T809" s="276"/>
      <c r="W809" s="283"/>
      <c r="X809" s="276"/>
      <c r="Y809" s="283"/>
      <c r="Z809" s="276"/>
      <c r="AA809" s="283"/>
      <c r="AB809" s="276"/>
      <c r="AC809" s="283"/>
      <c r="AE809" s="283"/>
      <c r="AF809" s="276"/>
      <c r="AI809" s="283"/>
      <c r="AJ809" s="276"/>
      <c r="AK809" s="283"/>
      <c r="AL809" s="276"/>
      <c r="AM809" s="283"/>
      <c r="AN809" s="276"/>
      <c r="AO809" s="283"/>
      <c r="AP809" s="276"/>
      <c r="AQ809" s="283"/>
      <c r="AR809" s="276"/>
      <c r="AT809" s="283"/>
      <c r="AU809" s="276"/>
      <c r="AV809" s="283"/>
      <c r="AW809" s="276"/>
      <c r="AX809" s="283"/>
      <c r="AY809" s="276"/>
      <c r="AZ809" s="283"/>
      <c r="BA809" s="276"/>
      <c r="BB809" s="283"/>
      <c r="BC809" s="276"/>
      <c r="BD809" s="283"/>
      <c r="BE809" s="276"/>
      <c r="BG809" s="283"/>
      <c r="BH809" s="276"/>
      <c r="BI809" s="283"/>
      <c r="BJ809" s="276"/>
      <c r="BK809" s="283"/>
      <c r="BL809" s="276"/>
      <c r="BM809" s="283"/>
      <c r="BN809" s="276"/>
      <c r="BO809" s="283"/>
      <c r="BP809" s="276"/>
      <c r="BQ809" s="283"/>
      <c r="BR809" s="283"/>
      <c r="BS809" s="276"/>
    </row>
    <row r="810" spans="12:71" ht="12" customHeight="1">
      <c r="L810" s="283"/>
      <c r="M810" s="276"/>
      <c r="N810" s="283"/>
      <c r="O810" s="276"/>
      <c r="P810" s="283"/>
      <c r="Q810" s="276"/>
      <c r="S810" s="283"/>
      <c r="T810" s="276"/>
      <c r="W810" s="283"/>
      <c r="X810" s="276"/>
      <c r="Y810" s="283"/>
      <c r="Z810" s="276"/>
      <c r="AA810" s="283"/>
      <c r="AB810" s="276"/>
      <c r="AC810" s="283"/>
      <c r="AE810" s="283"/>
      <c r="AF810" s="276"/>
      <c r="AI810" s="283"/>
      <c r="AJ810" s="276"/>
      <c r="AK810" s="283"/>
      <c r="AL810" s="276"/>
      <c r="AM810" s="283"/>
      <c r="AN810" s="276"/>
      <c r="AO810" s="283"/>
      <c r="AP810" s="276"/>
      <c r="AQ810" s="283"/>
      <c r="AR810" s="276"/>
      <c r="AT810" s="283"/>
      <c r="AU810" s="276"/>
      <c r="AV810" s="283"/>
      <c r="AW810" s="276"/>
      <c r="AX810" s="283"/>
      <c r="AY810" s="276"/>
      <c r="AZ810" s="283"/>
      <c r="BA810" s="276"/>
      <c r="BB810" s="283"/>
      <c r="BC810" s="276"/>
      <c r="BD810" s="283"/>
      <c r="BE810" s="276"/>
      <c r="BG810" s="283"/>
      <c r="BH810" s="276"/>
      <c r="BI810" s="283"/>
      <c r="BJ810" s="276"/>
      <c r="BK810" s="283"/>
      <c r="BL810" s="276"/>
      <c r="BM810" s="283"/>
      <c r="BN810" s="276"/>
      <c r="BO810" s="283"/>
      <c r="BP810" s="276"/>
      <c r="BQ810" s="283"/>
      <c r="BR810" s="283"/>
      <c r="BS810" s="276"/>
    </row>
    <row r="811" spans="12:71" ht="12" customHeight="1">
      <c r="L811" s="283"/>
      <c r="M811" s="276"/>
      <c r="N811" s="283"/>
      <c r="O811" s="276"/>
      <c r="P811" s="283"/>
      <c r="Q811" s="276"/>
      <c r="S811" s="283"/>
      <c r="T811" s="276"/>
      <c r="W811" s="283"/>
      <c r="X811" s="276"/>
      <c r="Y811" s="283"/>
      <c r="Z811" s="276"/>
      <c r="AA811" s="283"/>
      <c r="AB811" s="276"/>
      <c r="AC811" s="283"/>
      <c r="AE811" s="283"/>
      <c r="AF811" s="276"/>
      <c r="AI811" s="283"/>
      <c r="AJ811" s="276"/>
      <c r="AK811" s="283"/>
      <c r="AL811" s="276"/>
      <c r="AM811" s="283"/>
      <c r="AN811" s="276"/>
      <c r="AO811" s="283"/>
      <c r="AP811" s="276"/>
      <c r="AQ811" s="283"/>
      <c r="AR811" s="276"/>
      <c r="AT811" s="283"/>
      <c r="AU811" s="276"/>
      <c r="AV811" s="283"/>
      <c r="AW811" s="276"/>
      <c r="AX811" s="283"/>
      <c r="AY811" s="276"/>
      <c r="AZ811" s="283"/>
      <c r="BA811" s="276"/>
      <c r="BB811" s="283"/>
      <c r="BC811" s="276"/>
      <c r="BD811" s="283"/>
      <c r="BE811" s="276"/>
      <c r="BG811" s="283"/>
      <c r="BH811" s="276"/>
      <c r="BI811" s="283"/>
      <c r="BJ811" s="276"/>
      <c r="BK811" s="283"/>
      <c r="BL811" s="276"/>
      <c r="BM811" s="283"/>
      <c r="BN811" s="276"/>
      <c r="BO811" s="283"/>
      <c r="BP811" s="276"/>
      <c r="BQ811" s="283"/>
      <c r="BR811" s="283"/>
      <c r="BS811" s="276"/>
    </row>
    <row r="812" spans="12:71" ht="12" customHeight="1">
      <c r="L812" s="283"/>
      <c r="M812" s="276"/>
      <c r="N812" s="283"/>
      <c r="O812" s="276"/>
      <c r="P812" s="283"/>
      <c r="Q812" s="276"/>
      <c r="S812" s="283"/>
      <c r="T812" s="276"/>
      <c r="W812" s="283"/>
      <c r="X812" s="276"/>
      <c r="Y812" s="283"/>
      <c r="Z812" s="276"/>
      <c r="AA812" s="283"/>
      <c r="AB812" s="276"/>
      <c r="AC812" s="283"/>
      <c r="AE812" s="283"/>
      <c r="AF812" s="276"/>
      <c r="AI812" s="283"/>
      <c r="AJ812" s="276"/>
      <c r="AK812" s="283"/>
      <c r="AL812" s="276"/>
      <c r="AM812" s="283"/>
      <c r="AN812" s="276"/>
      <c r="AO812" s="283"/>
      <c r="AP812" s="276"/>
      <c r="AQ812" s="283"/>
      <c r="AR812" s="276"/>
      <c r="AT812" s="283"/>
      <c r="AU812" s="276"/>
      <c r="AV812" s="283"/>
      <c r="AW812" s="276"/>
      <c r="AX812" s="283"/>
      <c r="AY812" s="276"/>
      <c r="AZ812" s="283"/>
      <c r="BA812" s="276"/>
      <c r="BB812" s="283"/>
      <c r="BC812" s="276"/>
      <c r="BD812" s="283"/>
      <c r="BE812" s="276"/>
      <c r="BG812" s="283"/>
      <c r="BH812" s="276"/>
      <c r="BI812" s="283"/>
      <c r="BJ812" s="276"/>
      <c r="BK812" s="283"/>
      <c r="BL812" s="276"/>
      <c r="BM812" s="283"/>
      <c r="BN812" s="276"/>
      <c r="BO812" s="283"/>
      <c r="BP812" s="276"/>
      <c r="BQ812" s="283"/>
      <c r="BR812" s="283"/>
      <c r="BS812" s="276"/>
    </row>
    <row r="813" spans="12:71" ht="12" customHeight="1">
      <c r="L813" s="283"/>
      <c r="M813" s="276"/>
      <c r="N813" s="283"/>
      <c r="O813" s="276"/>
      <c r="P813" s="283"/>
      <c r="Q813" s="276"/>
      <c r="S813" s="283"/>
      <c r="T813" s="276"/>
      <c r="W813" s="283"/>
      <c r="X813" s="276"/>
      <c r="Y813" s="283"/>
      <c r="Z813" s="276"/>
      <c r="AA813" s="283"/>
      <c r="AB813" s="276"/>
      <c r="AC813" s="283"/>
      <c r="AE813" s="283"/>
      <c r="AF813" s="276"/>
      <c r="AI813" s="283"/>
      <c r="AJ813" s="276"/>
      <c r="AK813" s="283"/>
      <c r="AL813" s="276"/>
      <c r="AM813" s="283"/>
      <c r="AN813" s="276"/>
      <c r="AO813" s="283"/>
      <c r="AP813" s="276"/>
      <c r="AQ813" s="283"/>
      <c r="AR813" s="276"/>
      <c r="AT813" s="283"/>
      <c r="AU813" s="276"/>
      <c r="AV813" s="283"/>
      <c r="AW813" s="276"/>
      <c r="AX813" s="283"/>
      <c r="AY813" s="276"/>
      <c r="AZ813" s="283"/>
      <c r="BA813" s="276"/>
      <c r="BB813" s="283"/>
      <c r="BC813" s="276"/>
      <c r="BD813" s="283"/>
      <c r="BE813" s="276"/>
      <c r="BG813" s="283"/>
      <c r="BH813" s="276"/>
      <c r="BI813" s="283"/>
      <c r="BJ813" s="276"/>
      <c r="BK813" s="283"/>
      <c r="BL813" s="276"/>
      <c r="BM813" s="283"/>
      <c r="BN813" s="276"/>
      <c r="BO813" s="283"/>
      <c r="BP813" s="276"/>
      <c r="BQ813" s="283"/>
      <c r="BR813" s="283"/>
      <c r="BS813" s="276"/>
    </row>
    <row r="814" spans="12:71" ht="12" customHeight="1">
      <c r="L814" s="283"/>
      <c r="M814" s="276"/>
      <c r="N814" s="283"/>
      <c r="O814" s="276"/>
      <c r="P814" s="283"/>
      <c r="Q814" s="276"/>
      <c r="S814" s="283"/>
      <c r="T814" s="276"/>
      <c r="W814" s="283"/>
      <c r="X814" s="276"/>
      <c r="Y814" s="283"/>
      <c r="Z814" s="276"/>
      <c r="AA814" s="283"/>
      <c r="AB814" s="276"/>
      <c r="AC814" s="283"/>
      <c r="AE814" s="283"/>
      <c r="AF814" s="276"/>
      <c r="AI814" s="283"/>
      <c r="AJ814" s="276"/>
      <c r="AK814" s="283"/>
      <c r="AL814" s="276"/>
      <c r="AM814" s="283"/>
      <c r="AN814" s="276"/>
      <c r="AO814" s="283"/>
      <c r="AP814" s="276"/>
      <c r="AQ814" s="283"/>
      <c r="AR814" s="276"/>
      <c r="AT814" s="283"/>
      <c r="AU814" s="276"/>
      <c r="AV814" s="283"/>
      <c r="AW814" s="276"/>
      <c r="AX814" s="283"/>
      <c r="AY814" s="276"/>
      <c r="AZ814" s="283"/>
      <c r="BA814" s="276"/>
      <c r="BB814" s="283"/>
      <c r="BC814" s="276"/>
      <c r="BD814" s="283"/>
      <c r="BE814" s="276"/>
      <c r="BG814" s="283"/>
      <c r="BH814" s="276"/>
      <c r="BI814" s="283"/>
      <c r="BJ814" s="276"/>
      <c r="BK814" s="283"/>
      <c r="BL814" s="276"/>
      <c r="BM814" s="283"/>
      <c r="BN814" s="276"/>
      <c r="BO814" s="283"/>
      <c r="BP814" s="276"/>
      <c r="BQ814" s="283"/>
      <c r="BR814" s="283"/>
      <c r="BS814" s="276"/>
    </row>
    <row r="815" spans="12:71" ht="12" customHeight="1">
      <c r="L815" s="283"/>
      <c r="M815" s="276"/>
      <c r="N815" s="283"/>
      <c r="O815" s="276"/>
      <c r="P815" s="283"/>
      <c r="Q815" s="276"/>
      <c r="S815" s="283"/>
      <c r="T815" s="276"/>
      <c r="W815" s="283"/>
      <c r="X815" s="276"/>
      <c r="Y815" s="283"/>
      <c r="Z815" s="276"/>
      <c r="AA815" s="283"/>
      <c r="AB815" s="276"/>
      <c r="AC815" s="283"/>
      <c r="AE815" s="283"/>
      <c r="AF815" s="276"/>
      <c r="AI815" s="283"/>
      <c r="AJ815" s="276"/>
      <c r="AK815" s="283"/>
      <c r="AL815" s="276"/>
      <c r="AM815" s="283"/>
      <c r="AN815" s="276"/>
      <c r="AO815" s="283"/>
      <c r="AP815" s="276"/>
      <c r="AQ815" s="283"/>
      <c r="AR815" s="276"/>
      <c r="AT815" s="283"/>
      <c r="AU815" s="276"/>
      <c r="AV815" s="283"/>
      <c r="AW815" s="276"/>
      <c r="AX815" s="283"/>
      <c r="AY815" s="276"/>
      <c r="AZ815" s="283"/>
      <c r="BA815" s="276"/>
      <c r="BB815" s="283"/>
      <c r="BC815" s="276"/>
      <c r="BD815" s="283"/>
      <c r="BE815" s="276"/>
      <c r="BG815" s="283"/>
      <c r="BH815" s="276"/>
      <c r="BI815" s="283"/>
      <c r="BJ815" s="276"/>
      <c r="BK815" s="283"/>
      <c r="BL815" s="276"/>
      <c r="BM815" s="283"/>
      <c r="BN815" s="276"/>
      <c r="BO815" s="283"/>
      <c r="BP815" s="276"/>
      <c r="BQ815" s="283"/>
      <c r="BR815" s="283"/>
      <c r="BS815" s="276"/>
    </row>
    <row r="816" spans="12:71" ht="12" customHeight="1">
      <c r="L816" s="283"/>
      <c r="M816" s="276"/>
      <c r="N816" s="283"/>
      <c r="O816" s="276"/>
      <c r="P816" s="283"/>
      <c r="Q816" s="276"/>
      <c r="S816" s="283"/>
      <c r="T816" s="276"/>
      <c r="W816" s="283"/>
      <c r="X816" s="276"/>
      <c r="Y816" s="283"/>
      <c r="Z816" s="276"/>
      <c r="AA816" s="283"/>
      <c r="AB816" s="276"/>
      <c r="AC816" s="283"/>
      <c r="AE816" s="283"/>
      <c r="AF816" s="276"/>
      <c r="AI816" s="283"/>
      <c r="AJ816" s="276"/>
      <c r="AK816" s="283"/>
      <c r="AL816" s="276"/>
      <c r="AM816" s="283"/>
      <c r="AN816" s="276"/>
      <c r="AO816" s="283"/>
      <c r="AP816" s="276"/>
      <c r="AQ816" s="283"/>
      <c r="AR816" s="276"/>
      <c r="AT816" s="283"/>
      <c r="AU816" s="276"/>
      <c r="AV816" s="283"/>
      <c r="AW816" s="276"/>
      <c r="AX816" s="283"/>
      <c r="AY816" s="276"/>
      <c r="AZ816" s="283"/>
      <c r="BA816" s="276"/>
      <c r="BB816" s="283"/>
      <c r="BC816" s="276"/>
      <c r="BD816" s="283"/>
      <c r="BE816" s="276"/>
      <c r="BG816" s="283"/>
      <c r="BH816" s="276"/>
      <c r="BI816" s="283"/>
      <c r="BJ816" s="276"/>
      <c r="BK816" s="283"/>
      <c r="BL816" s="276"/>
      <c r="BM816" s="283"/>
      <c r="BN816" s="276"/>
      <c r="BO816" s="283"/>
      <c r="BP816" s="276"/>
      <c r="BQ816" s="283"/>
      <c r="BR816" s="283"/>
      <c r="BS816" s="276"/>
    </row>
    <row r="817" spans="12:71" ht="12" customHeight="1">
      <c r="L817" s="283"/>
      <c r="M817" s="276"/>
      <c r="N817" s="283"/>
      <c r="O817" s="276"/>
      <c r="P817" s="283"/>
      <c r="Q817" s="276"/>
      <c r="S817" s="283"/>
      <c r="T817" s="276"/>
      <c r="W817" s="283"/>
      <c r="X817" s="276"/>
      <c r="Y817" s="283"/>
      <c r="Z817" s="276"/>
      <c r="AA817" s="283"/>
      <c r="AB817" s="276"/>
      <c r="AC817" s="283"/>
      <c r="AE817" s="283"/>
      <c r="AF817" s="276"/>
      <c r="AI817" s="283"/>
      <c r="AJ817" s="276"/>
      <c r="AK817" s="283"/>
      <c r="AL817" s="276"/>
      <c r="AM817" s="283"/>
      <c r="AN817" s="276"/>
      <c r="AO817" s="283"/>
      <c r="AP817" s="276"/>
      <c r="AQ817" s="283"/>
      <c r="AR817" s="276"/>
      <c r="AT817" s="283"/>
      <c r="AU817" s="276"/>
      <c r="AV817" s="283"/>
      <c r="AW817" s="276"/>
      <c r="AX817" s="283"/>
      <c r="AY817" s="276"/>
      <c r="AZ817" s="283"/>
      <c r="BA817" s="276"/>
      <c r="BB817" s="283"/>
      <c r="BC817" s="276"/>
      <c r="BD817" s="283"/>
      <c r="BE817" s="276"/>
      <c r="BG817" s="283"/>
      <c r="BH817" s="276"/>
      <c r="BI817" s="283"/>
      <c r="BJ817" s="276"/>
      <c r="BK817" s="283"/>
      <c r="BL817" s="276"/>
      <c r="BM817" s="283"/>
      <c r="BN817" s="276"/>
      <c r="BO817" s="283"/>
      <c r="BP817" s="276"/>
      <c r="BQ817" s="283"/>
      <c r="BR817" s="283"/>
      <c r="BS817" s="276"/>
    </row>
    <row r="818" spans="12:71" ht="12" customHeight="1">
      <c r="L818" s="283"/>
      <c r="M818" s="276"/>
      <c r="N818" s="283"/>
      <c r="O818" s="276"/>
      <c r="P818" s="283"/>
      <c r="Q818" s="276"/>
      <c r="S818" s="283"/>
      <c r="T818" s="276"/>
      <c r="W818" s="283"/>
      <c r="X818" s="276"/>
      <c r="Y818" s="283"/>
      <c r="Z818" s="276"/>
      <c r="AA818" s="283"/>
      <c r="AB818" s="276"/>
      <c r="AC818" s="283"/>
      <c r="AE818" s="283"/>
      <c r="AF818" s="276"/>
      <c r="AI818" s="283"/>
      <c r="AJ818" s="276"/>
      <c r="AK818" s="283"/>
      <c r="AL818" s="276"/>
      <c r="AM818" s="283"/>
      <c r="AN818" s="276"/>
      <c r="AO818" s="283"/>
      <c r="AP818" s="276"/>
      <c r="AQ818" s="283"/>
      <c r="AR818" s="276"/>
      <c r="AT818" s="283"/>
      <c r="AU818" s="276"/>
      <c r="AV818" s="283"/>
      <c r="AW818" s="276"/>
      <c r="AX818" s="283"/>
      <c r="AY818" s="276"/>
      <c r="AZ818" s="283"/>
      <c r="BA818" s="276"/>
      <c r="BB818" s="283"/>
      <c r="BC818" s="276"/>
      <c r="BD818" s="283"/>
      <c r="BE818" s="276"/>
      <c r="BG818" s="283"/>
      <c r="BH818" s="276"/>
      <c r="BI818" s="283"/>
      <c r="BJ818" s="276"/>
      <c r="BK818" s="283"/>
      <c r="BL818" s="276"/>
      <c r="BM818" s="283"/>
      <c r="BN818" s="276"/>
      <c r="BO818" s="283"/>
      <c r="BP818" s="276"/>
      <c r="BQ818" s="283"/>
      <c r="BR818" s="283"/>
      <c r="BS818" s="276"/>
    </row>
    <row r="819" spans="12:71" ht="12" customHeight="1">
      <c r="L819" s="283"/>
      <c r="M819" s="276"/>
      <c r="N819" s="283"/>
      <c r="O819" s="276"/>
      <c r="P819" s="283"/>
      <c r="Q819" s="276"/>
      <c r="S819" s="283"/>
      <c r="T819" s="276"/>
      <c r="W819" s="283"/>
      <c r="X819" s="276"/>
      <c r="Y819" s="283"/>
      <c r="Z819" s="276"/>
      <c r="AA819" s="283"/>
      <c r="AB819" s="276"/>
      <c r="AC819" s="283"/>
      <c r="AE819" s="283"/>
      <c r="AF819" s="276"/>
      <c r="AI819" s="283"/>
      <c r="AJ819" s="276"/>
      <c r="AK819" s="283"/>
      <c r="AL819" s="276"/>
      <c r="AM819" s="283"/>
      <c r="AN819" s="276"/>
      <c r="AO819" s="283"/>
      <c r="AP819" s="276"/>
      <c r="AQ819" s="283"/>
      <c r="AR819" s="276"/>
      <c r="AT819" s="283"/>
      <c r="AU819" s="276"/>
      <c r="AV819" s="283"/>
      <c r="AW819" s="276"/>
      <c r="AX819" s="283"/>
      <c r="AY819" s="276"/>
      <c r="AZ819" s="283"/>
      <c r="BA819" s="276"/>
      <c r="BB819" s="283"/>
      <c r="BC819" s="276"/>
      <c r="BD819" s="283"/>
      <c r="BE819" s="276"/>
      <c r="BG819" s="283"/>
      <c r="BH819" s="276"/>
      <c r="BI819" s="283"/>
      <c r="BJ819" s="276"/>
      <c r="BK819" s="283"/>
      <c r="BL819" s="276"/>
      <c r="BM819" s="283"/>
      <c r="BN819" s="276"/>
      <c r="BO819" s="283"/>
      <c r="BP819" s="276"/>
      <c r="BQ819" s="283"/>
      <c r="BR819" s="283"/>
      <c r="BS819" s="276"/>
    </row>
    <row r="820" spans="12:71" ht="12" customHeight="1">
      <c r="L820" s="283"/>
      <c r="M820" s="276"/>
      <c r="N820" s="283"/>
      <c r="O820" s="276"/>
      <c r="P820" s="283"/>
      <c r="Q820" s="276"/>
      <c r="S820" s="283"/>
      <c r="T820" s="276"/>
      <c r="W820" s="283"/>
      <c r="X820" s="276"/>
      <c r="Y820" s="283"/>
      <c r="Z820" s="276"/>
      <c r="AA820" s="283"/>
      <c r="AB820" s="276"/>
      <c r="AC820" s="283"/>
      <c r="AE820" s="283"/>
      <c r="AF820" s="276"/>
      <c r="AI820" s="283"/>
      <c r="AJ820" s="276"/>
      <c r="AK820" s="283"/>
      <c r="AL820" s="276"/>
      <c r="AM820" s="283"/>
      <c r="AN820" s="276"/>
      <c r="AO820" s="283"/>
      <c r="AP820" s="276"/>
      <c r="AQ820" s="283"/>
      <c r="AR820" s="276"/>
      <c r="AT820" s="283"/>
      <c r="AU820" s="276"/>
      <c r="AV820" s="283"/>
      <c r="AW820" s="276"/>
      <c r="AX820" s="283"/>
      <c r="AY820" s="276"/>
      <c r="AZ820" s="283"/>
      <c r="BA820" s="276"/>
      <c r="BB820" s="283"/>
      <c r="BC820" s="276"/>
      <c r="BD820" s="283"/>
      <c r="BE820" s="276"/>
      <c r="BG820" s="283"/>
      <c r="BH820" s="276"/>
      <c r="BI820" s="283"/>
      <c r="BJ820" s="276"/>
      <c r="BK820" s="283"/>
      <c r="BL820" s="276"/>
      <c r="BM820" s="283"/>
      <c r="BN820" s="276"/>
      <c r="BO820" s="283"/>
      <c r="BP820" s="276"/>
      <c r="BQ820" s="283"/>
      <c r="BR820" s="283"/>
      <c r="BS820" s="276"/>
    </row>
    <row r="821" spans="12:71" ht="12" customHeight="1">
      <c r="L821" s="283"/>
      <c r="M821" s="276"/>
      <c r="N821" s="283"/>
      <c r="O821" s="276"/>
      <c r="P821" s="283"/>
      <c r="Q821" s="276"/>
      <c r="S821" s="283"/>
      <c r="T821" s="276"/>
      <c r="W821" s="283"/>
      <c r="X821" s="276"/>
      <c r="Y821" s="283"/>
      <c r="Z821" s="276"/>
      <c r="AA821" s="283"/>
      <c r="AB821" s="276"/>
      <c r="AC821" s="283"/>
      <c r="AE821" s="283"/>
      <c r="AF821" s="276"/>
      <c r="AI821" s="283"/>
      <c r="AJ821" s="276"/>
      <c r="AK821" s="283"/>
      <c r="AL821" s="276"/>
      <c r="AM821" s="283"/>
      <c r="AN821" s="276"/>
      <c r="AO821" s="283"/>
      <c r="AP821" s="276"/>
      <c r="AQ821" s="283"/>
      <c r="AR821" s="276"/>
      <c r="AT821" s="283"/>
      <c r="AU821" s="276"/>
      <c r="AV821" s="283"/>
      <c r="AW821" s="276"/>
      <c r="AX821" s="283"/>
      <c r="AY821" s="276"/>
      <c r="AZ821" s="283"/>
      <c r="BA821" s="276"/>
      <c r="BB821" s="283"/>
      <c r="BC821" s="276"/>
      <c r="BD821" s="283"/>
      <c r="BE821" s="276"/>
      <c r="BG821" s="283"/>
      <c r="BH821" s="276"/>
      <c r="BI821" s="283"/>
      <c r="BJ821" s="276"/>
      <c r="BK821" s="283"/>
      <c r="BL821" s="276"/>
      <c r="BM821" s="283"/>
      <c r="BN821" s="276"/>
      <c r="BO821" s="283"/>
      <c r="BP821" s="276"/>
      <c r="BQ821" s="283"/>
      <c r="BR821" s="283"/>
      <c r="BS821" s="276"/>
    </row>
    <row r="822" spans="12:71" ht="12" customHeight="1">
      <c r="L822" s="283"/>
      <c r="M822" s="276"/>
      <c r="N822" s="283"/>
      <c r="O822" s="276"/>
      <c r="P822" s="283"/>
      <c r="Q822" s="276"/>
      <c r="S822" s="283"/>
      <c r="T822" s="276"/>
      <c r="W822" s="283"/>
      <c r="X822" s="276"/>
      <c r="Y822" s="283"/>
      <c r="Z822" s="276"/>
      <c r="AA822" s="283"/>
      <c r="AB822" s="276"/>
      <c r="AC822" s="283"/>
      <c r="AE822" s="283"/>
      <c r="AF822" s="276"/>
      <c r="AI822" s="283"/>
      <c r="AJ822" s="276"/>
      <c r="AK822" s="283"/>
      <c r="AL822" s="276"/>
      <c r="AM822" s="283"/>
      <c r="AN822" s="276"/>
      <c r="AO822" s="283"/>
      <c r="AP822" s="276"/>
      <c r="AQ822" s="283"/>
      <c r="AR822" s="276"/>
      <c r="AT822" s="283"/>
      <c r="AU822" s="276"/>
      <c r="AV822" s="283"/>
      <c r="AW822" s="276"/>
      <c r="AX822" s="283"/>
      <c r="AY822" s="276"/>
      <c r="AZ822" s="283"/>
      <c r="BA822" s="276"/>
      <c r="BB822" s="283"/>
      <c r="BC822" s="276"/>
      <c r="BD822" s="283"/>
      <c r="BE822" s="276"/>
      <c r="BG822" s="283"/>
      <c r="BH822" s="276"/>
      <c r="BI822" s="283"/>
      <c r="BJ822" s="276"/>
      <c r="BK822" s="283"/>
      <c r="BL822" s="276"/>
      <c r="BM822" s="283"/>
      <c r="BN822" s="276"/>
      <c r="BO822" s="283"/>
      <c r="BP822" s="276"/>
      <c r="BQ822" s="283"/>
      <c r="BR822" s="283"/>
      <c r="BS822" s="276"/>
    </row>
    <row r="823" spans="12:71" ht="12" customHeight="1">
      <c r="L823" s="283"/>
      <c r="M823" s="276"/>
      <c r="N823" s="283"/>
      <c r="O823" s="276"/>
      <c r="P823" s="283"/>
      <c r="Q823" s="276"/>
      <c r="S823" s="283"/>
      <c r="T823" s="276"/>
      <c r="W823" s="283"/>
      <c r="X823" s="276"/>
      <c r="Y823" s="283"/>
      <c r="Z823" s="276"/>
      <c r="AA823" s="283"/>
      <c r="AB823" s="276"/>
      <c r="AC823" s="283"/>
      <c r="AE823" s="283"/>
      <c r="AF823" s="276"/>
      <c r="AI823" s="283"/>
      <c r="AJ823" s="276"/>
      <c r="AK823" s="283"/>
      <c r="AL823" s="276"/>
      <c r="AM823" s="283"/>
      <c r="AN823" s="276"/>
      <c r="AO823" s="283"/>
      <c r="AP823" s="276"/>
      <c r="AQ823" s="283"/>
      <c r="AR823" s="276"/>
      <c r="AT823" s="283"/>
      <c r="AU823" s="276"/>
      <c r="AV823" s="283"/>
      <c r="AW823" s="276"/>
      <c r="AX823" s="283"/>
      <c r="AY823" s="276"/>
      <c r="AZ823" s="283"/>
      <c r="BA823" s="276"/>
      <c r="BB823" s="283"/>
      <c r="BC823" s="276"/>
      <c r="BD823" s="283"/>
      <c r="BE823" s="276"/>
      <c r="BG823" s="283"/>
      <c r="BH823" s="276"/>
      <c r="BI823" s="283"/>
      <c r="BJ823" s="276"/>
      <c r="BK823" s="283"/>
      <c r="BL823" s="276"/>
      <c r="BM823" s="283"/>
      <c r="BN823" s="276"/>
      <c r="BO823" s="283"/>
      <c r="BP823" s="276"/>
      <c r="BQ823" s="283"/>
      <c r="BR823" s="283"/>
      <c r="BS823" s="276"/>
    </row>
    <row r="824" spans="12:71" ht="12" customHeight="1">
      <c r="L824" s="283"/>
      <c r="M824" s="276"/>
      <c r="N824" s="283"/>
      <c r="O824" s="276"/>
      <c r="P824" s="283"/>
      <c r="Q824" s="276"/>
      <c r="S824" s="283"/>
      <c r="T824" s="276"/>
      <c r="W824" s="283"/>
      <c r="X824" s="276"/>
      <c r="Y824" s="283"/>
      <c r="Z824" s="276"/>
      <c r="AA824" s="283"/>
      <c r="AB824" s="276"/>
      <c r="AC824" s="283"/>
      <c r="AE824" s="283"/>
      <c r="AF824" s="276"/>
      <c r="AI824" s="283"/>
      <c r="AJ824" s="276"/>
      <c r="AK824" s="283"/>
      <c r="AL824" s="276"/>
      <c r="AM824" s="283"/>
      <c r="AN824" s="276"/>
      <c r="AO824" s="283"/>
      <c r="AP824" s="276"/>
      <c r="AQ824" s="283"/>
      <c r="AR824" s="276"/>
      <c r="AT824" s="283"/>
      <c r="AU824" s="276"/>
      <c r="AV824" s="283"/>
      <c r="AW824" s="276"/>
      <c r="AX824" s="283"/>
      <c r="AY824" s="276"/>
      <c r="AZ824" s="283"/>
      <c r="BA824" s="276"/>
      <c r="BB824" s="283"/>
      <c r="BC824" s="276"/>
      <c r="BD824" s="283"/>
      <c r="BE824" s="276"/>
      <c r="BG824" s="283"/>
      <c r="BH824" s="276"/>
      <c r="BI824" s="283"/>
      <c r="BJ824" s="276"/>
      <c r="BK824" s="283"/>
      <c r="BL824" s="276"/>
      <c r="BM824" s="283"/>
      <c r="BN824" s="276"/>
      <c r="BO824" s="283"/>
      <c r="BP824" s="276"/>
      <c r="BQ824" s="283"/>
      <c r="BR824" s="283"/>
      <c r="BS824" s="276"/>
    </row>
    <row r="825" spans="12:71" ht="12" customHeight="1">
      <c r="L825" s="283"/>
      <c r="M825" s="276"/>
      <c r="N825" s="283"/>
      <c r="O825" s="276"/>
      <c r="P825" s="283"/>
      <c r="Q825" s="276"/>
      <c r="S825" s="283"/>
      <c r="T825" s="276"/>
      <c r="W825" s="283"/>
      <c r="X825" s="276"/>
      <c r="Y825" s="283"/>
      <c r="Z825" s="276"/>
      <c r="AA825" s="283"/>
      <c r="AB825" s="276"/>
      <c r="AC825" s="283"/>
      <c r="AE825" s="283"/>
      <c r="AF825" s="276"/>
      <c r="AI825" s="283"/>
      <c r="AJ825" s="276"/>
      <c r="AK825" s="283"/>
      <c r="AL825" s="276"/>
      <c r="AM825" s="283"/>
      <c r="AN825" s="276"/>
      <c r="AO825" s="283"/>
      <c r="AP825" s="276"/>
      <c r="AQ825" s="283"/>
      <c r="AR825" s="276"/>
      <c r="AT825" s="283"/>
      <c r="AU825" s="276"/>
      <c r="AV825" s="283"/>
      <c r="AW825" s="276"/>
      <c r="AX825" s="283"/>
      <c r="AY825" s="276"/>
      <c r="AZ825" s="283"/>
      <c r="BA825" s="276"/>
      <c r="BB825" s="283"/>
      <c r="BC825" s="276"/>
      <c r="BD825" s="283"/>
      <c r="BE825" s="276"/>
      <c r="BG825" s="283"/>
      <c r="BH825" s="276"/>
      <c r="BI825" s="283"/>
      <c r="BJ825" s="276"/>
      <c r="BK825" s="283"/>
      <c r="BL825" s="276"/>
      <c r="BM825" s="283"/>
      <c r="BN825" s="276"/>
      <c r="BO825" s="283"/>
      <c r="BP825" s="276"/>
      <c r="BQ825" s="283"/>
      <c r="BR825" s="283"/>
      <c r="BS825" s="276"/>
    </row>
    <row r="826" spans="12:71" ht="12" customHeight="1">
      <c r="L826" s="283"/>
      <c r="M826" s="276"/>
      <c r="N826" s="283"/>
      <c r="O826" s="276"/>
      <c r="P826" s="283"/>
      <c r="Q826" s="276"/>
      <c r="S826" s="283"/>
      <c r="T826" s="276"/>
      <c r="W826" s="283"/>
      <c r="X826" s="276"/>
      <c r="Y826" s="283"/>
      <c r="Z826" s="276"/>
      <c r="AA826" s="283"/>
      <c r="AB826" s="276"/>
      <c r="AC826" s="283"/>
      <c r="AE826" s="283"/>
      <c r="AF826" s="276"/>
      <c r="AI826" s="283"/>
      <c r="AJ826" s="276"/>
      <c r="AK826" s="283"/>
      <c r="AL826" s="276"/>
      <c r="AM826" s="283"/>
      <c r="AN826" s="276"/>
      <c r="AO826" s="283"/>
      <c r="AP826" s="276"/>
      <c r="AQ826" s="283"/>
      <c r="AR826" s="276"/>
      <c r="AT826" s="283"/>
      <c r="AU826" s="276"/>
      <c r="AV826" s="283"/>
      <c r="AW826" s="276"/>
      <c r="AX826" s="283"/>
      <c r="AY826" s="276"/>
      <c r="AZ826" s="283"/>
      <c r="BA826" s="276"/>
      <c r="BB826" s="283"/>
      <c r="BC826" s="276"/>
      <c r="BD826" s="283"/>
      <c r="BE826" s="276"/>
      <c r="BG826" s="283"/>
      <c r="BH826" s="276"/>
      <c r="BI826" s="283"/>
      <c r="BJ826" s="276"/>
      <c r="BK826" s="283"/>
      <c r="BL826" s="276"/>
      <c r="BM826" s="283"/>
      <c r="BN826" s="276"/>
      <c r="BO826" s="283"/>
      <c r="BP826" s="276"/>
      <c r="BQ826" s="283"/>
      <c r="BR826" s="283"/>
      <c r="BS826" s="276"/>
    </row>
    <row r="827" spans="12:71" ht="12" customHeight="1">
      <c r="L827" s="283"/>
      <c r="M827" s="276"/>
      <c r="N827" s="283"/>
      <c r="O827" s="276"/>
      <c r="P827" s="283"/>
      <c r="Q827" s="276"/>
      <c r="S827" s="283"/>
      <c r="T827" s="276"/>
      <c r="W827" s="283"/>
      <c r="X827" s="276"/>
      <c r="Y827" s="283"/>
      <c r="Z827" s="276"/>
      <c r="AA827" s="283"/>
      <c r="AB827" s="276"/>
      <c r="AC827" s="283"/>
      <c r="AE827" s="283"/>
      <c r="AF827" s="276"/>
      <c r="AI827" s="283"/>
      <c r="AJ827" s="276"/>
      <c r="AK827" s="283"/>
      <c r="AL827" s="276"/>
      <c r="AM827" s="283"/>
      <c r="AN827" s="276"/>
      <c r="AO827" s="283"/>
      <c r="AP827" s="276"/>
      <c r="AQ827" s="283"/>
      <c r="AR827" s="276"/>
      <c r="AT827" s="283"/>
      <c r="AU827" s="276"/>
      <c r="AV827" s="283"/>
      <c r="AW827" s="276"/>
      <c r="AX827" s="283"/>
      <c r="AY827" s="276"/>
      <c r="AZ827" s="283"/>
      <c r="BA827" s="276"/>
      <c r="BB827" s="283"/>
      <c r="BC827" s="276"/>
      <c r="BD827" s="283"/>
      <c r="BE827" s="276"/>
      <c r="BG827" s="283"/>
      <c r="BH827" s="276"/>
      <c r="BI827" s="283"/>
      <c r="BJ827" s="276"/>
      <c r="BK827" s="283"/>
      <c r="BL827" s="276"/>
      <c r="BM827" s="283"/>
      <c r="BN827" s="276"/>
      <c r="BO827" s="283"/>
      <c r="BP827" s="276"/>
      <c r="BQ827" s="283"/>
      <c r="BR827" s="283"/>
      <c r="BS827" s="276"/>
    </row>
    <row r="828" spans="12:71" ht="12" customHeight="1">
      <c r="L828" s="283"/>
      <c r="M828" s="276"/>
      <c r="N828" s="283"/>
      <c r="O828" s="276"/>
      <c r="P828" s="283"/>
      <c r="Q828" s="276"/>
      <c r="S828" s="283"/>
      <c r="T828" s="276"/>
      <c r="W828" s="283"/>
      <c r="X828" s="276"/>
      <c r="Y828" s="283"/>
      <c r="Z828" s="276"/>
      <c r="AA828" s="283"/>
      <c r="AB828" s="276"/>
      <c r="AC828" s="283"/>
      <c r="AE828" s="283"/>
      <c r="AF828" s="276"/>
      <c r="AI828" s="283"/>
      <c r="AJ828" s="276"/>
      <c r="AK828" s="283"/>
      <c r="AL828" s="276"/>
      <c r="AM828" s="283"/>
      <c r="AN828" s="276"/>
      <c r="AO828" s="283"/>
      <c r="AP828" s="276"/>
      <c r="AQ828" s="283"/>
      <c r="AR828" s="276"/>
      <c r="AT828" s="283"/>
      <c r="AU828" s="276"/>
      <c r="AV828" s="283"/>
      <c r="AW828" s="276"/>
      <c r="AX828" s="283"/>
      <c r="AY828" s="276"/>
      <c r="AZ828" s="283"/>
      <c r="BA828" s="276"/>
      <c r="BB828" s="283"/>
      <c r="BC828" s="276"/>
      <c r="BD828" s="283"/>
      <c r="BE828" s="276"/>
      <c r="BG828" s="283"/>
      <c r="BH828" s="276"/>
      <c r="BI828" s="283"/>
      <c r="BJ828" s="276"/>
      <c r="BK828" s="283"/>
      <c r="BL828" s="276"/>
      <c r="BM828" s="283"/>
      <c r="BN828" s="276"/>
      <c r="BO828" s="283"/>
      <c r="BP828" s="276"/>
      <c r="BQ828" s="283"/>
      <c r="BR828" s="283"/>
      <c r="BS828" s="276"/>
    </row>
    <row r="829" spans="12:71" ht="12" customHeight="1">
      <c r="L829" s="283"/>
      <c r="M829" s="276"/>
      <c r="N829" s="283"/>
      <c r="O829" s="276"/>
      <c r="P829" s="283"/>
      <c r="Q829" s="276"/>
      <c r="S829" s="283"/>
      <c r="T829" s="276"/>
      <c r="W829" s="283"/>
      <c r="X829" s="276"/>
      <c r="Y829" s="283"/>
      <c r="Z829" s="276"/>
      <c r="AA829" s="283"/>
      <c r="AB829" s="276"/>
      <c r="AC829" s="283"/>
      <c r="AE829" s="283"/>
      <c r="AF829" s="276"/>
      <c r="AI829" s="283"/>
      <c r="AJ829" s="276"/>
      <c r="AK829" s="283"/>
      <c r="AL829" s="276"/>
      <c r="AM829" s="283"/>
      <c r="AN829" s="276"/>
      <c r="AO829" s="283"/>
      <c r="AP829" s="276"/>
      <c r="AQ829" s="283"/>
      <c r="AR829" s="276"/>
      <c r="AT829" s="283"/>
      <c r="AU829" s="276"/>
      <c r="AV829" s="283"/>
      <c r="AW829" s="276"/>
      <c r="AX829" s="283"/>
      <c r="AY829" s="276"/>
      <c r="AZ829" s="283"/>
      <c r="BA829" s="276"/>
      <c r="BB829" s="283"/>
      <c r="BC829" s="276"/>
      <c r="BD829" s="283"/>
      <c r="BE829" s="276"/>
      <c r="BG829" s="283"/>
      <c r="BH829" s="276"/>
      <c r="BI829" s="283"/>
      <c r="BJ829" s="276"/>
      <c r="BK829" s="283"/>
      <c r="BL829" s="276"/>
      <c r="BM829" s="283"/>
      <c r="BN829" s="276"/>
      <c r="BO829" s="283"/>
      <c r="BP829" s="276"/>
      <c r="BQ829" s="283"/>
      <c r="BR829" s="283"/>
      <c r="BS829" s="276"/>
    </row>
    <row r="830" spans="12:71" ht="12" customHeight="1">
      <c r="L830" s="283"/>
      <c r="M830" s="276"/>
      <c r="N830" s="283"/>
      <c r="O830" s="276"/>
      <c r="P830" s="283"/>
      <c r="Q830" s="276"/>
      <c r="S830" s="283"/>
      <c r="T830" s="276"/>
      <c r="W830" s="283"/>
      <c r="X830" s="276"/>
      <c r="Y830" s="283"/>
      <c r="Z830" s="276"/>
      <c r="AA830" s="283"/>
      <c r="AB830" s="276"/>
      <c r="AC830" s="283"/>
      <c r="AE830" s="283"/>
      <c r="AF830" s="276"/>
      <c r="AI830" s="283"/>
      <c r="AJ830" s="276"/>
      <c r="AK830" s="283"/>
      <c r="AL830" s="276"/>
      <c r="AM830" s="283"/>
      <c r="AN830" s="276"/>
      <c r="AO830" s="283"/>
      <c r="AP830" s="276"/>
      <c r="AQ830" s="283"/>
      <c r="AR830" s="276"/>
      <c r="AT830" s="283"/>
      <c r="AU830" s="276"/>
      <c r="AV830" s="283"/>
      <c r="AW830" s="276"/>
      <c r="AX830" s="283"/>
      <c r="AY830" s="276"/>
      <c r="AZ830" s="283"/>
      <c r="BA830" s="276"/>
      <c r="BB830" s="283"/>
      <c r="BC830" s="276"/>
      <c r="BD830" s="283"/>
      <c r="BE830" s="276"/>
      <c r="BG830" s="283"/>
      <c r="BH830" s="276"/>
      <c r="BI830" s="283"/>
      <c r="BJ830" s="276"/>
      <c r="BK830" s="283"/>
      <c r="BL830" s="276"/>
      <c r="BM830" s="283"/>
      <c r="BN830" s="276"/>
      <c r="BO830" s="283"/>
      <c r="BP830" s="276"/>
      <c r="BQ830" s="283"/>
      <c r="BR830" s="283"/>
      <c r="BS830" s="276"/>
    </row>
    <row r="831" spans="12:71" ht="12" customHeight="1">
      <c r="L831" s="283"/>
      <c r="M831" s="276"/>
      <c r="N831" s="283"/>
      <c r="O831" s="276"/>
      <c r="P831" s="283"/>
      <c r="Q831" s="276"/>
      <c r="S831" s="283"/>
      <c r="T831" s="276"/>
      <c r="W831" s="283"/>
      <c r="X831" s="276"/>
      <c r="Y831" s="283"/>
      <c r="Z831" s="276"/>
      <c r="AA831" s="283"/>
      <c r="AB831" s="276"/>
      <c r="AC831" s="283"/>
      <c r="AE831" s="283"/>
      <c r="AF831" s="276"/>
      <c r="AI831" s="283"/>
      <c r="AJ831" s="276"/>
      <c r="AK831" s="283"/>
      <c r="AL831" s="276"/>
      <c r="AM831" s="283"/>
      <c r="AN831" s="276"/>
      <c r="AO831" s="283"/>
      <c r="AP831" s="276"/>
      <c r="AQ831" s="283"/>
      <c r="AR831" s="276"/>
      <c r="AT831" s="283"/>
      <c r="AU831" s="276"/>
      <c r="AV831" s="283"/>
      <c r="AW831" s="276"/>
      <c r="AX831" s="283"/>
      <c r="AY831" s="276"/>
      <c r="AZ831" s="283"/>
      <c r="BA831" s="276"/>
      <c r="BB831" s="283"/>
      <c r="BC831" s="276"/>
      <c r="BD831" s="283"/>
      <c r="BE831" s="276"/>
      <c r="BG831" s="283"/>
      <c r="BH831" s="276"/>
      <c r="BI831" s="283"/>
      <c r="BJ831" s="276"/>
      <c r="BK831" s="283"/>
      <c r="BL831" s="276"/>
      <c r="BM831" s="283"/>
      <c r="BN831" s="276"/>
      <c r="BO831" s="283"/>
      <c r="BP831" s="276"/>
      <c r="BQ831" s="283"/>
      <c r="BR831" s="283"/>
      <c r="BS831" s="276"/>
    </row>
    <row r="832" spans="12:71" ht="12" customHeight="1">
      <c r="L832" s="283"/>
      <c r="M832" s="276"/>
      <c r="N832" s="283"/>
      <c r="O832" s="276"/>
      <c r="P832" s="283"/>
      <c r="Q832" s="276"/>
      <c r="S832" s="283"/>
      <c r="T832" s="276"/>
      <c r="W832" s="283"/>
      <c r="X832" s="276"/>
      <c r="Y832" s="283"/>
      <c r="Z832" s="276"/>
      <c r="AA832" s="283"/>
      <c r="AB832" s="276"/>
      <c r="AC832" s="283"/>
      <c r="AE832" s="283"/>
      <c r="AF832" s="276"/>
      <c r="AI832" s="283"/>
      <c r="AJ832" s="276"/>
      <c r="AK832" s="283"/>
      <c r="AL832" s="276"/>
      <c r="AM832" s="283"/>
      <c r="AN832" s="276"/>
      <c r="AO832" s="283"/>
      <c r="AP832" s="276"/>
      <c r="AQ832" s="283"/>
      <c r="AR832" s="276"/>
      <c r="AT832" s="283"/>
      <c r="AU832" s="276"/>
      <c r="AV832" s="283"/>
      <c r="AW832" s="276"/>
      <c r="AX832" s="283"/>
      <c r="AY832" s="276"/>
      <c r="AZ832" s="283"/>
      <c r="BA832" s="276"/>
      <c r="BB832" s="283"/>
      <c r="BC832" s="276"/>
      <c r="BD832" s="283"/>
      <c r="BE832" s="276"/>
      <c r="BG832" s="283"/>
      <c r="BH832" s="276"/>
      <c r="BI832" s="283"/>
      <c r="BJ832" s="276"/>
      <c r="BK832" s="283"/>
      <c r="BL832" s="276"/>
      <c r="BM832" s="283"/>
      <c r="BN832" s="276"/>
      <c r="BO832" s="283"/>
      <c r="BP832" s="276"/>
      <c r="BQ832" s="283"/>
      <c r="BR832" s="283"/>
      <c r="BS832" s="276"/>
    </row>
    <row r="833" spans="12:71" ht="12" customHeight="1">
      <c r="L833" s="283"/>
      <c r="M833" s="276"/>
      <c r="N833" s="283"/>
      <c r="O833" s="276"/>
      <c r="P833" s="283"/>
      <c r="Q833" s="276"/>
      <c r="S833" s="283"/>
      <c r="T833" s="276"/>
      <c r="W833" s="283"/>
      <c r="X833" s="276"/>
      <c r="Y833" s="283"/>
      <c r="Z833" s="276"/>
      <c r="AA833" s="283"/>
      <c r="AB833" s="276"/>
      <c r="AC833" s="283"/>
      <c r="AE833" s="283"/>
      <c r="AF833" s="276"/>
      <c r="AI833" s="283"/>
      <c r="AJ833" s="276"/>
      <c r="AK833" s="283"/>
      <c r="AL833" s="276"/>
      <c r="AM833" s="283"/>
      <c r="AN833" s="276"/>
      <c r="AO833" s="283"/>
      <c r="AP833" s="276"/>
      <c r="AQ833" s="283"/>
      <c r="AR833" s="276"/>
      <c r="AT833" s="283"/>
      <c r="AU833" s="276"/>
      <c r="AV833" s="283"/>
      <c r="AW833" s="276"/>
      <c r="AX833" s="283"/>
      <c r="AY833" s="276"/>
      <c r="AZ833" s="283"/>
      <c r="BA833" s="276"/>
      <c r="BB833" s="283"/>
      <c r="BC833" s="276"/>
      <c r="BD833" s="283"/>
      <c r="BE833" s="276"/>
      <c r="BG833" s="283"/>
      <c r="BH833" s="276"/>
      <c r="BI833" s="283"/>
      <c r="BJ833" s="276"/>
      <c r="BK833" s="283"/>
      <c r="BL833" s="276"/>
      <c r="BM833" s="283"/>
      <c r="BN833" s="276"/>
      <c r="BO833" s="283"/>
      <c r="BP833" s="276"/>
      <c r="BQ833" s="283"/>
      <c r="BR833" s="283"/>
      <c r="BS833" s="276"/>
    </row>
    <row r="834" spans="12:71" ht="12" customHeight="1">
      <c r="L834" s="283"/>
      <c r="M834" s="276"/>
      <c r="N834" s="283"/>
      <c r="O834" s="276"/>
      <c r="P834" s="283"/>
      <c r="Q834" s="276"/>
      <c r="S834" s="283"/>
      <c r="T834" s="276"/>
      <c r="W834" s="283"/>
      <c r="X834" s="276"/>
      <c r="Y834" s="283"/>
      <c r="Z834" s="276"/>
      <c r="AA834" s="283"/>
      <c r="AB834" s="276"/>
      <c r="AC834" s="283"/>
      <c r="AE834" s="283"/>
      <c r="AF834" s="276"/>
      <c r="AI834" s="283"/>
      <c r="AJ834" s="276"/>
      <c r="AK834" s="283"/>
      <c r="AL834" s="276"/>
      <c r="AM834" s="283"/>
      <c r="AN834" s="276"/>
      <c r="AO834" s="283"/>
      <c r="AP834" s="276"/>
      <c r="AQ834" s="283"/>
      <c r="AR834" s="276"/>
      <c r="AT834" s="283"/>
      <c r="AU834" s="276"/>
      <c r="AV834" s="283"/>
      <c r="AW834" s="276"/>
      <c r="AX834" s="283"/>
      <c r="AY834" s="276"/>
      <c r="AZ834" s="283"/>
      <c r="BA834" s="276"/>
      <c r="BB834" s="283"/>
      <c r="BC834" s="276"/>
      <c r="BD834" s="283"/>
      <c r="BE834" s="276"/>
      <c r="BG834" s="283"/>
      <c r="BH834" s="276"/>
      <c r="BI834" s="283"/>
      <c r="BJ834" s="276"/>
      <c r="BK834" s="283"/>
      <c r="BL834" s="276"/>
      <c r="BM834" s="283"/>
      <c r="BN834" s="276"/>
      <c r="BO834" s="283"/>
      <c r="BP834" s="276"/>
      <c r="BQ834" s="283"/>
      <c r="BR834" s="283"/>
      <c r="BS834" s="276"/>
    </row>
    <row r="835" spans="12:71" ht="12" customHeight="1">
      <c r="L835" s="283"/>
      <c r="M835" s="276"/>
      <c r="N835" s="283"/>
      <c r="O835" s="276"/>
      <c r="P835" s="283"/>
      <c r="Q835" s="276"/>
      <c r="S835" s="283"/>
      <c r="T835" s="276"/>
      <c r="W835" s="283"/>
      <c r="X835" s="276"/>
      <c r="Y835" s="283"/>
      <c r="Z835" s="276"/>
      <c r="AA835" s="283"/>
      <c r="AB835" s="276"/>
      <c r="AC835" s="283"/>
      <c r="AE835" s="283"/>
      <c r="AF835" s="276"/>
      <c r="AI835" s="283"/>
      <c r="AJ835" s="276"/>
      <c r="AK835" s="283"/>
      <c r="AL835" s="276"/>
      <c r="AM835" s="283"/>
      <c r="AN835" s="276"/>
      <c r="AO835" s="283"/>
      <c r="AP835" s="276"/>
      <c r="AQ835" s="283"/>
      <c r="AR835" s="276"/>
      <c r="AT835" s="283"/>
      <c r="AU835" s="276"/>
      <c r="AV835" s="283"/>
      <c r="AW835" s="276"/>
      <c r="AX835" s="283"/>
      <c r="AY835" s="276"/>
      <c r="AZ835" s="283"/>
      <c r="BA835" s="276"/>
      <c r="BB835" s="283"/>
      <c r="BC835" s="276"/>
      <c r="BD835" s="283"/>
      <c r="BE835" s="276"/>
      <c r="BG835" s="283"/>
      <c r="BH835" s="276"/>
      <c r="BI835" s="283"/>
      <c r="BJ835" s="276"/>
      <c r="BK835" s="283"/>
      <c r="BL835" s="276"/>
      <c r="BM835" s="283"/>
      <c r="BN835" s="276"/>
      <c r="BO835" s="283"/>
      <c r="BP835" s="276"/>
      <c r="BQ835" s="283"/>
      <c r="BR835" s="283"/>
      <c r="BS835" s="276"/>
    </row>
    <row r="836" spans="12:71" ht="12" customHeight="1">
      <c r="L836" s="283"/>
      <c r="M836" s="276"/>
      <c r="N836" s="283"/>
      <c r="O836" s="276"/>
      <c r="P836" s="283"/>
      <c r="Q836" s="276"/>
      <c r="S836" s="283"/>
      <c r="T836" s="276"/>
      <c r="W836" s="283"/>
      <c r="X836" s="276"/>
      <c r="Y836" s="283"/>
      <c r="Z836" s="276"/>
      <c r="AA836" s="283"/>
      <c r="AB836" s="276"/>
      <c r="AC836" s="283"/>
      <c r="AE836" s="283"/>
      <c r="AF836" s="276"/>
      <c r="AI836" s="283"/>
      <c r="AJ836" s="276"/>
      <c r="AK836" s="283"/>
      <c r="AL836" s="276"/>
      <c r="AM836" s="283"/>
      <c r="AN836" s="276"/>
      <c r="AO836" s="283"/>
      <c r="AP836" s="276"/>
      <c r="AQ836" s="283"/>
      <c r="AR836" s="276"/>
      <c r="AT836" s="283"/>
      <c r="AU836" s="276"/>
      <c r="AV836" s="283"/>
      <c r="AW836" s="276"/>
      <c r="AX836" s="283"/>
      <c r="AY836" s="276"/>
      <c r="AZ836" s="283"/>
      <c r="BA836" s="276"/>
      <c r="BB836" s="283"/>
      <c r="BC836" s="276"/>
      <c r="BD836" s="283"/>
      <c r="BE836" s="276"/>
      <c r="BG836" s="283"/>
      <c r="BH836" s="276"/>
      <c r="BI836" s="283"/>
      <c r="BJ836" s="276"/>
      <c r="BK836" s="283"/>
      <c r="BL836" s="276"/>
      <c r="BM836" s="283"/>
      <c r="BN836" s="276"/>
      <c r="BO836" s="283"/>
      <c r="BP836" s="276"/>
      <c r="BQ836" s="283"/>
      <c r="BR836" s="283"/>
      <c r="BS836" s="276"/>
    </row>
    <row r="837" spans="12:71" ht="12" customHeight="1">
      <c r="L837" s="283"/>
      <c r="M837" s="276"/>
      <c r="N837" s="283"/>
      <c r="O837" s="276"/>
      <c r="P837" s="283"/>
      <c r="Q837" s="276"/>
      <c r="S837" s="283"/>
      <c r="T837" s="276"/>
      <c r="W837" s="283"/>
      <c r="X837" s="276"/>
      <c r="Y837" s="283"/>
      <c r="Z837" s="276"/>
      <c r="AA837" s="283"/>
      <c r="AB837" s="276"/>
      <c r="AC837" s="283"/>
      <c r="AE837" s="283"/>
      <c r="AF837" s="276"/>
      <c r="AI837" s="283"/>
      <c r="AJ837" s="276"/>
      <c r="AK837" s="283"/>
      <c r="AL837" s="276"/>
      <c r="AM837" s="283"/>
      <c r="AN837" s="276"/>
      <c r="AO837" s="283"/>
      <c r="AP837" s="276"/>
      <c r="AQ837" s="283"/>
      <c r="AR837" s="276"/>
      <c r="AT837" s="283"/>
      <c r="AU837" s="276"/>
      <c r="AV837" s="283"/>
      <c r="AW837" s="276"/>
      <c r="AX837" s="283"/>
      <c r="AY837" s="276"/>
      <c r="AZ837" s="283"/>
      <c r="BA837" s="276"/>
      <c r="BB837" s="283"/>
      <c r="BC837" s="276"/>
      <c r="BD837" s="283"/>
      <c r="BE837" s="276"/>
      <c r="BG837" s="283"/>
      <c r="BH837" s="276"/>
      <c r="BI837" s="283"/>
      <c r="BJ837" s="276"/>
      <c r="BK837" s="283"/>
      <c r="BL837" s="276"/>
      <c r="BM837" s="283"/>
      <c r="BN837" s="276"/>
      <c r="BO837" s="283"/>
      <c r="BP837" s="276"/>
      <c r="BQ837" s="283"/>
      <c r="BR837" s="283"/>
      <c r="BS837" s="276"/>
    </row>
    <row r="838" spans="12:71" ht="12" customHeight="1">
      <c r="L838" s="283"/>
      <c r="M838" s="276"/>
      <c r="N838" s="283"/>
      <c r="O838" s="276"/>
      <c r="P838" s="283"/>
      <c r="Q838" s="276"/>
      <c r="S838" s="283"/>
      <c r="T838" s="276"/>
      <c r="W838" s="283"/>
      <c r="X838" s="276"/>
      <c r="Y838" s="283"/>
      <c r="Z838" s="276"/>
      <c r="AA838" s="283"/>
      <c r="AB838" s="276"/>
      <c r="AC838" s="283"/>
      <c r="AE838" s="283"/>
      <c r="AF838" s="276"/>
      <c r="AI838" s="283"/>
      <c r="AJ838" s="276"/>
      <c r="AK838" s="283"/>
      <c r="AL838" s="276"/>
      <c r="AM838" s="283"/>
      <c r="AN838" s="276"/>
      <c r="AO838" s="283"/>
      <c r="AP838" s="276"/>
      <c r="AQ838" s="283"/>
      <c r="AR838" s="276"/>
      <c r="AT838" s="283"/>
      <c r="AU838" s="276"/>
      <c r="AV838" s="283"/>
      <c r="AW838" s="276"/>
      <c r="AX838" s="283"/>
      <c r="AY838" s="276"/>
      <c r="AZ838" s="283"/>
      <c r="BA838" s="276"/>
      <c r="BB838" s="283"/>
      <c r="BC838" s="276"/>
      <c r="BD838" s="283"/>
      <c r="BE838" s="276"/>
      <c r="BG838" s="283"/>
      <c r="BH838" s="276"/>
      <c r="BI838" s="283"/>
      <c r="BJ838" s="276"/>
      <c r="BK838" s="283"/>
      <c r="BL838" s="276"/>
      <c r="BM838" s="283"/>
      <c r="BN838" s="276"/>
      <c r="BO838" s="283"/>
      <c r="BP838" s="276"/>
      <c r="BQ838" s="283"/>
      <c r="BR838" s="283"/>
      <c r="BS838" s="276"/>
    </row>
    <row r="839" spans="12:71" ht="12" customHeight="1">
      <c r="L839" s="283"/>
      <c r="M839" s="276"/>
      <c r="N839" s="283"/>
      <c r="O839" s="276"/>
      <c r="P839" s="283"/>
      <c r="Q839" s="276"/>
      <c r="S839" s="283"/>
      <c r="T839" s="276"/>
      <c r="W839" s="283"/>
      <c r="X839" s="276"/>
      <c r="Y839" s="283"/>
      <c r="Z839" s="276"/>
      <c r="AA839" s="283"/>
      <c r="AB839" s="276"/>
      <c r="AC839" s="283"/>
      <c r="AE839" s="283"/>
      <c r="AF839" s="276"/>
      <c r="AI839" s="283"/>
      <c r="AJ839" s="276"/>
      <c r="AK839" s="283"/>
      <c r="AL839" s="276"/>
      <c r="AM839" s="283"/>
      <c r="AN839" s="276"/>
      <c r="AO839" s="283"/>
      <c r="AP839" s="276"/>
      <c r="AQ839" s="283"/>
      <c r="AR839" s="276"/>
      <c r="AT839" s="283"/>
      <c r="AU839" s="276"/>
      <c r="AV839" s="283"/>
      <c r="AW839" s="276"/>
      <c r="AX839" s="283"/>
      <c r="AY839" s="276"/>
      <c r="AZ839" s="283"/>
      <c r="BA839" s="276"/>
      <c r="BB839" s="283"/>
      <c r="BC839" s="276"/>
      <c r="BD839" s="283"/>
      <c r="BE839" s="276"/>
      <c r="BG839" s="283"/>
      <c r="BH839" s="276"/>
      <c r="BI839" s="283"/>
      <c r="BJ839" s="276"/>
      <c r="BK839" s="283"/>
      <c r="BL839" s="276"/>
      <c r="BM839" s="283"/>
      <c r="BN839" s="276"/>
      <c r="BO839" s="283"/>
      <c r="BP839" s="276"/>
      <c r="BQ839" s="283"/>
      <c r="BR839" s="283"/>
      <c r="BS839" s="276"/>
    </row>
    <row r="840" spans="12:71" ht="12" customHeight="1">
      <c r="L840" s="283"/>
      <c r="M840" s="276"/>
      <c r="N840" s="283"/>
      <c r="O840" s="276"/>
      <c r="P840" s="283"/>
      <c r="Q840" s="276"/>
      <c r="S840" s="283"/>
      <c r="T840" s="276"/>
      <c r="W840" s="283"/>
      <c r="X840" s="276"/>
      <c r="Y840" s="283"/>
      <c r="Z840" s="276"/>
      <c r="AA840" s="283"/>
      <c r="AB840" s="276"/>
      <c r="AC840" s="283"/>
      <c r="AE840" s="283"/>
      <c r="AF840" s="276"/>
      <c r="AI840" s="283"/>
      <c r="AJ840" s="276"/>
      <c r="AK840" s="283"/>
      <c r="AL840" s="276"/>
      <c r="AM840" s="283"/>
      <c r="AN840" s="276"/>
      <c r="AO840" s="283"/>
      <c r="AP840" s="276"/>
      <c r="AQ840" s="283"/>
      <c r="AR840" s="276"/>
      <c r="AT840" s="283"/>
      <c r="AU840" s="276"/>
      <c r="AV840" s="283"/>
      <c r="AW840" s="276"/>
      <c r="AX840" s="283"/>
      <c r="AY840" s="276"/>
      <c r="AZ840" s="283"/>
      <c r="BA840" s="276"/>
      <c r="BB840" s="283"/>
      <c r="BC840" s="276"/>
      <c r="BD840" s="283"/>
      <c r="BE840" s="276"/>
      <c r="BG840" s="283"/>
      <c r="BH840" s="276"/>
      <c r="BI840" s="283"/>
      <c r="BJ840" s="276"/>
      <c r="BK840" s="283"/>
      <c r="BL840" s="276"/>
      <c r="BM840" s="283"/>
      <c r="BN840" s="276"/>
      <c r="BO840" s="283"/>
      <c r="BP840" s="276"/>
      <c r="BQ840" s="283"/>
      <c r="BR840" s="283"/>
      <c r="BS840" s="276"/>
    </row>
    <row r="841" spans="12:71" ht="12" customHeight="1">
      <c r="L841" s="283"/>
      <c r="M841" s="276"/>
      <c r="N841" s="283"/>
      <c r="O841" s="276"/>
      <c r="P841" s="283"/>
      <c r="Q841" s="276"/>
      <c r="S841" s="283"/>
      <c r="T841" s="276"/>
      <c r="W841" s="283"/>
      <c r="X841" s="276"/>
      <c r="Y841" s="283"/>
      <c r="Z841" s="276"/>
      <c r="AA841" s="283"/>
      <c r="AB841" s="276"/>
      <c r="AC841" s="283"/>
      <c r="AE841" s="283"/>
      <c r="AF841" s="276"/>
      <c r="AI841" s="283"/>
      <c r="AJ841" s="276"/>
      <c r="AK841" s="283"/>
      <c r="AL841" s="276"/>
      <c r="AM841" s="283"/>
      <c r="AN841" s="276"/>
      <c r="AO841" s="283"/>
      <c r="AP841" s="276"/>
      <c r="AQ841" s="283"/>
      <c r="AR841" s="276"/>
      <c r="AT841" s="283"/>
      <c r="AU841" s="276"/>
      <c r="AV841" s="283"/>
      <c r="AW841" s="276"/>
      <c r="AX841" s="283"/>
      <c r="AY841" s="276"/>
      <c r="AZ841" s="283"/>
      <c r="BA841" s="276"/>
      <c r="BB841" s="283"/>
      <c r="BC841" s="276"/>
      <c r="BD841" s="283"/>
      <c r="BE841" s="276"/>
      <c r="BG841" s="283"/>
      <c r="BH841" s="276"/>
      <c r="BI841" s="283"/>
      <c r="BJ841" s="276"/>
      <c r="BK841" s="283"/>
      <c r="BL841" s="276"/>
      <c r="BM841" s="283"/>
      <c r="BN841" s="276"/>
      <c r="BO841" s="283"/>
      <c r="BP841" s="276"/>
      <c r="BQ841" s="283"/>
      <c r="BR841" s="283"/>
      <c r="BS841" s="276"/>
    </row>
    <row r="842" spans="12:71" ht="12" customHeight="1">
      <c r="L842" s="283"/>
      <c r="M842" s="276"/>
      <c r="N842" s="283"/>
      <c r="O842" s="276"/>
      <c r="P842" s="283"/>
      <c r="Q842" s="276"/>
      <c r="S842" s="283"/>
      <c r="T842" s="276"/>
      <c r="W842" s="283"/>
      <c r="X842" s="276"/>
      <c r="Y842" s="283"/>
      <c r="Z842" s="276"/>
      <c r="AA842" s="283"/>
      <c r="AB842" s="276"/>
      <c r="AC842" s="283"/>
      <c r="AE842" s="283"/>
      <c r="AF842" s="276"/>
      <c r="AI842" s="283"/>
      <c r="AJ842" s="276"/>
      <c r="AK842" s="283"/>
      <c r="AL842" s="276"/>
      <c r="AM842" s="283"/>
      <c r="AN842" s="276"/>
      <c r="AO842" s="283"/>
      <c r="AP842" s="276"/>
      <c r="AQ842" s="283"/>
      <c r="AR842" s="276"/>
      <c r="AT842" s="283"/>
      <c r="AU842" s="276"/>
      <c r="AV842" s="283"/>
      <c r="AW842" s="276"/>
      <c r="AX842" s="283"/>
      <c r="AY842" s="276"/>
      <c r="AZ842" s="283"/>
      <c r="BA842" s="276"/>
      <c r="BB842" s="283"/>
      <c r="BC842" s="276"/>
      <c r="BD842" s="283"/>
      <c r="BE842" s="276"/>
      <c r="BG842" s="283"/>
      <c r="BH842" s="276"/>
      <c r="BI842" s="283"/>
      <c r="BJ842" s="276"/>
      <c r="BK842" s="283"/>
      <c r="BL842" s="276"/>
      <c r="BM842" s="283"/>
      <c r="BN842" s="276"/>
      <c r="BO842" s="283"/>
      <c r="BP842" s="276"/>
      <c r="BQ842" s="283"/>
      <c r="BR842" s="283"/>
      <c r="BS842" s="276"/>
    </row>
    <row r="843" spans="12:71" ht="12" customHeight="1">
      <c r="L843" s="283"/>
      <c r="M843" s="276"/>
      <c r="N843" s="283"/>
      <c r="O843" s="276"/>
      <c r="P843" s="283"/>
      <c r="Q843" s="276"/>
      <c r="S843" s="283"/>
      <c r="T843" s="276"/>
      <c r="W843" s="283"/>
      <c r="X843" s="276"/>
      <c r="Y843" s="283"/>
      <c r="Z843" s="276"/>
      <c r="AA843" s="283"/>
      <c r="AB843" s="276"/>
      <c r="AC843" s="283"/>
      <c r="AE843" s="283"/>
      <c r="AF843" s="276"/>
      <c r="AI843" s="283"/>
      <c r="AJ843" s="276"/>
      <c r="AK843" s="283"/>
      <c r="AL843" s="276"/>
      <c r="AM843" s="283"/>
      <c r="AN843" s="276"/>
      <c r="AO843" s="283"/>
      <c r="AP843" s="276"/>
      <c r="AQ843" s="283"/>
      <c r="AR843" s="276"/>
      <c r="AT843" s="283"/>
      <c r="AU843" s="276"/>
      <c r="AV843" s="283"/>
      <c r="AW843" s="276"/>
      <c r="AX843" s="283"/>
      <c r="AY843" s="276"/>
      <c r="AZ843" s="283"/>
      <c r="BA843" s="276"/>
      <c r="BB843" s="283"/>
      <c r="BC843" s="276"/>
      <c r="BD843" s="283"/>
      <c r="BE843" s="276"/>
      <c r="BG843" s="283"/>
      <c r="BH843" s="276"/>
      <c r="BI843" s="283"/>
      <c r="BJ843" s="276"/>
      <c r="BK843" s="283"/>
      <c r="BL843" s="276"/>
      <c r="BM843" s="283"/>
      <c r="BN843" s="276"/>
      <c r="BO843" s="283"/>
      <c r="BP843" s="276"/>
      <c r="BQ843" s="283"/>
      <c r="BR843" s="283"/>
      <c r="BS843" s="276"/>
    </row>
    <row r="844" spans="12:71" ht="12" customHeight="1">
      <c r="L844" s="283"/>
      <c r="M844" s="276"/>
      <c r="N844" s="283"/>
      <c r="O844" s="276"/>
      <c r="P844" s="283"/>
      <c r="Q844" s="276"/>
      <c r="S844" s="283"/>
      <c r="T844" s="276"/>
      <c r="W844" s="283"/>
      <c r="X844" s="276"/>
      <c r="Y844" s="283"/>
      <c r="Z844" s="276"/>
      <c r="AA844" s="283"/>
      <c r="AB844" s="276"/>
      <c r="AC844" s="283"/>
      <c r="AE844" s="283"/>
      <c r="AF844" s="276"/>
      <c r="AI844" s="283"/>
      <c r="AJ844" s="276"/>
      <c r="AK844" s="283"/>
      <c r="AL844" s="276"/>
      <c r="AM844" s="283"/>
      <c r="AN844" s="276"/>
      <c r="AO844" s="283"/>
      <c r="AP844" s="276"/>
      <c r="AQ844" s="283"/>
      <c r="AR844" s="276"/>
      <c r="AT844" s="283"/>
      <c r="AU844" s="276"/>
      <c r="AV844" s="283"/>
      <c r="AW844" s="276"/>
      <c r="AX844" s="283"/>
      <c r="AY844" s="276"/>
      <c r="AZ844" s="283"/>
      <c r="BA844" s="276"/>
      <c r="BB844" s="283"/>
      <c r="BC844" s="276"/>
      <c r="BD844" s="283"/>
      <c r="BE844" s="276"/>
      <c r="BG844" s="283"/>
      <c r="BH844" s="276"/>
      <c r="BI844" s="283"/>
      <c r="BJ844" s="276"/>
      <c r="BK844" s="283"/>
      <c r="BL844" s="276"/>
      <c r="BM844" s="283"/>
      <c r="BN844" s="276"/>
      <c r="BO844" s="283"/>
      <c r="BP844" s="276"/>
      <c r="BQ844" s="283"/>
      <c r="BR844" s="283"/>
      <c r="BS844" s="276"/>
    </row>
    <row r="845" spans="12:71" ht="12" customHeight="1">
      <c r="L845" s="283"/>
      <c r="M845" s="276"/>
      <c r="N845" s="283"/>
      <c r="O845" s="276"/>
      <c r="P845" s="283"/>
      <c r="Q845" s="276"/>
      <c r="S845" s="283"/>
      <c r="T845" s="276"/>
      <c r="W845" s="283"/>
      <c r="X845" s="276"/>
      <c r="Y845" s="283"/>
      <c r="Z845" s="276"/>
      <c r="AA845" s="283"/>
      <c r="AB845" s="276"/>
      <c r="AC845" s="283"/>
      <c r="AE845" s="283"/>
      <c r="AF845" s="276"/>
      <c r="AI845" s="283"/>
      <c r="AJ845" s="276"/>
      <c r="AK845" s="283"/>
      <c r="AL845" s="276"/>
      <c r="AM845" s="283"/>
      <c r="AN845" s="276"/>
      <c r="AO845" s="283"/>
      <c r="AP845" s="276"/>
      <c r="AQ845" s="283"/>
      <c r="AR845" s="276"/>
      <c r="AT845" s="283"/>
      <c r="AU845" s="276"/>
      <c r="AV845" s="283"/>
      <c r="AW845" s="276"/>
      <c r="AX845" s="283"/>
      <c r="AY845" s="276"/>
      <c r="AZ845" s="283"/>
      <c r="BA845" s="276"/>
      <c r="BB845" s="283"/>
      <c r="BC845" s="276"/>
      <c r="BD845" s="283"/>
      <c r="BE845" s="276"/>
      <c r="BG845" s="283"/>
      <c r="BH845" s="276"/>
      <c r="BI845" s="283"/>
      <c r="BJ845" s="276"/>
      <c r="BK845" s="283"/>
      <c r="BL845" s="276"/>
      <c r="BM845" s="283"/>
      <c r="BN845" s="276"/>
      <c r="BO845" s="283"/>
      <c r="BP845" s="276"/>
      <c r="BQ845" s="283"/>
      <c r="BR845" s="283"/>
      <c r="BS845" s="276"/>
    </row>
    <row r="846" spans="12:71" ht="12" customHeight="1">
      <c r="L846" s="283"/>
      <c r="M846" s="276"/>
      <c r="N846" s="283"/>
      <c r="O846" s="276"/>
      <c r="P846" s="283"/>
      <c r="Q846" s="276"/>
      <c r="S846" s="283"/>
      <c r="T846" s="276"/>
      <c r="W846" s="283"/>
      <c r="X846" s="276"/>
      <c r="Y846" s="283"/>
      <c r="Z846" s="276"/>
      <c r="AA846" s="283"/>
      <c r="AB846" s="276"/>
      <c r="AC846" s="283"/>
      <c r="AE846" s="283"/>
      <c r="AF846" s="276"/>
      <c r="AI846" s="283"/>
      <c r="AJ846" s="276"/>
      <c r="AK846" s="283"/>
      <c r="AL846" s="276"/>
      <c r="AM846" s="283"/>
      <c r="AN846" s="276"/>
      <c r="AO846" s="283"/>
      <c r="AP846" s="276"/>
      <c r="AQ846" s="283"/>
      <c r="AR846" s="276"/>
      <c r="AT846" s="283"/>
      <c r="AU846" s="276"/>
      <c r="AV846" s="283"/>
      <c r="AW846" s="276"/>
      <c r="AX846" s="283"/>
      <c r="AY846" s="276"/>
      <c r="AZ846" s="283"/>
      <c r="BA846" s="276"/>
      <c r="BB846" s="283"/>
      <c r="BC846" s="276"/>
      <c r="BD846" s="283"/>
      <c r="BE846" s="276"/>
      <c r="BG846" s="283"/>
      <c r="BH846" s="276"/>
      <c r="BI846" s="283"/>
      <c r="BJ846" s="276"/>
      <c r="BK846" s="283"/>
      <c r="BL846" s="276"/>
      <c r="BM846" s="283"/>
      <c r="BN846" s="276"/>
      <c r="BO846" s="283"/>
      <c r="BP846" s="276"/>
      <c r="BQ846" s="283"/>
      <c r="BR846" s="283"/>
      <c r="BS846" s="276"/>
    </row>
    <row r="847" spans="12:71" ht="12" customHeight="1">
      <c r="L847" s="283"/>
      <c r="M847" s="276"/>
      <c r="N847" s="283"/>
      <c r="O847" s="276"/>
      <c r="P847" s="283"/>
      <c r="Q847" s="276"/>
      <c r="S847" s="283"/>
      <c r="T847" s="276"/>
      <c r="W847" s="283"/>
      <c r="X847" s="276"/>
      <c r="Y847" s="283"/>
      <c r="Z847" s="276"/>
      <c r="AA847" s="283"/>
      <c r="AB847" s="276"/>
      <c r="AC847" s="283"/>
      <c r="AE847" s="283"/>
      <c r="AF847" s="276"/>
      <c r="AI847" s="283"/>
      <c r="AJ847" s="276"/>
      <c r="AK847" s="283"/>
      <c r="AL847" s="276"/>
      <c r="AM847" s="283"/>
      <c r="AN847" s="276"/>
      <c r="AO847" s="283"/>
      <c r="AP847" s="276"/>
      <c r="AQ847" s="283"/>
      <c r="AR847" s="276"/>
      <c r="AT847" s="283"/>
      <c r="AU847" s="276"/>
      <c r="AV847" s="283"/>
      <c r="AW847" s="276"/>
      <c r="AX847" s="283"/>
      <c r="AY847" s="276"/>
      <c r="AZ847" s="283"/>
      <c r="BA847" s="276"/>
      <c r="BB847" s="283"/>
      <c r="BC847" s="276"/>
      <c r="BD847" s="283"/>
      <c r="BE847" s="276"/>
      <c r="BG847" s="283"/>
      <c r="BH847" s="276"/>
      <c r="BI847" s="283"/>
      <c r="BJ847" s="276"/>
      <c r="BK847" s="283"/>
      <c r="BL847" s="276"/>
      <c r="BM847" s="283"/>
      <c r="BN847" s="276"/>
      <c r="BO847" s="283"/>
      <c r="BP847" s="276"/>
      <c r="BQ847" s="283"/>
      <c r="BR847" s="283"/>
      <c r="BS847" s="276"/>
    </row>
    <row r="848" spans="12:71" ht="12" customHeight="1">
      <c r="L848" s="283"/>
      <c r="M848" s="276"/>
      <c r="N848" s="283"/>
      <c r="O848" s="276"/>
      <c r="P848" s="283"/>
      <c r="Q848" s="276"/>
      <c r="S848" s="283"/>
      <c r="T848" s="276"/>
      <c r="W848" s="283"/>
      <c r="X848" s="276"/>
      <c r="Y848" s="283"/>
      <c r="Z848" s="276"/>
      <c r="AA848" s="283"/>
      <c r="AB848" s="276"/>
      <c r="AC848" s="283"/>
      <c r="AE848" s="283"/>
      <c r="AF848" s="276"/>
      <c r="AI848" s="283"/>
      <c r="AJ848" s="276"/>
      <c r="AK848" s="283"/>
      <c r="AL848" s="276"/>
      <c r="AM848" s="283"/>
      <c r="AN848" s="276"/>
      <c r="AO848" s="283"/>
      <c r="AP848" s="276"/>
      <c r="AQ848" s="283"/>
      <c r="AR848" s="276"/>
      <c r="AT848" s="283"/>
      <c r="AU848" s="276"/>
      <c r="AV848" s="283"/>
      <c r="AW848" s="276"/>
      <c r="AX848" s="283"/>
      <c r="AY848" s="276"/>
      <c r="AZ848" s="283"/>
      <c r="BA848" s="276"/>
      <c r="BB848" s="283"/>
      <c r="BC848" s="276"/>
      <c r="BD848" s="283"/>
      <c r="BE848" s="276"/>
      <c r="BG848" s="283"/>
      <c r="BH848" s="276"/>
      <c r="BI848" s="283"/>
      <c r="BJ848" s="276"/>
      <c r="BK848" s="283"/>
      <c r="BL848" s="276"/>
      <c r="BM848" s="283"/>
      <c r="BN848" s="276"/>
      <c r="BO848" s="283"/>
      <c r="BP848" s="276"/>
      <c r="BQ848" s="283"/>
      <c r="BR848" s="283"/>
      <c r="BS848" s="276"/>
    </row>
    <row r="849" spans="12:71" ht="12" customHeight="1">
      <c r="L849" s="283"/>
      <c r="M849" s="276"/>
      <c r="N849" s="283"/>
      <c r="O849" s="276"/>
      <c r="P849" s="283"/>
      <c r="Q849" s="276"/>
      <c r="S849" s="283"/>
      <c r="T849" s="276"/>
      <c r="W849" s="283"/>
      <c r="X849" s="276"/>
      <c r="Y849" s="283"/>
      <c r="Z849" s="276"/>
      <c r="AA849" s="283"/>
      <c r="AB849" s="276"/>
      <c r="AC849" s="283"/>
      <c r="AE849" s="283"/>
      <c r="AF849" s="276"/>
      <c r="AI849" s="283"/>
      <c r="AJ849" s="276"/>
      <c r="AK849" s="283"/>
      <c r="AL849" s="276"/>
      <c r="AM849" s="283"/>
      <c r="AN849" s="276"/>
      <c r="AO849" s="283"/>
      <c r="AP849" s="276"/>
      <c r="AQ849" s="283"/>
      <c r="AR849" s="276"/>
      <c r="AT849" s="283"/>
      <c r="AU849" s="276"/>
      <c r="AV849" s="283"/>
      <c r="AW849" s="276"/>
      <c r="AX849" s="283"/>
      <c r="AY849" s="276"/>
      <c r="AZ849" s="283"/>
      <c r="BA849" s="276"/>
      <c r="BB849" s="283"/>
      <c r="BC849" s="276"/>
      <c r="BD849" s="283"/>
      <c r="BE849" s="276"/>
      <c r="BG849" s="283"/>
      <c r="BH849" s="276"/>
      <c r="BI849" s="283"/>
      <c r="BJ849" s="276"/>
      <c r="BK849" s="283"/>
      <c r="BL849" s="276"/>
      <c r="BM849" s="283"/>
      <c r="BN849" s="276"/>
      <c r="BO849" s="283"/>
      <c r="BP849" s="276"/>
      <c r="BQ849" s="283"/>
      <c r="BR849" s="283"/>
      <c r="BS849" s="276"/>
    </row>
    <row r="850" spans="12:71" ht="12" customHeight="1">
      <c r="L850" s="283"/>
      <c r="M850" s="276"/>
      <c r="N850" s="283"/>
      <c r="O850" s="276"/>
      <c r="P850" s="283"/>
      <c r="Q850" s="276"/>
      <c r="S850" s="283"/>
      <c r="T850" s="276"/>
      <c r="W850" s="283"/>
      <c r="X850" s="276"/>
      <c r="Y850" s="283"/>
      <c r="Z850" s="276"/>
      <c r="AA850" s="283"/>
      <c r="AB850" s="276"/>
      <c r="AC850" s="283"/>
      <c r="AE850" s="283"/>
      <c r="AF850" s="276"/>
      <c r="AI850" s="283"/>
      <c r="AJ850" s="276"/>
      <c r="AK850" s="283"/>
      <c r="AL850" s="276"/>
      <c r="AM850" s="283"/>
      <c r="AN850" s="276"/>
      <c r="AO850" s="283"/>
      <c r="AP850" s="276"/>
      <c r="AQ850" s="283"/>
      <c r="AR850" s="276"/>
      <c r="AT850" s="283"/>
      <c r="AU850" s="276"/>
      <c r="AV850" s="283"/>
      <c r="AW850" s="276"/>
      <c r="AX850" s="283"/>
      <c r="AY850" s="276"/>
      <c r="AZ850" s="283"/>
      <c r="BA850" s="276"/>
      <c r="BB850" s="283"/>
      <c r="BC850" s="276"/>
      <c r="BD850" s="283"/>
      <c r="BE850" s="276"/>
      <c r="BG850" s="283"/>
      <c r="BH850" s="276"/>
      <c r="BI850" s="283"/>
      <c r="BJ850" s="276"/>
      <c r="BK850" s="283"/>
      <c r="BL850" s="276"/>
      <c r="BM850" s="283"/>
      <c r="BN850" s="276"/>
      <c r="BO850" s="283"/>
      <c r="BP850" s="276"/>
      <c r="BQ850" s="283"/>
      <c r="BR850" s="283"/>
      <c r="BS850" s="276"/>
    </row>
    <row r="851" spans="12:71" ht="12" customHeight="1">
      <c r="L851" s="283"/>
      <c r="M851" s="276"/>
      <c r="N851" s="283"/>
      <c r="O851" s="276"/>
      <c r="P851" s="283"/>
      <c r="Q851" s="276"/>
      <c r="S851" s="283"/>
      <c r="T851" s="276"/>
      <c r="W851" s="283"/>
      <c r="X851" s="276"/>
      <c r="Y851" s="283"/>
      <c r="Z851" s="276"/>
      <c r="AA851" s="283"/>
      <c r="AB851" s="276"/>
      <c r="AC851" s="283"/>
      <c r="AE851" s="283"/>
      <c r="AF851" s="276"/>
      <c r="AI851" s="283"/>
      <c r="AJ851" s="276"/>
      <c r="AK851" s="283"/>
      <c r="AL851" s="276"/>
      <c r="AM851" s="283"/>
      <c r="AN851" s="276"/>
      <c r="AO851" s="283"/>
      <c r="AP851" s="276"/>
      <c r="AQ851" s="283"/>
      <c r="AR851" s="276"/>
      <c r="AT851" s="283"/>
      <c r="AU851" s="276"/>
      <c r="AV851" s="283"/>
      <c r="AW851" s="276"/>
      <c r="AX851" s="283"/>
      <c r="AY851" s="276"/>
      <c r="AZ851" s="283"/>
      <c r="BA851" s="276"/>
      <c r="BB851" s="283"/>
      <c r="BC851" s="276"/>
      <c r="BD851" s="283"/>
      <c r="BE851" s="276"/>
      <c r="BG851" s="283"/>
      <c r="BH851" s="276"/>
      <c r="BI851" s="283"/>
      <c r="BJ851" s="276"/>
      <c r="BK851" s="283"/>
      <c r="BL851" s="276"/>
      <c r="BM851" s="283"/>
      <c r="BN851" s="276"/>
      <c r="BO851" s="283"/>
      <c r="BP851" s="276"/>
      <c r="BQ851" s="283"/>
      <c r="BR851" s="283"/>
      <c r="BS851" s="276"/>
    </row>
    <row r="852" spans="12:71" ht="12" customHeight="1">
      <c r="L852" s="283"/>
      <c r="M852" s="276"/>
      <c r="N852" s="283"/>
      <c r="O852" s="276"/>
      <c r="P852" s="283"/>
      <c r="Q852" s="276"/>
      <c r="S852" s="283"/>
      <c r="T852" s="276"/>
      <c r="W852" s="283"/>
      <c r="X852" s="276"/>
      <c r="Y852" s="283"/>
      <c r="Z852" s="276"/>
      <c r="AA852" s="283"/>
      <c r="AB852" s="276"/>
      <c r="AC852" s="283"/>
      <c r="AE852" s="283"/>
      <c r="AF852" s="276"/>
      <c r="AI852" s="283"/>
      <c r="AJ852" s="276"/>
      <c r="AK852" s="283"/>
      <c r="AL852" s="276"/>
      <c r="AM852" s="283"/>
      <c r="AN852" s="276"/>
      <c r="AO852" s="283"/>
      <c r="AP852" s="276"/>
      <c r="AQ852" s="283"/>
      <c r="AR852" s="276"/>
      <c r="AT852" s="283"/>
      <c r="AU852" s="276"/>
      <c r="AV852" s="283"/>
      <c r="AW852" s="276"/>
      <c r="AX852" s="283"/>
      <c r="AY852" s="276"/>
      <c r="AZ852" s="283"/>
      <c r="BA852" s="276"/>
      <c r="BB852" s="283"/>
      <c r="BC852" s="276"/>
      <c r="BD852" s="283"/>
      <c r="BE852" s="276"/>
      <c r="BG852" s="283"/>
      <c r="BH852" s="276"/>
      <c r="BI852" s="283"/>
      <c r="BJ852" s="276"/>
      <c r="BK852" s="283"/>
      <c r="BL852" s="276"/>
      <c r="BM852" s="283"/>
      <c r="BN852" s="276"/>
      <c r="BO852" s="283"/>
      <c r="BP852" s="276"/>
      <c r="BQ852" s="283"/>
      <c r="BR852" s="283"/>
      <c r="BS852" s="276"/>
    </row>
    <row r="853" spans="12:71" ht="12" customHeight="1">
      <c r="L853" s="283"/>
      <c r="M853" s="276"/>
      <c r="N853" s="283"/>
      <c r="O853" s="276"/>
      <c r="P853" s="283"/>
      <c r="Q853" s="276"/>
      <c r="S853" s="283"/>
      <c r="T853" s="276"/>
      <c r="W853" s="283"/>
      <c r="X853" s="276"/>
      <c r="Y853" s="283"/>
      <c r="Z853" s="276"/>
      <c r="AA853" s="283"/>
      <c r="AB853" s="276"/>
      <c r="AC853" s="283"/>
      <c r="AE853" s="283"/>
      <c r="AF853" s="276"/>
      <c r="AI853" s="283"/>
      <c r="AJ853" s="276"/>
      <c r="AK853" s="283"/>
      <c r="AL853" s="276"/>
      <c r="AM853" s="283"/>
      <c r="AN853" s="276"/>
      <c r="AO853" s="283"/>
      <c r="AP853" s="276"/>
      <c r="AQ853" s="283"/>
      <c r="AR853" s="276"/>
      <c r="AT853" s="283"/>
      <c r="AU853" s="276"/>
      <c r="AV853" s="283"/>
      <c r="AW853" s="276"/>
      <c r="AX853" s="283"/>
      <c r="AY853" s="276"/>
      <c r="AZ853" s="283"/>
      <c r="BA853" s="276"/>
      <c r="BB853" s="283"/>
      <c r="BC853" s="276"/>
      <c r="BD853" s="283"/>
      <c r="BE853" s="276"/>
      <c r="BG853" s="283"/>
      <c r="BH853" s="276"/>
      <c r="BI853" s="283"/>
      <c r="BJ853" s="276"/>
      <c r="BK853" s="283"/>
      <c r="BL853" s="276"/>
      <c r="BM853" s="283"/>
      <c r="BN853" s="276"/>
      <c r="BO853" s="283"/>
      <c r="BP853" s="276"/>
      <c r="BQ853" s="283"/>
      <c r="BR853" s="283"/>
      <c r="BS853" s="276"/>
    </row>
    <row r="854" spans="12:71" ht="12" customHeight="1">
      <c r="L854" s="283"/>
      <c r="M854" s="276"/>
      <c r="N854" s="283"/>
      <c r="O854" s="276"/>
      <c r="P854" s="283"/>
      <c r="Q854" s="276"/>
      <c r="S854" s="283"/>
      <c r="T854" s="276"/>
      <c r="W854" s="283"/>
      <c r="X854" s="276"/>
      <c r="Y854" s="283"/>
      <c r="Z854" s="276"/>
      <c r="AA854" s="283"/>
      <c r="AB854" s="276"/>
      <c r="AC854" s="283"/>
      <c r="AE854" s="283"/>
      <c r="AF854" s="276"/>
      <c r="AI854" s="283"/>
      <c r="AJ854" s="276"/>
      <c r="AK854" s="283"/>
      <c r="AL854" s="276"/>
      <c r="AM854" s="283"/>
      <c r="AN854" s="276"/>
      <c r="AO854" s="283"/>
      <c r="AP854" s="276"/>
      <c r="AQ854" s="283"/>
      <c r="AR854" s="276"/>
      <c r="AT854" s="283"/>
      <c r="AU854" s="276"/>
      <c r="AV854" s="283"/>
      <c r="AW854" s="276"/>
      <c r="AX854" s="283"/>
      <c r="AY854" s="276"/>
      <c r="AZ854" s="283"/>
      <c r="BA854" s="276"/>
      <c r="BB854" s="283"/>
      <c r="BC854" s="276"/>
      <c r="BD854" s="283"/>
      <c r="BE854" s="276"/>
      <c r="BG854" s="283"/>
      <c r="BH854" s="276"/>
      <c r="BI854" s="283"/>
      <c r="BJ854" s="276"/>
      <c r="BK854" s="283"/>
      <c r="BL854" s="276"/>
      <c r="BM854" s="283"/>
      <c r="BN854" s="276"/>
      <c r="BO854" s="283"/>
      <c r="BP854" s="276"/>
      <c r="BQ854" s="283"/>
      <c r="BR854" s="283"/>
      <c r="BS854" s="276"/>
    </row>
    <row r="855" spans="12:71" ht="12" customHeight="1">
      <c r="L855" s="283"/>
      <c r="M855" s="276"/>
      <c r="N855" s="283"/>
      <c r="O855" s="276"/>
      <c r="P855" s="283"/>
      <c r="Q855" s="276"/>
      <c r="S855" s="283"/>
      <c r="T855" s="276"/>
      <c r="W855" s="283"/>
      <c r="X855" s="276"/>
      <c r="Y855" s="283"/>
      <c r="Z855" s="276"/>
      <c r="AA855" s="283"/>
      <c r="AB855" s="276"/>
      <c r="AC855" s="283"/>
      <c r="AE855" s="283"/>
      <c r="AF855" s="276"/>
      <c r="AI855" s="283"/>
      <c r="AJ855" s="276"/>
      <c r="AK855" s="283"/>
      <c r="AL855" s="276"/>
      <c r="AM855" s="283"/>
      <c r="AN855" s="276"/>
      <c r="AO855" s="283"/>
      <c r="AP855" s="276"/>
      <c r="AQ855" s="283"/>
      <c r="AR855" s="276"/>
      <c r="AT855" s="283"/>
      <c r="AU855" s="276"/>
      <c r="AV855" s="283"/>
      <c r="AW855" s="276"/>
      <c r="AX855" s="283"/>
      <c r="AY855" s="276"/>
      <c r="AZ855" s="283"/>
      <c r="BA855" s="276"/>
      <c r="BB855" s="283"/>
      <c r="BC855" s="276"/>
      <c r="BD855" s="283"/>
      <c r="BE855" s="276"/>
      <c r="BG855" s="283"/>
      <c r="BH855" s="276"/>
      <c r="BI855" s="283"/>
      <c r="BJ855" s="276"/>
      <c r="BK855" s="283"/>
      <c r="BL855" s="276"/>
      <c r="BM855" s="283"/>
      <c r="BN855" s="276"/>
      <c r="BO855" s="283"/>
      <c r="BP855" s="276"/>
      <c r="BQ855" s="283"/>
      <c r="BR855" s="283"/>
      <c r="BS855" s="276"/>
    </row>
    <row r="856" spans="12:71" ht="12" customHeight="1">
      <c r="L856" s="283"/>
      <c r="M856" s="276"/>
      <c r="N856" s="283"/>
      <c r="O856" s="276"/>
      <c r="P856" s="283"/>
      <c r="Q856" s="276"/>
      <c r="S856" s="283"/>
      <c r="T856" s="276"/>
      <c r="W856" s="283"/>
      <c r="X856" s="276"/>
      <c r="Y856" s="283"/>
      <c r="Z856" s="276"/>
      <c r="AA856" s="283"/>
      <c r="AB856" s="276"/>
      <c r="AC856" s="283"/>
      <c r="AE856" s="283"/>
      <c r="AF856" s="276"/>
      <c r="AI856" s="283"/>
      <c r="AJ856" s="276"/>
      <c r="AK856" s="283"/>
      <c r="AL856" s="276"/>
      <c r="AM856" s="283"/>
      <c r="AN856" s="276"/>
      <c r="AO856" s="283"/>
      <c r="AP856" s="276"/>
      <c r="AQ856" s="283"/>
      <c r="AR856" s="276"/>
      <c r="AT856" s="283"/>
      <c r="AU856" s="276"/>
      <c r="AV856" s="283"/>
      <c r="AW856" s="276"/>
      <c r="AX856" s="283"/>
      <c r="AY856" s="276"/>
      <c r="AZ856" s="283"/>
      <c r="BA856" s="276"/>
      <c r="BB856" s="283"/>
      <c r="BC856" s="276"/>
      <c r="BD856" s="283"/>
      <c r="BE856" s="276"/>
      <c r="BG856" s="283"/>
      <c r="BH856" s="276"/>
      <c r="BI856" s="283"/>
      <c r="BJ856" s="276"/>
      <c r="BK856" s="283"/>
      <c r="BL856" s="276"/>
      <c r="BM856" s="283"/>
      <c r="BN856" s="276"/>
      <c r="BO856" s="283"/>
      <c r="BP856" s="276"/>
      <c r="BQ856" s="283"/>
      <c r="BR856" s="283"/>
      <c r="BS856" s="276"/>
    </row>
    <row r="857" spans="12:71" ht="12" customHeight="1">
      <c r="L857" s="283"/>
      <c r="M857" s="276"/>
      <c r="N857" s="283"/>
      <c r="O857" s="276"/>
      <c r="P857" s="283"/>
      <c r="Q857" s="276"/>
      <c r="S857" s="283"/>
      <c r="T857" s="276"/>
      <c r="W857" s="283"/>
      <c r="X857" s="276"/>
      <c r="Y857" s="283"/>
      <c r="Z857" s="276"/>
      <c r="AA857" s="283"/>
      <c r="AB857" s="276"/>
      <c r="AC857" s="283"/>
      <c r="AE857" s="283"/>
      <c r="AF857" s="276"/>
      <c r="AI857" s="283"/>
      <c r="AJ857" s="276"/>
      <c r="AK857" s="283"/>
      <c r="AL857" s="276"/>
      <c r="AM857" s="283"/>
      <c r="AN857" s="276"/>
      <c r="AO857" s="283"/>
      <c r="AP857" s="276"/>
      <c r="AQ857" s="283"/>
      <c r="AR857" s="276"/>
      <c r="AT857" s="283"/>
      <c r="AU857" s="276"/>
      <c r="AV857" s="283"/>
      <c r="AW857" s="276"/>
      <c r="AX857" s="283"/>
      <c r="AY857" s="276"/>
      <c r="AZ857" s="283"/>
      <c r="BA857" s="276"/>
      <c r="BB857" s="283"/>
      <c r="BC857" s="276"/>
      <c r="BD857" s="283"/>
      <c r="BE857" s="276"/>
      <c r="BG857" s="283"/>
      <c r="BH857" s="276"/>
      <c r="BI857" s="283"/>
      <c r="BJ857" s="276"/>
      <c r="BK857" s="283"/>
      <c r="BL857" s="276"/>
      <c r="BM857" s="283"/>
      <c r="BN857" s="276"/>
      <c r="BO857" s="283"/>
      <c r="BP857" s="276"/>
      <c r="BQ857" s="283"/>
      <c r="BR857" s="283"/>
      <c r="BS857" s="276"/>
    </row>
    <row r="858" spans="12:71" ht="12" customHeight="1">
      <c r="L858" s="283"/>
      <c r="M858" s="276"/>
      <c r="N858" s="283"/>
      <c r="O858" s="276"/>
      <c r="P858" s="283"/>
      <c r="Q858" s="276"/>
      <c r="S858" s="283"/>
      <c r="T858" s="276"/>
      <c r="W858" s="283"/>
      <c r="X858" s="276"/>
      <c r="Y858" s="283"/>
      <c r="Z858" s="276"/>
      <c r="AA858" s="283"/>
      <c r="AB858" s="276"/>
      <c r="AC858" s="283"/>
      <c r="AE858" s="283"/>
      <c r="AF858" s="276"/>
      <c r="AI858" s="283"/>
      <c r="AJ858" s="276"/>
      <c r="AK858" s="283"/>
      <c r="AL858" s="276"/>
      <c r="AM858" s="283"/>
      <c r="AN858" s="276"/>
      <c r="AO858" s="283"/>
      <c r="AP858" s="276"/>
      <c r="AQ858" s="283"/>
      <c r="AR858" s="276"/>
      <c r="AT858" s="283"/>
      <c r="AU858" s="276"/>
      <c r="AV858" s="283"/>
      <c r="AW858" s="276"/>
      <c r="AX858" s="283"/>
      <c r="AY858" s="276"/>
      <c r="AZ858" s="283"/>
      <c r="BA858" s="276"/>
      <c r="BB858" s="283"/>
      <c r="BC858" s="276"/>
      <c r="BD858" s="283"/>
      <c r="BE858" s="276"/>
      <c r="BG858" s="283"/>
      <c r="BH858" s="276"/>
      <c r="BI858" s="283"/>
      <c r="BJ858" s="276"/>
      <c r="BK858" s="283"/>
      <c r="BL858" s="276"/>
      <c r="BM858" s="283"/>
      <c r="BN858" s="276"/>
      <c r="BO858" s="283"/>
      <c r="BP858" s="276"/>
      <c r="BQ858" s="283"/>
      <c r="BR858" s="283"/>
      <c r="BS858" s="276"/>
    </row>
    <row r="859" spans="12:71" ht="12" customHeight="1">
      <c r="L859" s="283"/>
      <c r="M859" s="276"/>
      <c r="N859" s="283"/>
      <c r="O859" s="276"/>
      <c r="P859" s="283"/>
      <c r="Q859" s="276"/>
      <c r="S859" s="283"/>
      <c r="T859" s="276"/>
      <c r="W859" s="283"/>
      <c r="X859" s="276"/>
      <c r="Y859" s="283"/>
      <c r="Z859" s="276"/>
      <c r="AA859" s="283"/>
      <c r="AB859" s="276"/>
      <c r="AC859" s="283"/>
      <c r="AE859" s="283"/>
      <c r="AF859" s="276"/>
      <c r="AI859" s="283"/>
      <c r="AJ859" s="276"/>
      <c r="AK859" s="283"/>
      <c r="AL859" s="276"/>
      <c r="AM859" s="283"/>
      <c r="AN859" s="276"/>
      <c r="AO859" s="283"/>
      <c r="AP859" s="276"/>
      <c r="AQ859" s="283"/>
      <c r="AR859" s="276"/>
      <c r="AT859" s="283"/>
      <c r="AU859" s="276"/>
      <c r="AV859" s="283"/>
      <c r="AW859" s="276"/>
      <c r="AX859" s="283"/>
      <c r="AY859" s="276"/>
      <c r="AZ859" s="283"/>
      <c r="BA859" s="276"/>
      <c r="BB859" s="283"/>
      <c r="BC859" s="276"/>
      <c r="BD859" s="283"/>
      <c r="BE859" s="276"/>
      <c r="BG859" s="283"/>
      <c r="BH859" s="276"/>
      <c r="BI859" s="283"/>
      <c r="BJ859" s="276"/>
      <c r="BK859" s="283"/>
      <c r="BL859" s="276"/>
      <c r="BM859" s="283"/>
      <c r="BN859" s="276"/>
      <c r="BO859" s="283"/>
      <c r="BP859" s="276"/>
      <c r="BQ859" s="283"/>
      <c r="BR859" s="283"/>
      <c r="BS859" s="276"/>
    </row>
    <row r="860" spans="12:71" ht="12" customHeight="1">
      <c r="L860" s="283"/>
      <c r="M860" s="276"/>
      <c r="N860" s="283"/>
      <c r="O860" s="276"/>
      <c r="P860" s="283"/>
      <c r="Q860" s="276"/>
      <c r="S860" s="283"/>
      <c r="T860" s="276"/>
      <c r="W860" s="283"/>
      <c r="X860" s="276"/>
      <c r="Y860" s="283"/>
      <c r="Z860" s="276"/>
      <c r="AA860" s="283"/>
      <c r="AB860" s="276"/>
      <c r="AC860" s="283"/>
      <c r="AE860" s="283"/>
      <c r="AF860" s="276"/>
      <c r="AI860" s="283"/>
      <c r="AJ860" s="276"/>
      <c r="AK860" s="283"/>
      <c r="AL860" s="276"/>
      <c r="AM860" s="283"/>
      <c r="AN860" s="276"/>
      <c r="AO860" s="283"/>
      <c r="AP860" s="276"/>
      <c r="AQ860" s="283"/>
      <c r="AR860" s="276"/>
      <c r="AT860" s="283"/>
      <c r="AU860" s="276"/>
      <c r="AV860" s="283"/>
      <c r="AW860" s="276"/>
      <c r="AX860" s="283"/>
      <c r="AY860" s="276"/>
      <c r="AZ860" s="283"/>
      <c r="BA860" s="276"/>
      <c r="BB860" s="283"/>
      <c r="BC860" s="276"/>
      <c r="BD860" s="283"/>
      <c r="BE860" s="276"/>
      <c r="BG860" s="283"/>
      <c r="BH860" s="276"/>
      <c r="BI860" s="283"/>
      <c r="BJ860" s="276"/>
      <c r="BK860" s="283"/>
      <c r="BL860" s="276"/>
      <c r="BM860" s="283"/>
      <c r="BN860" s="276"/>
      <c r="BO860" s="283"/>
      <c r="BP860" s="276"/>
      <c r="BQ860" s="283"/>
      <c r="BR860" s="283"/>
      <c r="BS860" s="276"/>
    </row>
    <row r="861" spans="12:71" ht="12" customHeight="1">
      <c r="L861" s="283"/>
      <c r="M861" s="276"/>
      <c r="N861" s="283"/>
      <c r="O861" s="276"/>
      <c r="P861" s="283"/>
      <c r="Q861" s="276"/>
      <c r="S861" s="283"/>
      <c r="T861" s="276"/>
      <c r="W861" s="283"/>
      <c r="X861" s="276"/>
      <c r="Y861" s="283"/>
      <c r="Z861" s="276"/>
      <c r="AA861" s="283"/>
      <c r="AB861" s="276"/>
      <c r="AC861" s="283"/>
      <c r="AE861" s="283"/>
      <c r="AF861" s="276"/>
      <c r="AI861" s="283"/>
      <c r="AJ861" s="276"/>
      <c r="AK861" s="283"/>
      <c r="AL861" s="276"/>
      <c r="AM861" s="283"/>
      <c r="AN861" s="276"/>
      <c r="AO861" s="283"/>
      <c r="AP861" s="276"/>
      <c r="AQ861" s="283"/>
      <c r="AR861" s="276"/>
      <c r="AT861" s="283"/>
      <c r="AU861" s="276"/>
      <c r="AV861" s="283"/>
      <c r="AW861" s="276"/>
      <c r="AX861" s="283"/>
      <c r="AY861" s="276"/>
      <c r="AZ861" s="283"/>
      <c r="BA861" s="276"/>
      <c r="BB861" s="283"/>
      <c r="BC861" s="276"/>
      <c r="BD861" s="283"/>
      <c r="BE861" s="276"/>
      <c r="BG861" s="283"/>
      <c r="BH861" s="276"/>
      <c r="BI861" s="283"/>
      <c r="BJ861" s="276"/>
      <c r="BK861" s="283"/>
      <c r="BL861" s="276"/>
      <c r="BM861" s="283"/>
      <c r="BN861" s="276"/>
      <c r="BO861" s="283"/>
      <c r="BP861" s="276"/>
      <c r="BQ861" s="283"/>
      <c r="BR861" s="283"/>
      <c r="BS861" s="276"/>
    </row>
    <row r="862" spans="12:71" ht="12" customHeight="1">
      <c r="L862" s="283"/>
      <c r="M862" s="276"/>
      <c r="N862" s="283"/>
      <c r="O862" s="276"/>
      <c r="P862" s="283"/>
      <c r="Q862" s="276"/>
      <c r="S862" s="283"/>
      <c r="T862" s="276"/>
      <c r="W862" s="283"/>
      <c r="X862" s="276"/>
      <c r="Y862" s="283"/>
      <c r="Z862" s="276"/>
      <c r="AA862" s="283"/>
      <c r="AB862" s="276"/>
      <c r="AC862" s="283"/>
      <c r="AE862" s="283"/>
      <c r="AF862" s="276"/>
      <c r="AI862" s="283"/>
      <c r="AJ862" s="276"/>
      <c r="AK862" s="283"/>
      <c r="AL862" s="276"/>
      <c r="AM862" s="283"/>
      <c r="AN862" s="276"/>
      <c r="AO862" s="283"/>
      <c r="AP862" s="276"/>
      <c r="AQ862" s="283"/>
      <c r="AR862" s="276"/>
      <c r="AT862" s="283"/>
      <c r="AU862" s="276"/>
      <c r="AV862" s="283"/>
      <c r="AW862" s="276"/>
      <c r="AX862" s="283"/>
      <c r="AY862" s="276"/>
      <c r="AZ862" s="283"/>
      <c r="BA862" s="276"/>
      <c r="BB862" s="283"/>
      <c r="BC862" s="276"/>
      <c r="BD862" s="283"/>
      <c r="BE862" s="276"/>
      <c r="BG862" s="283"/>
      <c r="BH862" s="276"/>
      <c r="BI862" s="283"/>
      <c r="BJ862" s="276"/>
      <c r="BK862" s="283"/>
      <c r="BL862" s="276"/>
      <c r="BM862" s="283"/>
      <c r="BN862" s="276"/>
      <c r="BO862" s="283"/>
      <c r="BP862" s="276"/>
      <c r="BQ862" s="283"/>
      <c r="BR862" s="283"/>
      <c r="BS862" s="276"/>
    </row>
    <row r="863" spans="12:71" ht="12" customHeight="1">
      <c r="L863" s="283"/>
      <c r="M863" s="276"/>
      <c r="N863" s="283"/>
      <c r="O863" s="276"/>
      <c r="P863" s="283"/>
      <c r="Q863" s="276"/>
      <c r="S863" s="283"/>
      <c r="T863" s="276"/>
      <c r="W863" s="283"/>
      <c r="X863" s="276"/>
      <c r="Y863" s="283"/>
      <c r="Z863" s="276"/>
      <c r="AA863" s="283"/>
      <c r="AB863" s="276"/>
      <c r="AC863" s="283"/>
      <c r="AE863" s="283"/>
      <c r="AF863" s="276"/>
      <c r="AI863" s="283"/>
      <c r="AJ863" s="276"/>
      <c r="AK863" s="283"/>
      <c r="AL863" s="276"/>
      <c r="AM863" s="283"/>
      <c r="AN863" s="276"/>
      <c r="AO863" s="283"/>
      <c r="AP863" s="276"/>
      <c r="AQ863" s="283"/>
      <c r="AR863" s="276"/>
      <c r="AT863" s="283"/>
      <c r="AU863" s="276"/>
      <c r="AV863" s="283"/>
      <c r="AW863" s="276"/>
      <c r="AX863" s="283"/>
      <c r="AY863" s="276"/>
      <c r="AZ863" s="283"/>
      <c r="BA863" s="276"/>
      <c r="BB863" s="283"/>
      <c r="BC863" s="276"/>
      <c r="BD863" s="283"/>
      <c r="BE863" s="276"/>
      <c r="BG863" s="283"/>
      <c r="BH863" s="276"/>
      <c r="BI863" s="283"/>
      <c r="BJ863" s="276"/>
      <c r="BK863" s="283"/>
      <c r="BL863" s="276"/>
      <c r="BM863" s="283"/>
      <c r="BN863" s="276"/>
      <c r="BO863" s="283"/>
      <c r="BP863" s="276"/>
      <c r="BQ863" s="283"/>
      <c r="BR863" s="283"/>
      <c r="BS863" s="276"/>
    </row>
    <row r="864" spans="12:71" ht="12" customHeight="1">
      <c r="L864" s="283"/>
      <c r="M864" s="276"/>
      <c r="N864" s="283"/>
      <c r="O864" s="276"/>
      <c r="P864" s="283"/>
      <c r="Q864" s="276"/>
      <c r="S864" s="283"/>
      <c r="T864" s="276"/>
      <c r="W864" s="283"/>
      <c r="X864" s="276"/>
      <c r="Y864" s="283"/>
      <c r="Z864" s="276"/>
      <c r="AA864" s="283"/>
      <c r="AB864" s="276"/>
      <c r="AC864" s="283"/>
      <c r="AE864" s="283"/>
      <c r="AF864" s="276"/>
      <c r="AI864" s="283"/>
      <c r="AJ864" s="276"/>
      <c r="AK864" s="283"/>
      <c r="AL864" s="276"/>
      <c r="AM864" s="283"/>
      <c r="AN864" s="276"/>
      <c r="AO864" s="283"/>
      <c r="AP864" s="276"/>
      <c r="AQ864" s="283"/>
      <c r="AR864" s="276"/>
      <c r="AT864" s="283"/>
      <c r="AU864" s="276"/>
      <c r="AV864" s="283"/>
      <c r="AW864" s="276"/>
      <c r="AX864" s="283"/>
      <c r="AY864" s="276"/>
      <c r="AZ864" s="283"/>
      <c r="BA864" s="276"/>
      <c r="BB864" s="283"/>
      <c r="BC864" s="276"/>
      <c r="BD864" s="283"/>
      <c r="BE864" s="276"/>
      <c r="BG864" s="283"/>
      <c r="BH864" s="276"/>
      <c r="BI864" s="283"/>
      <c r="BJ864" s="276"/>
      <c r="BK864" s="283"/>
      <c r="BL864" s="276"/>
      <c r="BM864" s="283"/>
      <c r="BN864" s="276"/>
      <c r="BO864" s="283"/>
      <c r="BP864" s="276"/>
      <c r="BQ864" s="283"/>
      <c r="BR864" s="283"/>
      <c r="BS864" s="276"/>
    </row>
    <row r="865" spans="12:71" ht="12" customHeight="1">
      <c r="L865" s="283"/>
      <c r="M865" s="276"/>
      <c r="N865" s="283"/>
      <c r="O865" s="276"/>
      <c r="P865" s="283"/>
      <c r="Q865" s="276"/>
      <c r="S865" s="283"/>
      <c r="T865" s="276"/>
      <c r="W865" s="283"/>
      <c r="X865" s="276"/>
      <c r="Y865" s="283"/>
      <c r="Z865" s="276"/>
      <c r="AA865" s="283"/>
      <c r="AB865" s="276"/>
      <c r="AC865" s="283"/>
      <c r="AE865" s="283"/>
      <c r="AF865" s="276"/>
      <c r="AI865" s="283"/>
      <c r="AJ865" s="276"/>
      <c r="AK865" s="283"/>
      <c r="AL865" s="276"/>
      <c r="AM865" s="283"/>
      <c r="AN865" s="276"/>
      <c r="AO865" s="283"/>
      <c r="AP865" s="276"/>
      <c r="AQ865" s="283"/>
      <c r="AR865" s="276"/>
      <c r="AT865" s="283"/>
      <c r="AU865" s="276"/>
      <c r="AV865" s="283"/>
      <c r="AW865" s="276"/>
      <c r="AX865" s="283"/>
      <c r="AY865" s="276"/>
      <c r="AZ865" s="283"/>
      <c r="BA865" s="276"/>
      <c r="BB865" s="283"/>
      <c r="BC865" s="276"/>
      <c r="BD865" s="283"/>
      <c r="BE865" s="276"/>
      <c r="BG865" s="283"/>
      <c r="BH865" s="276"/>
      <c r="BI865" s="283"/>
      <c r="BJ865" s="276"/>
      <c r="BK865" s="283"/>
      <c r="BL865" s="276"/>
      <c r="BM865" s="283"/>
      <c r="BN865" s="276"/>
      <c r="BO865" s="283"/>
      <c r="BP865" s="276"/>
      <c r="BQ865" s="283"/>
      <c r="BR865" s="283"/>
      <c r="BS865" s="276"/>
    </row>
    <row r="866" spans="12:71" ht="12" customHeight="1">
      <c r="L866" s="283"/>
      <c r="M866" s="276"/>
      <c r="N866" s="283"/>
      <c r="O866" s="276"/>
      <c r="P866" s="283"/>
      <c r="Q866" s="276"/>
      <c r="S866" s="283"/>
      <c r="T866" s="276"/>
      <c r="W866" s="283"/>
      <c r="X866" s="276"/>
      <c r="Y866" s="283"/>
      <c r="Z866" s="276"/>
      <c r="AA866" s="283"/>
      <c r="AB866" s="276"/>
      <c r="AC866" s="283"/>
      <c r="AE866" s="283"/>
      <c r="AF866" s="276"/>
      <c r="AI866" s="283"/>
      <c r="AJ866" s="276"/>
      <c r="AK866" s="283"/>
      <c r="AL866" s="276"/>
      <c r="AM866" s="283"/>
      <c r="AN866" s="276"/>
      <c r="AO866" s="283"/>
      <c r="AP866" s="276"/>
      <c r="AQ866" s="283"/>
      <c r="AR866" s="276"/>
      <c r="AT866" s="283"/>
      <c r="AU866" s="276"/>
      <c r="AV866" s="283"/>
      <c r="AW866" s="276"/>
      <c r="AX866" s="283"/>
      <c r="AY866" s="276"/>
      <c r="AZ866" s="283"/>
      <c r="BA866" s="276"/>
      <c r="BB866" s="283"/>
      <c r="BC866" s="276"/>
      <c r="BD866" s="283"/>
      <c r="BE866" s="276"/>
      <c r="BG866" s="283"/>
      <c r="BH866" s="276"/>
      <c r="BI866" s="283"/>
      <c r="BJ866" s="276"/>
      <c r="BK866" s="283"/>
      <c r="BL866" s="276"/>
      <c r="BM866" s="283"/>
      <c r="BN866" s="276"/>
      <c r="BO866" s="283"/>
      <c r="BP866" s="276"/>
      <c r="BQ866" s="283"/>
      <c r="BR866" s="283"/>
      <c r="BS866" s="276"/>
    </row>
    <row r="867" spans="12:71" ht="12" customHeight="1">
      <c r="L867" s="283"/>
      <c r="M867" s="276"/>
      <c r="N867" s="283"/>
      <c r="O867" s="276"/>
      <c r="P867" s="283"/>
      <c r="Q867" s="276"/>
      <c r="S867" s="283"/>
      <c r="T867" s="276"/>
      <c r="W867" s="283"/>
      <c r="X867" s="276"/>
      <c r="Y867" s="283"/>
      <c r="Z867" s="276"/>
      <c r="AA867" s="283"/>
      <c r="AB867" s="276"/>
      <c r="AC867" s="283"/>
      <c r="AE867" s="283"/>
      <c r="AF867" s="276"/>
      <c r="AI867" s="283"/>
      <c r="AJ867" s="276"/>
      <c r="AK867" s="283"/>
      <c r="AL867" s="276"/>
      <c r="AM867" s="283"/>
      <c r="AN867" s="276"/>
      <c r="AO867" s="283"/>
      <c r="AP867" s="276"/>
      <c r="AQ867" s="283"/>
      <c r="AR867" s="276"/>
      <c r="AT867" s="283"/>
      <c r="AU867" s="276"/>
      <c r="AV867" s="283"/>
      <c r="AW867" s="276"/>
      <c r="AX867" s="283"/>
      <c r="AY867" s="276"/>
      <c r="AZ867" s="283"/>
      <c r="BA867" s="276"/>
      <c r="BB867" s="283"/>
      <c r="BC867" s="276"/>
      <c r="BD867" s="283"/>
      <c r="BE867" s="276"/>
      <c r="BG867" s="283"/>
      <c r="BH867" s="276"/>
      <c r="BI867" s="283"/>
      <c r="BJ867" s="276"/>
      <c r="BK867" s="283"/>
      <c r="BL867" s="276"/>
      <c r="BM867" s="283"/>
      <c r="BN867" s="276"/>
      <c r="BO867" s="283"/>
      <c r="BP867" s="276"/>
      <c r="BQ867" s="283"/>
      <c r="BR867" s="283"/>
      <c r="BS867" s="276"/>
    </row>
    <row r="868" spans="12:71" ht="12" customHeight="1">
      <c r="L868" s="283"/>
      <c r="M868" s="276"/>
      <c r="N868" s="283"/>
      <c r="O868" s="276"/>
      <c r="P868" s="283"/>
      <c r="Q868" s="276"/>
      <c r="S868" s="283"/>
      <c r="T868" s="276"/>
      <c r="W868" s="283"/>
      <c r="X868" s="276"/>
      <c r="Y868" s="283"/>
      <c r="Z868" s="276"/>
      <c r="AA868" s="283"/>
      <c r="AB868" s="276"/>
      <c r="AC868" s="283"/>
      <c r="AE868" s="283"/>
      <c r="AF868" s="276"/>
      <c r="AI868" s="283"/>
      <c r="AJ868" s="276"/>
      <c r="AK868" s="283"/>
      <c r="AL868" s="276"/>
      <c r="AM868" s="283"/>
      <c r="AN868" s="276"/>
      <c r="AO868" s="283"/>
      <c r="AP868" s="276"/>
      <c r="AQ868" s="283"/>
      <c r="AR868" s="276"/>
      <c r="AT868" s="283"/>
      <c r="AU868" s="276"/>
      <c r="AV868" s="283"/>
      <c r="AW868" s="276"/>
      <c r="AX868" s="283"/>
      <c r="AY868" s="276"/>
      <c r="AZ868" s="283"/>
      <c r="BA868" s="276"/>
      <c r="BB868" s="283"/>
      <c r="BC868" s="276"/>
      <c r="BD868" s="283"/>
      <c r="BE868" s="276"/>
      <c r="BG868" s="283"/>
      <c r="BH868" s="276"/>
      <c r="BI868" s="283"/>
      <c r="BJ868" s="276"/>
      <c r="BK868" s="283"/>
      <c r="BL868" s="276"/>
      <c r="BM868" s="283"/>
      <c r="BN868" s="276"/>
      <c r="BO868" s="283"/>
      <c r="BP868" s="276"/>
      <c r="BQ868" s="283"/>
      <c r="BR868" s="283"/>
      <c r="BS868" s="276"/>
    </row>
    <row r="869" spans="12:71" ht="12" customHeight="1">
      <c r="L869" s="283"/>
      <c r="M869" s="276"/>
      <c r="N869" s="283"/>
      <c r="O869" s="276"/>
      <c r="P869" s="283"/>
      <c r="Q869" s="276"/>
      <c r="S869" s="283"/>
      <c r="T869" s="276"/>
      <c r="W869" s="283"/>
      <c r="X869" s="276"/>
      <c r="Y869" s="283"/>
      <c r="Z869" s="276"/>
      <c r="AA869" s="283"/>
      <c r="AB869" s="276"/>
      <c r="AC869" s="283"/>
      <c r="AE869" s="283"/>
      <c r="AF869" s="276"/>
      <c r="AI869" s="283"/>
      <c r="AJ869" s="276"/>
      <c r="AK869" s="283"/>
      <c r="AL869" s="276"/>
      <c r="AM869" s="283"/>
      <c r="AN869" s="276"/>
      <c r="AO869" s="283"/>
      <c r="AP869" s="276"/>
      <c r="AQ869" s="283"/>
      <c r="AR869" s="276"/>
      <c r="AT869" s="283"/>
      <c r="AU869" s="276"/>
      <c r="AV869" s="283"/>
      <c r="AW869" s="276"/>
      <c r="AX869" s="283"/>
      <c r="AY869" s="276"/>
      <c r="AZ869" s="283"/>
      <c r="BA869" s="276"/>
      <c r="BB869" s="283"/>
      <c r="BC869" s="276"/>
      <c r="BD869" s="283"/>
      <c r="BE869" s="276"/>
      <c r="BG869" s="283"/>
      <c r="BH869" s="276"/>
      <c r="BI869" s="283"/>
      <c r="BJ869" s="276"/>
      <c r="BK869" s="283"/>
      <c r="BL869" s="276"/>
      <c r="BM869" s="283"/>
      <c r="BN869" s="276"/>
      <c r="BO869" s="283"/>
      <c r="BP869" s="276"/>
      <c r="BQ869" s="283"/>
      <c r="BR869" s="283"/>
      <c r="BS869" s="276"/>
    </row>
    <row r="870" spans="12:71" ht="12" customHeight="1">
      <c r="L870" s="283"/>
      <c r="M870" s="276"/>
      <c r="N870" s="283"/>
      <c r="O870" s="276"/>
      <c r="P870" s="283"/>
      <c r="Q870" s="276"/>
      <c r="S870" s="283"/>
      <c r="T870" s="276"/>
      <c r="W870" s="283"/>
      <c r="X870" s="276"/>
      <c r="Y870" s="283"/>
      <c r="Z870" s="276"/>
      <c r="AA870" s="283"/>
      <c r="AB870" s="276"/>
      <c r="AC870" s="283"/>
      <c r="AE870" s="283"/>
      <c r="AF870" s="276"/>
      <c r="AI870" s="283"/>
      <c r="AJ870" s="276"/>
      <c r="AK870" s="283"/>
      <c r="AL870" s="276"/>
      <c r="AM870" s="283"/>
      <c r="AN870" s="276"/>
      <c r="AO870" s="283"/>
      <c r="AP870" s="276"/>
      <c r="AQ870" s="283"/>
      <c r="AR870" s="276"/>
      <c r="AT870" s="283"/>
      <c r="AU870" s="276"/>
      <c r="AV870" s="283"/>
      <c r="AW870" s="276"/>
      <c r="AX870" s="283"/>
      <c r="AY870" s="276"/>
      <c r="AZ870" s="283"/>
      <c r="BA870" s="276"/>
      <c r="BB870" s="283"/>
      <c r="BC870" s="276"/>
      <c r="BD870" s="283"/>
      <c r="BE870" s="276"/>
      <c r="BG870" s="283"/>
      <c r="BH870" s="276"/>
      <c r="BI870" s="283"/>
      <c r="BJ870" s="276"/>
      <c r="BK870" s="283"/>
      <c r="BL870" s="276"/>
      <c r="BM870" s="283"/>
      <c r="BN870" s="276"/>
      <c r="BO870" s="283"/>
      <c r="BP870" s="276"/>
      <c r="BQ870" s="283"/>
      <c r="BR870" s="283"/>
      <c r="BS870" s="276"/>
    </row>
    <row r="871" spans="12:71" ht="12" customHeight="1">
      <c r="L871" s="283"/>
      <c r="M871" s="276"/>
      <c r="N871" s="283"/>
      <c r="O871" s="276"/>
      <c r="P871" s="283"/>
      <c r="Q871" s="276"/>
      <c r="S871" s="283"/>
      <c r="T871" s="276"/>
      <c r="W871" s="283"/>
      <c r="X871" s="276"/>
      <c r="Y871" s="283"/>
      <c r="Z871" s="276"/>
      <c r="AA871" s="283"/>
      <c r="AB871" s="276"/>
      <c r="AC871" s="283"/>
      <c r="AE871" s="283"/>
      <c r="AF871" s="276"/>
      <c r="AI871" s="283"/>
      <c r="AJ871" s="276"/>
      <c r="AK871" s="283"/>
      <c r="AL871" s="276"/>
      <c r="AM871" s="283"/>
      <c r="AN871" s="276"/>
      <c r="AO871" s="283"/>
      <c r="AP871" s="276"/>
      <c r="AQ871" s="283"/>
      <c r="AR871" s="276"/>
      <c r="AT871" s="283"/>
      <c r="AU871" s="276"/>
      <c r="AV871" s="283"/>
      <c r="AW871" s="276"/>
      <c r="AX871" s="283"/>
      <c r="AY871" s="276"/>
      <c r="AZ871" s="283"/>
      <c r="BA871" s="276"/>
      <c r="BB871" s="283"/>
      <c r="BC871" s="276"/>
      <c r="BD871" s="283"/>
      <c r="BE871" s="276"/>
      <c r="BG871" s="283"/>
      <c r="BH871" s="276"/>
      <c r="BI871" s="283"/>
      <c r="BJ871" s="276"/>
      <c r="BK871" s="283"/>
      <c r="BL871" s="276"/>
      <c r="BM871" s="283"/>
      <c r="BN871" s="276"/>
      <c r="BO871" s="283"/>
      <c r="BP871" s="276"/>
      <c r="BQ871" s="283"/>
      <c r="BR871" s="283"/>
      <c r="BS871" s="276"/>
    </row>
    <row r="872" spans="12:71" ht="12" customHeight="1">
      <c r="L872" s="283"/>
      <c r="M872" s="276"/>
      <c r="N872" s="283"/>
      <c r="O872" s="276"/>
      <c r="P872" s="283"/>
      <c r="Q872" s="276"/>
      <c r="S872" s="283"/>
      <c r="T872" s="276"/>
      <c r="W872" s="283"/>
      <c r="X872" s="276"/>
      <c r="Y872" s="283"/>
      <c r="Z872" s="276"/>
      <c r="AA872" s="283"/>
      <c r="AB872" s="276"/>
      <c r="AC872" s="283"/>
      <c r="AE872" s="283"/>
      <c r="AF872" s="276"/>
      <c r="AI872" s="283"/>
      <c r="AJ872" s="276"/>
      <c r="AK872" s="283"/>
      <c r="AL872" s="276"/>
      <c r="AM872" s="283"/>
      <c r="AN872" s="276"/>
      <c r="AO872" s="283"/>
      <c r="AP872" s="276"/>
      <c r="AQ872" s="283"/>
      <c r="AR872" s="276"/>
      <c r="AT872" s="283"/>
      <c r="AU872" s="276"/>
      <c r="AV872" s="283"/>
      <c r="AW872" s="276"/>
      <c r="AX872" s="283"/>
      <c r="AY872" s="276"/>
      <c r="AZ872" s="283"/>
      <c r="BA872" s="276"/>
      <c r="BB872" s="283"/>
      <c r="BC872" s="276"/>
      <c r="BD872" s="283"/>
      <c r="BE872" s="276"/>
      <c r="BG872" s="283"/>
      <c r="BH872" s="276"/>
      <c r="BI872" s="283"/>
      <c r="BJ872" s="276"/>
      <c r="BK872" s="283"/>
      <c r="BL872" s="276"/>
      <c r="BM872" s="283"/>
      <c r="BN872" s="276"/>
      <c r="BO872" s="283"/>
      <c r="BP872" s="276"/>
      <c r="BQ872" s="283"/>
      <c r="BR872" s="283"/>
      <c r="BS872" s="276"/>
    </row>
    <row r="873" spans="12:71" ht="12" customHeight="1">
      <c r="L873" s="283"/>
      <c r="M873" s="276"/>
      <c r="N873" s="283"/>
      <c r="O873" s="276"/>
      <c r="P873" s="283"/>
      <c r="Q873" s="276"/>
      <c r="S873" s="283"/>
      <c r="T873" s="276"/>
      <c r="W873" s="283"/>
      <c r="X873" s="276"/>
      <c r="Y873" s="283"/>
      <c r="Z873" s="276"/>
      <c r="AA873" s="283"/>
      <c r="AB873" s="276"/>
      <c r="AC873" s="283"/>
      <c r="AE873" s="283"/>
      <c r="AF873" s="276"/>
      <c r="AI873" s="283"/>
      <c r="AJ873" s="276"/>
      <c r="AK873" s="283"/>
      <c r="AL873" s="276"/>
      <c r="AM873" s="283"/>
      <c r="AN873" s="276"/>
      <c r="AO873" s="283"/>
      <c r="AP873" s="276"/>
      <c r="AQ873" s="283"/>
      <c r="AR873" s="276"/>
      <c r="AT873" s="283"/>
      <c r="AU873" s="276"/>
      <c r="AV873" s="283"/>
      <c r="AW873" s="276"/>
      <c r="AX873" s="283"/>
      <c r="AY873" s="276"/>
      <c r="AZ873" s="283"/>
      <c r="BA873" s="276"/>
      <c r="BB873" s="283"/>
      <c r="BC873" s="276"/>
      <c r="BD873" s="283"/>
      <c r="BE873" s="276"/>
      <c r="BG873" s="283"/>
      <c r="BH873" s="276"/>
      <c r="BI873" s="283"/>
      <c r="BJ873" s="276"/>
      <c r="BK873" s="283"/>
      <c r="BL873" s="276"/>
      <c r="BM873" s="283"/>
      <c r="BN873" s="276"/>
      <c r="BO873" s="283"/>
      <c r="BP873" s="276"/>
      <c r="BQ873" s="283"/>
      <c r="BR873" s="283"/>
      <c r="BS873" s="276"/>
    </row>
    <row r="874" spans="12:71" ht="12" customHeight="1">
      <c r="L874" s="283"/>
      <c r="M874" s="276"/>
      <c r="N874" s="283"/>
      <c r="O874" s="276"/>
      <c r="P874" s="283"/>
      <c r="Q874" s="276"/>
      <c r="S874" s="283"/>
      <c r="T874" s="276"/>
      <c r="W874" s="283"/>
      <c r="X874" s="276"/>
      <c r="Y874" s="283"/>
      <c r="Z874" s="276"/>
      <c r="AA874" s="283"/>
      <c r="AB874" s="276"/>
      <c r="AC874" s="283"/>
      <c r="AE874" s="283"/>
      <c r="AF874" s="276"/>
      <c r="AI874" s="283"/>
      <c r="AJ874" s="276"/>
      <c r="AK874" s="283"/>
      <c r="AL874" s="276"/>
      <c r="AM874" s="283"/>
      <c r="AN874" s="276"/>
      <c r="AO874" s="283"/>
      <c r="AP874" s="276"/>
      <c r="AQ874" s="283"/>
      <c r="AR874" s="276"/>
      <c r="AT874" s="283"/>
      <c r="AU874" s="276"/>
      <c r="AV874" s="283"/>
      <c r="AW874" s="276"/>
      <c r="AX874" s="283"/>
      <c r="AY874" s="276"/>
      <c r="AZ874" s="283"/>
      <c r="BA874" s="276"/>
      <c r="BB874" s="283"/>
      <c r="BC874" s="276"/>
      <c r="BD874" s="283"/>
      <c r="BE874" s="276"/>
      <c r="BG874" s="283"/>
      <c r="BH874" s="276"/>
      <c r="BI874" s="283"/>
      <c r="BJ874" s="276"/>
      <c r="BK874" s="283"/>
      <c r="BL874" s="276"/>
      <c r="BM874" s="283"/>
      <c r="BN874" s="276"/>
      <c r="BO874" s="283"/>
      <c r="BP874" s="276"/>
      <c r="BQ874" s="283"/>
      <c r="BR874" s="283"/>
      <c r="BS874" s="276"/>
    </row>
    <row r="875" spans="12:71" ht="12" customHeight="1">
      <c r="L875" s="283"/>
      <c r="M875" s="276"/>
      <c r="N875" s="283"/>
      <c r="O875" s="276"/>
      <c r="P875" s="283"/>
      <c r="Q875" s="276"/>
      <c r="S875" s="283"/>
      <c r="T875" s="276"/>
      <c r="W875" s="283"/>
      <c r="X875" s="276"/>
      <c r="Y875" s="283"/>
      <c r="Z875" s="276"/>
      <c r="AA875" s="283"/>
      <c r="AB875" s="276"/>
      <c r="AC875" s="283"/>
      <c r="AE875" s="283"/>
      <c r="AF875" s="276"/>
      <c r="AI875" s="283"/>
      <c r="AJ875" s="276"/>
      <c r="AK875" s="283"/>
      <c r="AL875" s="276"/>
      <c r="AM875" s="283"/>
      <c r="AN875" s="276"/>
      <c r="AO875" s="283"/>
      <c r="AP875" s="276"/>
      <c r="AQ875" s="283"/>
      <c r="AR875" s="276"/>
      <c r="AT875" s="283"/>
      <c r="AU875" s="276"/>
      <c r="AV875" s="283"/>
      <c r="AW875" s="276"/>
      <c r="AX875" s="283"/>
      <c r="AY875" s="276"/>
      <c r="AZ875" s="283"/>
      <c r="BA875" s="276"/>
      <c r="BB875" s="283"/>
      <c r="BC875" s="276"/>
      <c r="BD875" s="283"/>
      <c r="BE875" s="276"/>
      <c r="BG875" s="283"/>
      <c r="BH875" s="276"/>
      <c r="BI875" s="283"/>
      <c r="BJ875" s="276"/>
      <c r="BK875" s="283"/>
      <c r="BL875" s="276"/>
      <c r="BM875" s="283"/>
      <c r="BN875" s="276"/>
      <c r="BO875" s="283"/>
      <c r="BP875" s="276"/>
      <c r="BQ875" s="283"/>
      <c r="BR875" s="283"/>
      <c r="BS875" s="276"/>
    </row>
    <row r="876" spans="12:71" ht="12" customHeight="1">
      <c r="L876" s="283"/>
      <c r="M876" s="276"/>
      <c r="N876" s="283"/>
      <c r="O876" s="276"/>
      <c r="P876" s="283"/>
      <c r="Q876" s="276"/>
      <c r="S876" s="283"/>
      <c r="T876" s="276"/>
      <c r="W876" s="283"/>
      <c r="X876" s="276"/>
      <c r="Y876" s="283"/>
      <c r="Z876" s="276"/>
      <c r="AA876" s="283"/>
      <c r="AB876" s="276"/>
      <c r="AC876" s="283"/>
      <c r="AE876" s="283"/>
      <c r="AF876" s="276"/>
      <c r="AI876" s="283"/>
      <c r="AJ876" s="276"/>
      <c r="AK876" s="283"/>
      <c r="AL876" s="276"/>
      <c r="AM876" s="283"/>
      <c r="AN876" s="276"/>
      <c r="AO876" s="283"/>
      <c r="AP876" s="276"/>
      <c r="AQ876" s="283"/>
      <c r="AR876" s="276"/>
      <c r="AT876" s="283"/>
      <c r="AU876" s="276"/>
      <c r="AV876" s="283"/>
      <c r="AW876" s="276"/>
      <c r="AX876" s="283"/>
      <c r="AY876" s="276"/>
      <c r="AZ876" s="283"/>
      <c r="BA876" s="276"/>
      <c r="BB876" s="283"/>
      <c r="BC876" s="276"/>
      <c r="BD876" s="283"/>
      <c r="BE876" s="276"/>
      <c r="BG876" s="283"/>
      <c r="BH876" s="276"/>
      <c r="BI876" s="283"/>
      <c r="BJ876" s="276"/>
      <c r="BK876" s="283"/>
      <c r="BL876" s="276"/>
      <c r="BM876" s="283"/>
      <c r="BN876" s="276"/>
      <c r="BO876" s="283"/>
      <c r="BP876" s="276"/>
      <c r="BQ876" s="283"/>
      <c r="BR876" s="283"/>
      <c r="BS876" s="276"/>
    </row>
    <row r="877" spans="12:71" ht="12" customHeight="1">
      <c r="L877" s="283"/>
      <c r="M877" s="276"/>
      <c r="N877" s="283"/>
      <c r="O877" s="276"/>
      <c r="P877" s="283"/>
      <c r="Q877" s="276"/>
      <c r="S877" s="283"/>
      <c r="T877" s="276"/>
      <c r="W877" s="283"/>
      <c r="X877" s="276"/>
      <c r="Y877" s="283"/>
      <c r="Z877" s="276"/>
      <c r="AA877" s="283"/>
      <c r="AB877" s="276"/>
      <c r="AC877" s="283"/>
      <c r="AE877" s="283"/>
      <c r="AF877" s="276"/>
      <c r="AI877" s="283"/>
      <c r="AJ877" s="276"/>
      <c r="AK877" s="283"/>
      <c r="AL877" s="276"/>
      <c r="AM877" s="283"/>
      <c r="AN877" s="276"/>
      <c r="AO877" s="283"/>
      <c r="AP877" s="276"/>
      <c r="AQ877" s="283"/>
      <c r="AR877" s="276"/>
      <c r="AT877" s="283"/>
      <c r="AU877" s="276"/>
      <c r="AV877" s="283"/>
      <c r="AW877" s="276"/>
      <c r="AX877" s="283"/>
      <c r="AY877" s="276"/>
      <c r="AZ877" s="283"/>
      <c r="BA877" s="276"/>
      <c r="BB877" s="283"/>
      <c r="BC877" s="276"/>
      <c r="BD877" s="283"/>
      <c r="BE877" s="276"/>
      <c r="BG877" s="283"/>
      <c r="BH877" s="276"/>
      <c r="BI877" s="283"/>
      <c r="BJ877" s="276"/>
      <c r="BK877" s="283"/>
      <c r="BL877" s="276"/>
      <c r="BM877" s="283"/>
      <c r="BN877" s="276"/>
      <c r="BO877" s="283"/>
      <c r="BP877" s="276"/>
      <c r="BQ877" s="283"/>
      <c r="BR877" s="283"/>
      <c r="BS877" s="276"/>
    </row>
    <row r="878" spans="12:71" ht="12" customHeight="1">
      <c r="L878" s="283"/>
      <c r="M878" s="276"/>
      <c r="N878" s="283"/>
      <c r="O878" s="276"/>
      <c r="P878" s="283"/>
      <c r="Q878" s="276"/>
      <c r="S878" s="283"/>
      <c r="T878" s="276"/>
      <c r="W878" s="283"/>
      <c r="X878" s="276"/>
      <c r="Y878" s="283"/>
      <c r="Z878" s="276"/>
      <c r="AA878" s="283"/>
      <c r="AB878" s="276"/>
      <c r="AC878" s="283"/>
      <c r="AE878" s="283"/>
      <c r="AF878" s="276"/>
      <c r="AI878" s="283"/>
      <c r="AJ878" s="276"/>
      <c r="AK878" s="283"/>
      <c r="AL878" s="276"/>
      <c r="AM878" s="283"/>
      <c r="AN878" s="276"/>
      <c r="AO878" s="283"/>
      <c r="AP878" s="276"/>
      <c r="AQ878" s="283"/>
      <c r="AR878" s="276"/>
      <c r="AT878" s="283"/>
      <c r="AU878" s="276"/>
      <c r="AV878" s="283"/>
      <c r="AW878" s="276"/>
      <c r="AX878" s="283"/>
      <c r="AY878" s="276"/>
      <c r="AZ878" s="283"/>
      <c r="BA878" s="276"/>
      <c r="BB878" s="283"/>
      <c r="BC878" s="276"/>
      <c r="BD878" s="283"/>
      <c r="BE878" s="276"/>
      <c r="BG878" s="283"/>
      <c r="BH878" s="276"/>
      <c r="BI878" s="283"/>
      <c r="BJ878" s="276"/>
      <c r="BK878" s="283"/>
      <c r="BL878" s="276"/>
      <c r="BM878" s="283"/>
      <c r="BN878" s="276"/>
      <c r="BO878" s="283"/>
      <c r="BP878" s="276"/>
      <c r="BQ878" s="283"/>
      <c r="BR878" s="283"/>
      <c r="BS878" s="276"/>
    </row>
    <row r="879" spans="12:71" ht="12" customHeight="1">
      <c r="L879" s="283"/>
      <c r="M879" s="276"/>
      <c r="N879" s="283"/>
      <c r="O879" s="276"/>
      <c r="P879" s="283"/>
      <c r="Q879" s="276"/>
      <c r="S879" s="283"/>
      <c r="T879" s="276"/>
      <c r="W879" s="283"/>
      <c r="X879" s="276"/>
      <c r="Y879" s="283"/>
      <c r="Z879" s="276"/>
      <c r="AA879" s="283"/>
      <c r="AB879" s="276"/>
      <c r="AC879" s="283"/>
      <c r="AE879" s="283"/>
      <c r="AF879" s="276"/>
      <c r="AI879" s="283"/>
      <c r="AJ879" s="276"/>
      <c r="AK879" s="283"/>
      <c r="AL879" s="276"/>
      <c r="AM879" s="283"/>
      <c r="AN879" s="276"/>
      <c r="AO879" s="283"/>
      <c r="AP879" s="276"/>
      <c r="AQ879" s="283"/>
      <c r="AR879" s="276"/>
      <c r="AT879" s="283"/>
      <c r="AU879" s="276"/>
      <c r="AV879" s="283"/>
      <c r="AW879" s="276"/>
      <c r="AX879" s="283"/>
      <c r="AY879" s="276"/>
      <c r="AZ879" s="283"/>
      <c r="BA879" s="276"/>
      <c r="BB879" s="283"/>
      <c r="BC879" s="276"/>
      <c r="BD879" s="283"/>
      <c r="BE879" s="276"/>
      <c r="BG879" s="283"/>
      <c r="BH879" s="276"/>
      <c r="BI879" s="283"/>
      <c r="BJ879" s="276"/>
      <c r="BK879" s="283"/>
      <c r="BL879" s="276"/>
      <c r="BM879" s="283"/>
      <c r="BN879" s="276"/>
      <c r="BO879" s="283"/>
      <c r="BP879" s="276"/>
      <c r="BQ879" s="283"/>
      <c r="BR879" s="283"/>
      <c r="BS879" s="276"/>
    </row>
    <row r="880" spans="12:71" ht="12" customHeight="1">
      <c r="L880" s="283"/>
      <c r="M880" s="276"/>
      <c r="N880" s="283"/>
      <c r="O880" s="276"/>
      <c r="P880" s="283"/>
      <c r="Q880" s="276"/>
      <c r="S880" s="283"/>
      <c r="T880" s="276"/>
      <c r="W880" s="283"/>
      <c r="X880" s="276"/>
      <c r="Y880" s="283"/>
      <c r="Z880" s="276"/>
      <c r="AA880" s="283"/>
      <c r="AB880" s="276"/>
      <c r="AC880" s="283"/>
      <c r="AE880" s="283"/>
      <c r="AF880" s="276"/>
      <c r="AI880" s="283"/>
      <c r="AJ880" s="276"/>
      <c r="AK880" s="283"/>
      <c r="AL880" s="276"/>
      <c r="AM880" s="283"/>
      <c r="AN880" s="276"/>
      <c r="AO880" s="283"/>
      <c r="AP880" s="276"/>
      <c r="AQ880" s="283"/>
      <c r="AR880" s="276"/>
      <c r="AT880" s="283"/>
      <c r="AU880" s="276"/>
      <c r="AV880" s="283"/>
      <c r="AW880" s="276"/>
      <c r="AX880" s="283"/>
      <c r="AY880" s="276"/>
      <c r="AZ880" s="283"/>
      <c r="BA880" s="276"/>
      <c r="BB880" s="283"/>
      <c r="BC880" s="276"/>
      <c r="BD880" s="283"/>
      <c r="BE880" s="276"/>
      <c r="BG880" s="283"/>
      <c r="BH880" s="276"/>
      <c r="BI880" s="283"/>
      <c r="BJ880" s="276"/>
      <c r="BK880" s="283"/>
      <c r="BL880" s="276"/>
      <c r="BM880" s="283"/>
      <c r="BN880" s="276"/>
      <c r="BO880" s="283"/>
      <c r="BP880" s="276"/>
      <c r="BQ880" s="283"/>
      <c r="BR880" s="283"/>
      <c r="BS880" s="276"/>
    </row>
    <row r="881" spans="12:71" ht="12" customHeight="1">
      <c r="L881" s="283"/>
      <c r="M881" s="276"/>
      <c r="N881" s="283"/>
      <c r="O881" s="276"/>
      <c r="P881" s="283"/>
      <c r="Q881" s="276"/>
      <c r="S881" s="283"/>
      <c r="T881" s="276"/>
      <c r="W881" s="283"/>
      <c r="X881" s="276"/>
      <c r="Y881" s="283"/>
      <c r="Z881" s="276"/>
      <c r="AA881" s="283"/>
      <c r="AB881" s="276"/>
      <c r="AC881" s="283"/>
      <c r="AE881" s="283"/>
      <c r="AF881" s="276"/>
      <c r="AI881" s="283"/>
      <c r="AJ881" s="276"/>
      <c r="AK881" s="283"/>
      <c r="AL881" s="276"/>
      <c r="AM881" s="283"/>
      <c r="AN881" s="276"/>
      <c r="AO881" s="283"/>
      <c r="AP881" s="276"/>
      <c r="AQ881" s="283"/>
      <c r="AR881" s="276"/>
      <c r="AT881" s="283"/>
      <c r="AU881" s="276"/>
      <c r="AV881" s="283"/>
      <c r="AW881" s="276"/>
      <c r="AX881" s="283"/>
      <c r="AY881" s="276"/>
      <c r="AZ881" s="283"/>
      <c r="BA881" s="276"/>
      <c r="BB881" s="283"/>
      <c r="BC881" s="276"/>
      <c r="BD881" s="283"/>
      <c r="BE881" s="276"/>
      <c r="BG881" s="283"/>
      <c r="BH881" s="276"/>
      <c r="BI881" s="283"/>
      <c r="BJ881" s="276"/>
      <c r="BK881" s="283"/>
      <c r="BL881" s="276"/>
      <c r="BM881" s="283"/>
      <c r="BN881" s="276"/>
      <c r="BO881" s="283"/>
      <c r="BP881" s="276"/>
      <c r="BQ881" s="283"/>
      <c r="BR881" s="283"/>
      <c r="BS881" s="276"/>
    </row>
    <row r="882" spans="12:71" ht="12" customHeight="1">
      <c r="L882" s="283"/>
      <c r="M882" s="276"/>
      <c r="N882" s="283"/>
      <c r="O882" s="276"/>
      <c r="P882" s="283"/>
      <c r="Q882" s="276"/>
      <c r="S882" s="283"/>
      <c r="T882" s="276"/>
      <c r="W882" s="283"/>
      <c r="X882" s="276"/>
      <c r="Y882" s="283"/>
      <c r="Z882" s="276"/>
      <c r="AA882" s="283"/>
      <c r="AB882" s="276"/>
      <c r="AC882" s="283"/>
      <c r="AE882" s="283"/>
      <c r="AF882" s="276"/>
      <c r="AI882" s="283"/>
      <c r="AJ882" s="276"/>
      <c r="AK882" s="283"/>
      <c r="AL882" s="276"/>
      <c r="AM882" s="283"/>
      <c r="AN882" s="276"/>
      <c r="AO882" s="283"/>
      <c r="AP882" s="276"/>
      <c r="AQ882" s="283"/>
      <c r="AR882" s="276"/>
      <c r="AT882" s="283"/>
      <c r="AU882" s="276"/>
      <c r="AV882" s="283"/>
      <c r="AW882" s="276"/>
      <c r="AX882" s="283"/>
      <c r="AY882" s="276"/>
      <c r="AZ882" s="283"/>
      <c r="BA882" s="276"/>
      <c r="BB882" s="283"/>
      <c r="BC882" s="276"/>
      <c r="BD882" s="283"/>
      <c r="BE882" s="276"/>
      <c r="BG882" s="283"/>
      <c r="BH882" s="276"/>
      <c r="BI882" s="283"/>
      <c r="BJ882" s="276"/>
      <c r="BK882" s="283"/>
      <c r="BL882" s="276"/>
      <c r="BM882" s="283"/>
      <c r="BN882" s="276"/>
      <c r="BO882" s="283"/>
      <c r="BP882" s="276"/>
      <c r="BQ882" s="283"/>
      <c r="BR882" s="283"/>
      <c r="BS882" s="276"/>
    </row>
    <row r="883" spans="12:71" ht="12" customHeight="1">
      <c r="L883" s="283"/>
      <c r="M883" s="276"/>
      <c r="N883" s="283"/>
      <c r="O883" s="276"/>
      <c r="P883" s="283"/>
      <c r="Q883" s="276"/>
      <c r="S883" s="283"/>
      <c r="T883" s="276"/>
      <c r="W883" s="283"/>
      <c r="X883" s="276"/>
      <c r="Y883" s="283"/>
      <c r="Z883" s="276"/>
      <c r="AA883" s="283"/>
      <c r="AB883" s="276"/>
      <c r="AC883" s="283"/>
      <c r="AE883" s="283"/>
      <c r="AF883" s="276"/>
      <c r="AI883" s="283"/>
      <c r="AJ883" s="276"/>
      <c r="AK883" s="283"/>
      <c r="AL883" s="276"/>
      <c r="AM883" s="283"/>
      <c r="AN883" s="276"/>
      <c r="AO883" s="283"/>
      <c r="AP883" s="276"/>
      <c r="AQ883" s="283"/>
      <c r="AR883" s="276"/>
      <c r="AT883" s="283"/>
      <c r="AU883" s="276"/>
      <c r="AV883" s="283"/>
      <c r="AW883" s="276"/>
      <c r="AX883" s="283"/>
      <c r="AY883" s="276"/>
      <c r="AZ883" s="283"/>
      <c r="BA883" s="276"/>
      <c r="BB883" s="283"/>
      <c r="BC883" s="276"/>
      <c r="BD883" s="283"/>
      <c r="BE883" s="276"/>
      <c r="BG883" s="283"/>
      <c r="BH883" s="276"/>
      <c r="BI883" s="283"/>
      <c r="BJ883" s="276"/>
      <c r="BK883" s="283"/>
      <c r="BL883" s="276"/>
      <c r="BM883" s="283"/>
      <c r="BN883" s="276"/>
      <c r="BO883" s="283"/>
      <c r="BP883" s="276"/>
      <c r="BQ883" s="283"/>
      <c r="BR883" s="283"/>
      <c r="BS883" s="276"/>
    </row>
    <row r="884" spans="12:71" ht="12" customHeight="1">
      <c r="L884" s="283"/>
      <c r="M884" s="276"/>
      <c r="N884" s="283"/>
      <c r="O884" s="276"/>
      <c r="P884" s="283"/>
      <c r="Q884" s="276"/>
      <c r="S884" s="283"/>
      <c r="T884" s="276"/>
      <c r="W884" s="283"/>
      <c r="X884" s="276"/>
      <c r="Y884" s="283"/>
      <c r="Z884" s="276"/>
      <c r="AA884" s="283"/>
      <c r="AB884" s="276"/>
      <c r="AC884" s="283"/>
      <c r="AE884" s="283"/>
      <c r="AF884" s="276"/>
      <c r="AI884" s="283"/>
      <c r="AJ884" s="276"/>
      <c r="AK884" s="283"/>
      <c r="AL884" s="276"/>
      <c r="AM884" s="283"/>
      <c r="AN884" s="276"/>
      <c r="AO884" s="283"/>
      <c r="AP884" s="276"/>
      <c r="AQ884" s="283"/>
      <c r="AR884" s="276"/>
      <c r="AT884" s="283"/>
      <c r="AU884" s="276"/>
      <c r="AV884" s="283"/>
      <c r="AW884" s="276"/>
      <c r="AX884" s="283"/>
      <c r="AY884" s="276"/>
      <c r="AZ884" s="283"/>
      <c r="BA884" s="276"/>
      <c r="BB884" s="283"/>
      <c r="BC884" s="276"/>
      <c r="BD884" s="283"/>
      <c r="BE884" s="276"/>
      <c r="BG884" s="283"/>
      <c r="BH884" s="276"/>
      <c r="BI884" s="283"/>
      <c r="BJ884" s="276"/>
      <c r="BK884" s="283"/>
      <c r="BL884" s="276"/>
      <c r="BM884" s="283"/>
      <c r="BN884" s="276"/>
      <c r="BO884" s="283"/>
      <c r="BP884" s="276"/>
      <c r="BQ884" s="283"/>
      <c r="BR884" s="283"/>
      <c r="BS884" s="276"/>
    </row>
    <row r="885" spans="12:71" ht="12" customHeight="1">
      <c r="L885" s="283"/>
      <c r="M885" s="276"/>
      <c r="N885" s="283"/>
      <c r="O885" s="276"/>
      <c r="P885" s="283"/>
      <c r="Q885" s="276"/>
      <c r="S885" s="283"/>
      <c r="T885" s="276"/>
      <c r="W885" s="283"/>
      <c r="X885" s="276"/>
      <c r="Y885" s="283"/>
      <c r="Z885" s="276"/>
      <c r="AA885" s="283"/>
      <c r="AB885" s="276"/>
      <c r="AC885" s="283"/>
      <c r="AE885" s="283"/>
      <c r="AF885" s="276"/>
      <c r="AI885" s="283"/>
      <c r="AJ885" s="276"/>
      <c r="AK885" s="283"/>
      <c r="AL885" s="276"/>
      <c r="AM885" s="283"/>
      <c r="AN885" s="276"/>
      <c r="AO885" s="283"/>
      <c r="AP885" s="276"/>
      <c r="AQ885" s="283"/>
      <c r="AR885" s="276"/>
      <c r="AT885" s="283"/>
      <c r="AU885" s="276"/>
      <c r="AV885" s="283"/>
      <c r="AW885" s="276"/>
      <c r="AX885" s="283"/>
      <c r="AY885" s="276"/>
      <c r="AZ885" s="283"/>
      <c r="BA885" s="276"/>
      <c r="BB885" s="283"/>
      <c r="BC885" s="276"/>
      <c r="BD885" s="283"/>
      <c r="BE885" s="276"/>
      <c r="BG885" s="283"/>
      <c r="BH885" s="276"/>
      <c r="BI885" s="283"/>
      <c r="BJ885" s="276"/>
      <c r="BK885" s="283"/>
      <c r="BL885" s="276"/>
      <c r="BM885" s="283"/>
      <c r="BN885" s="276"/>
      <c r="BO885" s="283"/>
      <c r="BP885" s="276"/>
      <c r="BQ885" s="283"/>
      <c r="BR885" s="283"/>
      <c r="BS885" s="276"/>
    </row>
    <row r="886" spans="12:71" ht="12" customHeight="1">
      <c r="L886" s="283"/>
      <c r="M886" s="276"/>
      <c r="N886" s="283"/>
      <c r="O886" s="276"/>
      <c r="P886" s="283"/>
      <c r="Q886" s="276"/>
      <c r="S886" s="283"/>
      <c r="T886" s="276"/>
      <c r="W886" s="283"/>
      <c r="X886" s="276"/>
      <c r="Y886" s="283"/>
      <c r="Z886" s="276"/>
      <c r="AA886" s="283"/>
      <c r="AB886" s="276"/>
      <c r="AC886" s="283"/>
      <c r="AE886" s="283"/>
      <c r="AF886" s="276"/>
      <c r="AI886" s="283"/>
      <c r="AJ886" s="276"/>
      <c r="AK886" s="283"/>
      <c r="AL886" s="276"/>
      <c r="AM886" s="283"/>
      <c r="AN886" s="276"/>
      <c r="AO886" s="283"/>
      <c r="AP886" s="276"/>
      <c r="AQ886" s="283"/>
      <c r="AR886" s="276"/>
      <c r="AT886" s="283"/>
      <c r="AU886" s="276"/>
      <c r="AV886" s="283"/>
      <c r="AW886" s="276"/>
      <c r="AX886" s="283"/>
      <c r="AY886" s="276"/>
      <c r="AZ886" s="283"/>
      <c r="BA886" s="276"/>
      <c r="BB886" s="283"/>
      <c r="BC886" s="276"/>
      <c r="BD886" s="283"/>
      <c r="BE886" s="276"/>
      <c r="BG886" s="283"/>
      <c r="BH886" s="276"/>
      <c r="BI886" s="283"/>
      <c r="BJ886" s="276"/>
      <c r="BK886" s="283"/>
      <c r="BL886" s="276"/>
      <c r="BM886" s="283"/>
      <c r="BN886" s="276"/>
      <c r="BO886" s="283"/>
      <c r="BP886" s="276"/>
      <c r="BQ886" s="283"/>
      <c r="BR886" s="283"/>
      <c r="BS886" s="276"/>
    </row>
    <row r="887" spans="12:71" ht="12" customHeight="1">
      <c r="L887" s="283"/>
      <c r="M887" s="276"/>
      <c r="N887" s="283"/>
      <c r="O887" s="276"/>
      <c r="P887" s="283"/>
      <c r="Q887" s="276"/>
      <c r="S887" s="283"/>
      <c r="T887" s="276"/>
      <c r="W887" s="283"/>
      <c r="X887" s="276"/>
      <c r="Y887" s="283"/>
      <c r="Z887" s="276"/>
      <c r="AA887" s="283"/>
      <c r="AB887" s="276"/>
      <c r="AC887" s="283"/>
      <c r="AE887" s="283"/>
      <c r="AF887" s="276"/>
      <c r="AI887" s="283"/>
      <c r="AJ887" s="276"/>
      <c r="AK887" s="283"/>
      <c r="AL887" s="276"/>
      <c r="AM887" s="283"/>
      <c r="AN887" s="276"/>
      <c r="AO887" s="283"/>
      <c r="AP887" s="276"/>
      <c r="AQ887" s="283"/>
      <c r="AR887" s="276"/>
      <c r="AT887" s="283"/>
      <c r="AU887" s="276"/>
      <c r="AV887" s="283"/>
      <c r="AW887" s="276"/>
      <c r="AX887" s="283"/>
      <c r="AY887" s="276"/>
      <c r="AZ887" s="283"/>
      <c r="BA887" s="276"/>
      <c r="BB887" s="283"/>
      <c r="BC887" s="276"/>
      <c r="BD887" s="283"/>
      <c r="BE887" s="276"/>
      <c r="BG887" s="283"/>
      <c r="BH887" s="276"/>
      <c r="BI887" s="283"/>
      <c r="BJ887" s="276"/>
      <c r="BK887" s="283"/>
      <c r="BL887" s="276"/>
      <c r="BM887" s="283"/>
      <c r="BN887" s="276"/>
      <c r="BO887" s="283"/>
      <c r="BP887" s="276"/>
      <c r="BQ887" s="283"/>
      <c r="BR887" s="283"/>
      <c r="BS887" s="276"/>
    </row>
    <row r="888" spans="12:71" ht="12" customHeight="1">
      <c r="L888" s="283"/>
      <c r="M888" s="276"/>
      <c r="N888" s="283"/>
      <c r="O888" s="276"/>
      <c r="P888" s="283"/>
      <c r="Q888" s="276"/>
      <c r="S888" s="283"/>
      <c r="T888" s="276"/>
      <c r="W888" s="283"/>
      <c r="X888" s="276"/>
      <c r="Y888" s="283"/>
      <c r="Z888" s="276"/>
      <c r="AA888" s="283"/>
      <c r="AB888" s="276"/>
      <c r="AC888" s="283"/>
      <c r="AE888" s="283"/>
      <c r="AF888" s="276"/>
      <c r="AI888" s="283"/>
      <c r="AJ888" s="276"/>
      <c r="AK888" s="283"/>
      <c r="AL888" s="276"/>
      <c r="AM888" s="283"/>
      <c r="AN888" s="276"/>
      <c r="AO888" s="283"/>
      <c r="AP888" s="276"/>
      <c r="AQ888" s="283"/>
      <c r="AR888" s="276"/>
      <c r="AT888" s="283"/>
      <c r="AU888" s="276"/>
      <c r="AV888" s="283"/>
      <c r="AW888" s="276"/>
      <c r="AX888" s="283"/>
      <c r="AY888" s="276"/>
      <c r="AZ888" s="283"/>
      <c r="BA888" s="276"/>
      <c r="BB888" s="283"/>
      <c r="BC888" s="276"/>
      <c r="BD888" s="283"/>
      <c r="BE888" s="276"/>
      <c r="BG888" s="283"/>
      <c r="BH888" s="276"/>
      <c r="BI888" s="283"/>
      <c r="BJ888" s="276"/>
      <c r="BK888" s="283"/>
      <c r="BL888" s="276"/>
      <c r="BM888" s="283"/>
      <c r="BN888" s="276"/>
      <c r="BO888" s="283"/>
      <c r="BP888" s="276"/>
      <c r="BQ888" s="283"/>
      <c r="BR888" s="283"/>
      <c r="BS888" s="276"/>
    </row>
    <row r="889" spans="12:71" ht="12" customHeight="1">
      <c r="L889" s="283"/>
      <c r="M889" s="276"/>
      <c r="N889" s="283"/>
      <c r="O889" s="276"/>
      <c r="P889" s="283"/>
      <c r="Q889" s="276"/>
      <c r="S889" s="283"/>
      <c r="T889" s="276"/>
      <c r="W889" s="283"/>
      <c r="X889" s="276"/>
      <c r="Y889" s="283"/>
      <c r="Z889" s="276"/>
      <c r="AA889" s="283"/>
      <c r="AB889" s="276"/>
      <c r="AC889" s="283"/>
      <c r="AE889" s="283"/>
      <c r="AF889" s="276"/>
      <c r="AI889" s="283"/>
      <c r="AJ889" s="276"/>
      <c r="AK889" s="283"/>
      <c r="AL889" s="276"/>
      <c r="AM889" s="283"/>
      <c r="AN889" s="276"/>
      <c r="AO889" s="283"/>
      <c r="AP889" s="276"/>
      <c r="AQ889" s="283"/>
      <c r="AR889" s="276"/>
      <c r="AT889" s="283"/>
      <c r="AU889" s="276"/>
      <c r="AV889" s="283"/>
      <c r="AW889" s="276"/>
      <c r="AX889" s="283"/>
      <c r="AY889" s="276"/>
      <c r="AZ889" s="283"/>
      <c r="BA889" s="276"/>
      <c r="BB889" s="283"/>
      <c r="BC889" s="276"/>
      <c r="BD889" s="283"/>
      <c r="BE889" s="276"/>
      <c r="BG889" s="283"/>
      <c r="BH889" s="276"/>
      <c r="BI889" s="283"/>
      <c r="BJ889" s="276"/>
      <c r="BK889" s="283"/>
      <c r="BL889" s="276"/>
      <c r="BM889" s="283"/>
      <c r="BN889" s="276"/>
      <c r="BO889" s="283"/>
      <c r="BP889" s="276"/>
      <c r="BQ889" s="283"/>
      <c r="BR889" s="283"/>
      <c r="BS889" s="276"/>
    </row>
    <row r="890" spans="12:71" ht="12" customHeight="1">
      <c r="L890" s="283"/>
      <c r="M890" s="276"/>
      <c r="N890" s="283"/>
      <c r="O890" s="276"/>
      <c r="P890" s="283"/>
      <c r="Q890" s="276"/>
      <c r="S890" s="283"/>
      <c r="T890" s="276"/>
      <c r="W890" s="283"/>
      <c r="X890" s="276"/>
      <c r="Y890" s="283"/>
      <c r="Z890" s="276"/>
      <c r="AA890" s="283"/>
      <c r="AB890" s="276"/>
      <c r="AC890" s="283"/>
      <c r="AE890" s="283"/>
      <c r="AF890" s="276"/>
      <c r="AI890" s="283"/>
      <c r="AJ890" s="276"/>
      <c r="AK890" s="283"/>
      <c r="AL890" s="276"/>
      <c r="AM890" s="283"/>
      <c r="AN890" s="276"/>
      <c r="AO890" s="283"/>
      <c r="AP890" s="276"/>
      <c r="AQ890" s="283"/>
      <c r="AR890" s="276"/>
      <c r="AT890" s="283"/>
      <c r="AU890" s="276"/>
      <c r="AV890" s="283"/>
      <c r="AW890" s="276"/>
      <c r="AX890" s="283"/>
      <c r="AY890" s="276"/>
      <c r="AZ890" s="283"/>
      <c r="BA890" s="276"/>
      <c r="BB890" s="283"/>
      <c r="BC890" s="276"/>
      <c r="BD890" s="283"/>
      <c r="BE890" s="276"/>
      <c r="BG890" s="283"/>
      <c r="BH890" s="276"/>
      <c r="BI890" s="283"/>
      <c r="BJ890" s="276"/>
      <c r="BK890" s="283"/>
      <c r="BL890" s="276"/>
      <c r="BM890" s="283"/>
      <c r="BN890" s="276"/>
      <c r="BO890" s="283"/>
      <c r="BP890" s="276"/>
      <c r="BQ890" s="283"/>
      <c r="BR890" s="283"/>
      <c r="BS890" s="276"/>
    </row>
    <row r="891" spans="12:71" ht="12" customHeight="1">
      <c r="L891" s="283"/>
      <c r="M891" s="276"/>
      <c r="N891" s="283"/>
      <c r="O891" s="276"/>
      <c r="P891" s="283"/>
      <c r="Q891" s="276"/>
      <c r="S891" s="283"/>
      <c r="T891" s="276"/>
      <c r="W891" s="283"/>
      <c r="X891" s="276"/>
      <c r="Y891" s="283"/>
      <c r="Z891" s="276"/>
      <c r="AA891" s="283"/>
      <c r="AB891" s="276"/>
      <c r="AC891" s="283"/>
      <c r="AE891" s="283"/>
      <c r="AF891" s="276"/>
      <c r="AI891" s="283"/>
      <c r="AJ891" s="276"/>
      <c r="AK891" s="283"/>
      <c r="AL891" s="276"/>
      <c r="AM891" s="283"/>
      <c r="AN891" s="276"/>
      <c r="AO891" s="283"/>
      <c r="AP891" s="276"/>
      <c r="AQ891" s="283"/>
      <c r="AR891" s="276"/>
      <c r="AT891" s="283"/>
      <c r="AU891" s="276"/>
      <c r="AV891" s="283"/>
      <c r="AW891" s="276"/>
      <c r="AX891" s="283"/>
      <c r="AY891" s="276"/>
      <c r="AZ891" s="283"/>
      <c r="BA891" s="276"/>
      <c r="BB891" s="283"/>
      <c r="BC891" s="276"/>
      <c r="BD891" s="283"/>
      <c r="BE891" s="276"/>
      <c r="BG891" s="283"/>
      <c r="BH891" s="276"/>
      <c r="BI891" s="283"/>
      <c r="BJ891" s="276"/>
      <c r="BK891" s="283"/>
      <c r="BL891" s="276"/>
      <c r="BM891" s="283"/>
      <c r="BN891" s="276"/>
      <c r="BO891" s="283"/>
      <c r="BP891" s="276"/>
      <c r="BQ891" s="283"/>
      <c r="BR891" s="283"/>
      <c r="BS891" s="276"/>
    </row>
    <row r="892" spans="12:71" ht="12" customHeight="1">
      <c r="L892" s="283"/>
      <c r="M892" s="276"/>
      <c r="N892" s="283"/>
      <c r="O892" s="276"/>
      <c r="P892" s="283"/>
      <c r="Q892" s="276"/>
      <c r="S892" s="283"/>
      <c r="T892" s="276"/>
      <c r="W892" s="283"/>
      <c r="X892" s="276"/>
      <c r="Y892" s="283"/>
      <c r="Z892" s="276"/>
      <c r="AA892" s="283"/>
      <c r="AB892" s="276"/>
      <c r="AC892" s="283"/>
      <c r="AE892" s="283"/>
      <c r="AF892" s="276"/>
      <c r="AI892" s="283"/>
      <c r="AJ892" s="276"/>
      <c r="AK892" s="283"/>
      <c r="AL892" s="276"/>
      <c r="AM892" s="283"/>
      <c r="AN892" s="276"/>
      <c r="AO892" s="283"/>
      <c r="AP892" s="276"/>
      <c r="AQ892" s="283"/>
      <c r="AR892" s="276"/>
      <c r="AT892" s="283"/>
      <c r="AU892" s="276"/>
      <c r="AV892" s="283"/>
      <c r="AW892" s="276"/>
      <c r="AX892" s="283"/>
      <c r="AY892" s="276"/>
      <c r="AZ892" s="283"/>
      <c r="BA892" s="276"/>
      <c r="BB892" s="283"/>
      <c r="BC892" s="276"/>
      <c r="BD892" s="283"/>
      <c r="BE892" s="276"/>
      <c r="BG892" s="283"/>
      <c r="BH892" s="276"/>
      <c r="BI892" s="283"/>
      <c r="BJ892" s="276"/>
      <c r="BK892" s="283"/>
      <c r="BL892" s="276"/>
      <c r="BM892" s="283"/>
      <c r="BN892" s="276"/>
      <c r="BO892" s="283"/>
      <c r="BP892" s="276"/>
      <c r="BQ892" s="283"/>
      <c r="BR892" s="283"/>
      <c r="BS892" s="276"/>
    </row>
    <row r="893" spans="12:71" ht="12" customHeight="1">
      <c r="L893" s="283"/>
      <c r="M893" s="276"/>
      <c r="N893" s="283"/>
      <c r="O893" s="276"/>
      <c r="P893" s="283"/>
      <c r="Q893" s="276"/>
      <c r="S893" s="283"/>
      <c r="T893" s="276"/>
      <c r="W893" s="283"/>
      <c r="X893" s="276"/>
      <c r="Y893" s="283"/>
      <c r="Z893" s="276"/>
      <c r="AA893" s="283"/>
      <c r="AB893" s="276"/>
      <c r="AC893" s="283"/>
      <c r="AE893" s="283"/>
      <c r="AF893" s="276"/>
      <c r="AI893" s="283"/>
      <c r="AJ893" s="276"/>
      <c r="AK893" s="283"/>
      <c r="AL893" s="276"/>
      <c r="AM893" s="283"/>
      <c r="AN893" s="276"/>
      <c r="AO893" s="283"/>
      <c r="AP893" s="276"/>
      <c r="AQ893" s="283"/>
      <c r="AR893" s="276"/>
      <c r="AT893" s="283"/>
      <c r="AU893" s="276"/>
      <c r="AV893" s="283"/>
      <c r="AW893" s="276"/>
      <c r="AX893" s="283"/>
      <c r="AY893" s="276"/>
      <c r="AZ893" s="283"/>
      <c r="BA893" s="276"/>
      <c r="BB893" s="283"/>
      <c r="BC893" s="276"/>
      <c r="BD893" s="283"/>
      <c r="BE893" s="276"/>
      <c r="BG893" s="283"/>
      <c r="BH893" s="276"/>
      <c r="BI893" s="283"/>
      <c r="BJ893" s="276"/>
      <c r="BK893" s="283"/>
      <c r="BL893" s="276"/>
      <c r="BM893" s="283"/>
      <c r="BN893" s="276"/>
      <c r="BO893" s="283"/>
      <c r="BP893" s="276"/>
      <c r="BQ893" s="283"/>
      <c r="BR893" s="283"/>
      <c r="BS893" s="276"/>
    </row>
    <row r="894" spans="12:71" ht="12" customHeight="1">
      <c r="L894" s="283"/>
      <c r="M894" s="276"/>
      <c r="N894" s="283"/>
      <c r="O894" s="276"/>
      <c r="P894" s="283"/>
      <c r="Q894" s="276"/>
      <c r="S894" s="283"/>
      <c r="T894" s="276"/>
      <c r="W894" s="283"/>
      <c r="X894" s="276"/>
      <c r="Y894" s="283"/>
      <c r="Z894" s="276"/>
      <c r="AA894" s="283"/>
      <c r="AB894" s="276"/>
      <c r="AC894" s="283"/>
      <c r="AE894" s="283"/>
      <c r="AF894" s="276"/>
      <c r="AI894" s="283"/>
      <c r="AJ894" s="276"/>
      <c r="AK894" s="283"/>
      <c r="AL894" s="276"/>
      <c r="AM894" s="283"/>
      <c r="AN894" s="276"/>
      <c r="AO894" s="283"/>
      <c r="AP894" s="276"/>
      <c r="AQ894" s="283"/>
      <c r="AR894" s="276"/>
      <c r="AT894" s="283"/>
      <c r="AU894" s="276"/>
      <c r="AV894" s="283"/>
      <c r="AW894" s="276"/>
      <c r="AX894" s="283"/>
      <c r="AY894" s="276"/>
      <c r="AZ894" s="283"/>
      <c r="BA894" s="276"/>
      <c r="BB894" s="283"/>
      <c r="BC894" s="276"/>
      <c r="BD894" s="283"/>
      <c r="BE894" s="276"/>
      <c r="BG894" s="283"/>
      <c r="BH894" s="276"/>
      <c r="BI894" s="283"/>
      <c r="BJ894" s="276"/>
      <c r="BK894" s="283"/>
      <c r="BL894" s="276"/>
      <c r="BM894" s="283"/>
      <c r="BN894" s="276"/>
      <c r="BO894" s="283"/>
      <c r="BP894" s="276"/>
      <c r="BQ894" s="283"/>
      <c r="BR894" s="283"/>
      <c r="BS894" s="276"/>
    </row>
    <row r="895" spans="12:71" ht="12" customHeight="1">
      <c r="L895" s="283"/>
      <c r="M895" s="276"/>
      <c r="N895" s="283"/>
      <c r="O895" s="276"/>
      <c r="P895" s="283"/>
      <c r="Q895" s="276"/>
      <c r="S895" s="283"/>
      <c r="T895" s="276"/>
      <c r="W895" s="283"/>
      <c r="X895" s="276"/>
      <c r="Y895" s="283"/>
      <c r="Z895" s="276"/>
      <c r="AA895" s="283"/>
      <c r="AB895" s="276"/>
      <c r="AC895" s="283"/>
      <c r="AE895" s="283"/>
      <c r="AF895" s="276"/>
      <c r="AI895" s="283"/>
      <c r="AJ895" s="276"/>
      <c r="AK895" s="283"/>
      <c r="AL895" s="276"/>
      <c r="AM895" s="283"/>
      <c r="AN895" s="276"/>
      <c r="AO895" s="283"/>
      <c r="AP895" s="276"/>
      <c r="AQ895" s="283"/>
      <c r="AR895" s="276"/>
      <c r="AT895" s="283"/>
      <c r="AU895" s="276"/>
      <c r="AV895" s="283"/>
      <c r="AW895" s="276"/>
      <c r="AX895" s="283"/>
      <c r="AY895" s="276"/>
      <c r="AZ895" s="283"/>
      <c r="BA895" s="276"/>
      <c r="BB895" s="283"/>
      <c r="BC895" s="276"/>
      <c r="BD895" s="283"/>
      <c r="BE895" s="276"/>
      <c r="BG895" s="283"/>
      <c r="BH895" s="276"/>
      <c r="BI895" s="283"/>
      <c r="BJ895" s="276"/>
      <c r="BK895" s="283"/>
      <c r="BL895" s="276"/>
      <c r="BM895" s="283"/>
      <c r="BN895" s="276"/>
      <c r="BO895" s="283"/>
      <c r="BP895" s="276"/>
      <c r="BQ895" s="283"/>
      <c r="BR895" s="283"/>
      <c r="BS895" s="276"/>
    </row>
    <row r="896" spans="12:71" ht="12" customHeight="1">
      <c r="L896" s="283"/>
      <c r="M896" s="276"/>
      <c r="N896" s="283"/>
      <c r="O896" s="276"/>
      <c r="P896" s="283"/>
      <c r="Q896" s="276"/>
      <c r="S896" s="283"/>
      <c r="T896" s="276"/>
      <c r="W896" s="283"/>
      <c r="X896" s="276"/>
      <c r="Y896" s="283"/>
      <c r="Z896" s="276"/>
      <c r="AA896" s="283"/>
      <c r="AB896" s="276"/>
      <c r="AC896" s="283"/>
      <c r="AE896" s="283"/>
      <c r="AF896" s="276"/>
      <c r="AI896" s="283"/>
      <c r="AJ896" s="276"/>
      <c r="AK896" s="283"/>
      <c r="AL896" s="276"/>
      <c r="AM896" s="283"/>
      <c r="AN896" s="276"/>
      <c r="AO896" s="283"/>
      <c r="AP896" s="276"/>
      <c r="AQ896" s="283"/>
      <c r="AR896" s="276"/>
      <c r="AT896" s="283"/>
      <c r="AU896" s="276"/>
      <c r="AV896" s="283"/>
      <c r="AW896" s="276"/>
      <c r="AX896" s="283"/>
      <c r="AY896" s="276"/>
      <c r="AZ896" s="283"/>
      <c r="BA896" s="276"/>
      <c r="BB896" s="283"/>
      <c r="BC896" s="276"/>
      <c r="BD896" s="283"/>
      <c r="BE896" s="276"/>
      <c r="BG896" s="283"/>
      <c r="BH896" s="276"/>
      <c r="BI896" s="283"/>
      <c r="BJ896" s="276"/>
      <c r="BK896" s="283"/>
      <c r="BL896" s="276"/>
      <c r="BM896" s="283"/>
      <c r="BN896" s="276"/>
      <c r="BO896" s="283"/>
      <c r="BP896" s="276"/>
      <c r="BQ896" s="283"/>
      <c r="BR896" s="283"/>
      <c r="BS896" s="276"/>
    </row>
    <row r="897" spans="12:71" ht="12" customHeight="1">
      <c r="L897" s="283"/>
      <c r="M897" s="276"/>
      <c r="N897" s="283"/>
      <c r="O897" s="276"/>
      <c r="P897" s="283"/>
      <c r="Q897" s="276"/>
      <c r="S897" s="283"/>
      <c r="T897" s="276"/>
      <c r="W897" s="283"/>
      <c r="X897" s="276"/>
      <c r="Y897" s="283"/>
      <c r="Z897" s="276"/>
      <c r="AA897" s="283"/>
      <c r="AB897" s="276"/>
      <c r="AC897" s="283"/>
      <c r="AE897" s="283"/>
      <c r="AF897" s="276"/>
      <c r="AI897" s="283"/>
      <c r="AJ897" s="276"/>
      <c r="AK897" s="283"/>
      <c r="AL897" s="276"/>
      <c r="AM897" s="283"/>
      <c r="AN897" s="276"/>
      <c r="AO897" s="283"/>
      <c r="AP897" s="276"/>
      <c r="AQ897" s="283"/>
      <c r="AR897" s="276"/>
      <c r="AT897" s="283"/>
      <c r="AU897" s="276"/>
      <c r="AV897" s="283"/>
      <c r="AW897" s="276"/>
      <c r="AX897" s="283"/>
      <c r="AY897" s="276"/>
      <c r="AZ897" s="283"/>
      <c r="BA897" s="276"/>
      <c r="BB897" s="283"/>
      <c r="BC897" s="276"/>
      <c r="BD897" s="283"/>
      <c r="BE897" s="276"/>
      <c r="BG897" s="283"/>
      <c r="BH897" s="276"/>
      <c r="BI897" s="283"/>
      <c r="BJ897" s="276"/>
      <c r="BK897" s="283"/>
      <c r="BL897" s="276"/>
      <c r="BM897" s="283"/>
      <c r="BN897" s="276"/>
      <c r="BO897" s="283"/>
      <c r="BP897" s="276"/>
      <c r="BQ897" s="283"/>
      <c r="BR897" s="283"/>
      <c r="BS897" s="276"/>
    </row>
    <row r="898" spans="12:71" ht="12" customHeight="1">
      <c r="L898" s="283"/>
      <c r="M898" s="276"/>
      <c r="N898" s="283"/>
      <c r="O898" s="276"/>
      <c r="P898" s="283"/>
      <c r="Q898" s="276"/>
      <c r="S898" s="283"/>
      <c r="T898" s="276"/>
      <c r="W898" s="283"/>
      <c r="X898" s="276"/>
      <c r="Y898" s="283"/>
      <c r="Z898" s="276"/>
      <c r="AA898" s="283"/>
      <c r="AB898" s="276"/>
      <c r="AC898" s="283"/>
      <c r="AE898" s="283"/>
      <c r="AF898" s="276"/>
      <c r="AI898" s="283"/>
      <c r="AJ898" s="276"/>
      <c r="AK898" s="283"/>
      <c r="AL898" s="276"/>
      <c r="AM898" s="283"/>
      <c r="AN898" s="276"/>
      <c r="AO898" s="283"/>
      <c r="AP898" s="276"/>
      <c r="AQ898" s="283"/>
      <c r="AR898" s="276"/>
      <c r="AT898" s="283"/>
      <c r="AU898" s="276"/>
      <c r="AV898" s="283"/>
      <c r="AW898" s="276"/>
      <c r="AX898" s="283"/>
      <c r="AY898" s="276"/>
      <c r="AZ898" s="283"/>
      <c r="BA898" s="276"/>
      <c r="BB898" s="283"/>
      <c r="BC898" s="276"/>
      <c r="BD898" s="283"/>
      <c r="BE898" s="276"/>
      <c r="BG898" s="283"/>
      <c r="BH898" s="276"/>
      <c r="BI898" s="283"/>
      <c r="BJ898" s="276"/>
      <c r="BK898" s="283"/>
      <c r="BL898" s="276"/>
      <c r="BM898" s="283"/>
      <c r="BN898" s="276"/>
      <c r="BO898" s="283"/>
      <c r="BP898" s="276"/>
      <c r="BQ898" s="283"/>
      <c r="BR898" s="283"/>
      <c r="BS898" s="276"/>
    </row>
    <row r="899" spans="12:71" ht="12" customHeight="1">
      <c r="L899" s="283"/>
      <c r="M899" s="276"/>
      <c r="N899" s="283"/>
      <c r="O899" s="276"/>
      <c r="P899" s="283"/>
      <c r="Q899" s="276"/>
      <c r="S899" s="283"/>
      <c r="T899" s="276"/>
      <c r="W899" s="283"/>
      <c r="X899" s="276"/>
      <c r="Y899" s="283"/>
      <c r="Z899" s="276"/>
      <c r="AA899" s="283"/>
      <c r="AB899" s="276"/>
      <c r="AC899" s="283"/>
      <c r="AE899" s="283"/>
      <c r="AF899" s="276"/>
      <c r="AI899" s="283"/>
      <c r="AJ899" s="276"/>
      <c r="AK899" s="283"/>
      <c r="AL899" s="276"/>
      <c r="AM899" s="283"/>
      <c r="AN899" s="276"/>
      <c r="AO899" s="283"/>
      <c r="AP899" s="276"/>
      <c r="AQ899" s="283"/>
      <c r="AR899" s="276"/>
      <c r="AT899" s="283"/>
      <c r="AU899" s="276"/>
      <c r="AV899" s="283"/>
      <c r="AW899" s="276"/>
      <c r="AX899" s="283"/>
      <c r="AY899" s="276"/>
      <c r="AZ899" s="283"/>
      <c r="BA899" s="276"/>
      <c r="BB899" s="283"/>
      <c r="BC899" s="276"/>
      <c r="BD899" s="283"/>
      <c r="BE899" s="276"/>
      <c r="BG899" s="283"/>
      <c r="BH899" s="276"/>
      <c r="BI899" s="283"/>
      <c r="BJ899" s="276"/>
      <c r="BK899" s="283"/>
      <c r="BL899" s="276"/>
      <c r="BM899" s="283"/>
      <c r="BN899" s="276"/>
      <c r="BO899" s="283"/>
      <c r="BP899" s="276"/>
      <c r="BQ899" s="283"/>
      <c r="BR899" s="283"/>
      <c r="BS899" s="276"/>
    </row>
    <row r="900" spans="12:71" ht="12" customHeight="1">
      <c r="L900" s="283"/>
      <c r="M900" s="276"/>
      <c r="N900" s="283"/>
      <c r="O900" s="276"/>
      <c r="P900" s="283"/>
      <c r="Q900" s="276"/>
      <c r="S900" s="283"/>
      <c r="T900" s="276"/>
      <c r="W900" s="283"/>
      <c r="X900" s="276"/>
      <c r="Y900" s="283"/>
      <c r="Z900" s="276"/>
      <c r="AA900" s="283"/>
      <c r="AB900" s="276"/>
      <c r="AC900" s="283"/>
      <c r="AE900" s="283"/>
      <c r="AF900" s="276"/>
      <c r="AI900" s="283"/>
      <c r="AJ900" s="276"/>
      <c r="AK900" s="283"/>
      <c r="AL900" s="276"/>
      <c r="AM900" s="283"/>
      <c r="AN900" s="276"/>
      <c r="AO900" s="283"/>
      <c r="AP900" s="276"/>
      <c r="AQ900" s="283"/>
      <c r="AR900" s="276"/>
      <c r="AT900" s="283"/>
      <c r="AU900" s="276"/>
      <c r="AV900" s="283"/>
      <c r="AW900" s="276"/>
      <c r="AX900" s="283"/>
      <c r="AY900" s="276"/>
      <c r="AZ900" s="283"/>
      <c r="BA900" s="276"/>
      <c r="BB900" s="283"/>
      <c r="BC900" s="276"/>
      <c r="BD900" s="283"/>
      <c r="BE900" s="276"/>
      <c r="BG900" s="283"/>
      <c r="BH900" s="276"/>
      <c r="BI900" s="283"/>
      <c r="BJ900" s="276"/>
      <c r="BK900" s="283"/>
      <c r="BL900" s="276"/>
      <c r="BM900" s="283"/>
      <c r="BN900" s="276"/>
      <c r="BO900" s="283"/>
      <c r="BP900" s="276"/>
      <c r="BQ900" s="283"/>
      <c r="BR900" s="283"/>
      <c r="BS900" s="276"/>
    </row>
    <row r="901" spans="12:71" ht="12" customHeight="1">
      <c r="L901" s="283"/>
      <c r="M901" s="276"/>
      <c r="N901" s="283"/>
      <c r="O901" s="276"/>
      <c r="P901" s="283"/>
      <c r="Q901" s="276"/>
      <c r="S901" s="283"/>
      <c r="T901" s="276"/>
      <c r="W901" s="283"/>
      <c r="X901" s="276"/>
      <c r="Y901" s="283"/>
      <c r="Z901" s="276"/>
      <c r="AA901" s="283"/>
      <c r="AB901" s="276"/>
      <c r="AC901" s="283"/>
      <c r="AE901" s="283"/>
      <c r="AF901" s="276"/>
      <c r="AI901" s="283"/>
      <c r="AJ901" s="276"/>
      <c r="AK901" s="283"/>
      <c r="AL901" s="276"/>
      <c r="AM901" s="283"/>
      <c r="AN901" s="276"/>
      <c r="AO901" s="283"/>
      <c r="AP901" s="276"/>
      <c r="AQ901" s="283"/>
      <c r="AR901" s="276"/>
      <c r="AT901" s="283"/>
      <c r="AU901" s="276"/>
      <c r="AV901" s="283"/>
      <c r="AW901" s="276"/>
      <c r="AX901" s="283"/>
      <c r="AY901" s="276"/>
      <c r="AZ901" s="283"/>
      <c r="BA901" s="276"/>
      <c r="BB901" s="283"/>
      <c r="BC901" s="276"/>
      <c r="BD901" s="283"/>
      <c r="BE901" s="276"/>
      <c r="BG901" s="283"/>
      <c r="BH901" s="276"/>
      <c r="BI901" s="283"/>
      <c r="BJ901" s="276"/>
      <c r="BK901" s="283"/>
      <c r="BL901" s="276"/>
      <c r="BM901" s="283"/>
      <c r="BN901" s="276"/>
      <c r="BO901" s="283"/>
      <c r="BP901" s="276"/>
      <c r="BQ901" s="283"/>
      <c r="BR901" s="283"/>
      <c r="BS901" s="276"/>
    </row>
    <row r="902" spans="12:71" ht="12" customHeight="1">
      <c r="L902" s="283"/>
      <c r="M902" s="276"/>
      <c r="N902" s="283"/>
      <c r="O902" s="276"/>
      <c r="P902" s="283"/>
      <c r="Q902" s="276"/>
      <c r="S902" s="283"/>
      <c r="T902" s="276"/>
      <c r="W902" s="283"/>
      <c r="X902" s="276"/>
      <c r="Y902" s="283"/>
      <c r="Z902" s="276"/>
      <c r="AA902" s="283"/>
      <c r="AB902" s="276"/>
      <c r="AC902" s="283"/>
      <c r="AE902" s="283"/>
      <c r="AF902" s="276"/>
      <c r="AI902" s="283"/>
      <c r="AJ902" s="276"/>
      <c r="AK902" s="283"/>
      <c r="AL902" s="276"/>
      <c r="AM902" s="283"/>
      <c r="AN902" s="276"/>
      <c r="AO902" s="283"/>
      <c r="AP902" s="276"/>
      <c r="AQ902" s="283"/>
      <c r="AR902" s="276"/>
      <c r="AT902" s="283"/>
      <c r="AU902" s="276"/>
      <c r="AV902" s="283"/>
      <c r="AW902" s="276"/>
      <c r="AX902" s="283"/>
      <c r="AY902" s="276"/>
      <c r="AZ902" s="283"/>
      <c r="BA902" s="276"/>
      <c r="BB902" s="283"/>
      <c r="BC902" s="276"/>
      <c r="BD902" s="283"/>
      <c r="BE902" s="276"/>
      <c r="BG902" s="283"/>
      <c r="BH902" s="276"/>
      <c r="BI902" s="283"/>
      <c r="BJ902" s="276"/>
      <c r="BK902" s="283"/>
      <c r="BL902" s="276"/>
      <c r="BM902" s="283"/>
      <c r="BN902" s="276"/>
      <c r="BO902" s="283"/>
      <c r="BP902" s="276"/>
      <c r="BQ902" s="283"/>
      <c r="BR902" s="283"/>
      <c r="BS902" s="276"/>
    </row>
    <row r="903" spans="12:71" ht="12" customHeight="1">
      <c r="L903" s="283"/>
      <c r="M903" s="276"/>
      <c r="N903" s="283"/>
      <c r="O903" s="276"/>
      <c r="P903" s="283"/>
      <c r="Q903" s="276"/>
      <c r="S903" s="283"/>
      <c r="T903" s="276"/>
      <c r="W903" s="283"/>
      <c r="X903" s="276"/>
      <c r="Y903" s="283"/>
      <c r="Z903" s="276"/>
      <c r="AA903" s="283"/>
      <c r="AB903" s="276"/>
      <c r="AC903" s="283"/>
      <c r="AE903" s="283"/>
      <c r="AF903" s="276"/>
      <c r="AI903" s="283"/>
      <c r="AJ903" s="276"/>
      <c r="AK903" s="283"/>
      <c r="AL903" s="276"/>
      <c r="AM903" s="283"/>
      <c r="AN903" s="276"/>
      <c r="AO903" s="283"/>
      <c r="AP903" s="276"/>
      <c r="AQ903" s="283"/>
      <c r="AR903" s="276"/>
      <c r="AT903" s="283"/>
      <c r="AU903" s="276"/>
      <c r="AV903" s="283"/>
      <c r="AW903" s="276"/>
      <c r="AX903" s="283"/>
      <c r="AY903" s="276"/>
      <c r="AZ903" s="283"/>
      <c r="BA903" s="276"/>
      <c r="BB903" s="283"/>
      <c r="BC903" s="276"/>
      <c r="BD903" s="283"/>
      <c r="BE903" s="276"/>
      <c r="BG903" s="283"/>
      <c r="BH903" s="276"/>
      <c r="BI903" s="283"/>
      <c r="BJ903" s="276"/>
      <c r="BK903" s="283"/>
      <c r="BL903" s="276"/>
      <c r="BM903" s="283"/>
      <c r="BN903" s="276"/>
      <c r="BO903" s="283"/>
      <c r="BP903" s="276"/>
      <c r="BQ903" s="283"/>
      <c r="BR903" s="283"/>
      <c r="BS903" s="276"/>
    </row>
    <row r="904" spans="12:71" ht="12" customHeight="1">
      <c r="L904" s="283"/>
      <c r="M904" s="276"/>
      <c r="N904" s="283"/>
      <c r="O904" s="276"/>
      <c r="P904" s="283"/>
      <c r="Q904" s="276"/>
      <c r="S904" s="283"/>
      <c r="T904" s="276"/>
      <c r="W904" s="283"/>
      <c r="X904" s="276"/>
      <c r="Y904" s="283"/>
      <c r="Z904" s="276"/>
      <c r="AA904" s="283"/>
      <c r="AB904" s="276"/>
      <c r="AC904" s="283"/>
      <c r="AE904" s="283"/>
      <c r="AF904" s="276"/>
      <c r="AI904" s="283"/>
      <c r="AJ904" s="276"/>
      <c r="AK904" s="283"/>
      <c r="AL904" s="276"/>
      <c r="AM904" s="283"/>
      <c r="AN904" s="276"/>
      <c r="AO904" s="283"/>
      <c r="AP904" s="276"/>
      <c r="AQ904" s="283"/>
      <c r="AR904" s="276"/>
      <c r="AT904" s="283"/>
      <c r="AU904" s="276"/>
      <c r="AV904" s="283"/>
      <c r="AW904" s="276"/>
      <c r="AX904" s="283"/>
      <c r="AY904" s="276"/>
      <c r="AZ904" s="283"/>
      <c r="BA904" s="276"/>
      <c r="BB904" s="283"/>
      <c r="BC904" s="276"/>
      <c r="BD904" s="283"/>
      <c r="BE904" s="276"/>
      <c r="BG904" s="283"/>
      <c r="BH904" s="276"/>
      <c r="BI904" s="283"/>
      <c r="BJ904" s="276"/>
      <c r="BK904" s="283"/>
      <c r="BL904" s="276"/>
      <c r="BM904" s="283"/>
      <c r="BN904" s="276"/>
      <c r="BO904" s="283"/>
      <c r="BP904" s="276"/>
      <c r="BQ904" s="283"/>
      <c r="BR904" s="283"/>
      <c r="BS904" s="276"/>
    </row>
    <row r="905" spans="12:71" ht="12" customHeight="1">
      <c r="L905" s="283"/>
      <c r="M905" s="276"/>
      <c r="N905" s="283"/>
      <c r="O905" s="276"/>
      <c r="P905" s="283"/>
      <c r="Q905" s="276"/>
      <c r="S905" s="283"/>
      <c r="T905" s="276"/>
      <c r="W905" s="283"/>
      <c r="X905" s="276"/>
      <c r="Y905" s="283"/>
      <c r="Z905" s="276"/>
      <c r="AA905" s="283"/>
      <c r="AB905" s="276"/>
      <c r="AC905" s="283"/>
      <c r="AE905" s="283"/>
      <c r="AF905" s="276"/>
      <c r="AI905" s="283"/>
      <c r="AJ905" s="276"/>
      <c r="AK905" s="283"/>
      <c r="AL905" s="276"/>
      <c r="AM905" s="283"/>
      <c r="AN905" s="276"/>
      <c r="AO905" s="283"/>
      <c r="AP905" s="276"/>
      <c r="AQ905" s="283"/>
      <c r="AR905" s="276"/>
      <c r="AT905" s="283"/>
      <c r="AU905" s="276"/>
      <c r="AV905" s="283"/>
      <c r="AW905" s="276"/>
      <c r="AX905" s="283"/>
      <c r="AY905" s="276"/>
      <c r="AZ905" s="283"/>
      <c r="BA905" s="276"/>
      <c r="BB905" s="283"/>
      <c r="BC905" s="276"/>
      <c r="BD905" s="283"/>
      <c r="BE905" s="276"/>
      <c r="BG905" s="283"/>
      <c r="BH905" s="276"/>
      <c r="BI905" s="283"/>
      <c r="BJ905" s="276"/>
      <c r="BK905" s="283"/>
      <c r="BL905" s="276"/>
      <c r="BM905" s="283"/>
      <c r="BN905" s="276"/>
      <c r="BO905" s="283"/>
      <c r="BP905" s="276"/>
      <c r="BQ905" s="283"/>
      <c r="BR905" s="283"/>
      <c r="BS905" s="276"/>
    </row>
    <row r="906" spans="12:71" ht="12" customHeight="1">
      <c r="L906" s="283"/>
      <c r="M906" s="276"/>
      <c r="N906" s="283"/>
      <c r="O906" s="276"/>
      <c r="P906" s="283"/>
      <c r="Q906" s="276"/>
      <c r="S906" s="283"/>
      <c r="T906" s="276"/>
      <c r="W906" s="283"/>
      <c r="X906" s="276"/>
      <c r="Y906" s="283"/>
      <c r="Z906" s="276"/>
      <c r="AA906" s="283"/>
      <c r="AB906" s="276"/>
      <c r="AC906" s="283"/>
      <c r="AE906" s="283"/>
      <c r="AF906" s="276"/>
      <c r="AI906" s="283"/>
      <c r="AJ906" s="276"/>
      <c r="AK906" s="283"/>
      <c r="AL906" s="276"/>
      <c r="AM906" s="283"/>
      <c r="AN906" s="276"/>
      <c r="AO906" s="283"/>
      <c r="AP906" s="276"/>
      <c r="AQ906" s="283"/>
      <c r="AR906" s="276"/>
      <c r="AT906" s="283"/>
      <c r="AU906" s="276"/>
      <c r="AV906" s="283"/>
      <c r="AW906" s="276"/>
      <c r="AX906" s="283"/>
      <c r="AY906" s="276"/>
      <c r="AZ906" s="283"/>
      <c r="BA906" s="276"/>
      <c r="BB906" s="283"/>
      <c r="BC906" s="276"/>
      <c r="BD906" s="283"/>
      <c r="BE906" s="276"/>
      <c r="BG906" s="283"/>
      <c r="BH906" s="276"/>
      <c r="BI906" s="283"/>
      <c r="BJ906" s="276"/>
      <c r="BK906" s="283"/>
      <c r="BL906" s="276"/>
      <c r="BM906" s="283"/>
      <c r="BN906" s="276"/>
      <c r="BO906" s="283"/>
      <c r="BP906" s="276"/>
      <c r="BQ906" s="283"/>
      <c r="BR906" s="283"/>
      <c r="BS906" s="276"/>
    </row>
    <row r="907" spans="12:71" ht="12" customHeight="1">
      <c r="L907" s="283"/>
      <c r="M907" s="276"/>
      <c r="N907" s="283"/>
      <c r="O907" s="276"/>
      <c r="P907" s="283"/>
      <c r="Q907" s="276"/>
      <c r="S907" s="283"/>
      <c r="T907" s="276"/>
      <c r="W907" s="283"/>
      <c r="X907" s="276"/>
      <c r="Y907" s="283"/>
      <c r="Z907" s="276"/>
      <c r="AA907" s="283"/>
      <c r="AB907" s="276"/>
      <c r="AC907" s="283"/>
      <c r="AE907" s="283"/>
      <c r="AF907" s="276"/>
      <c r="AI907" s="283"/>
      <c r="AJ907" s="276"/>
      <c r="AK907" s="283"/>
      <c r="AL907" s="276"/>
      <c r="AM907" s="283"/>
      <c r="AN907" s="276"/>
      <c r="AO907" s="283"/>
      <c r="AP907" s="276"/>
      <c r="AQ907" s="283"/>
      <c r="AR907" s="276"/>
      <c r="AT907" s="283"/>
      <c r="AU907" s="276"/>
      <c r="AV907" s="283"/>
      <c r="AW907" s="276"/>
      <c r="AX907" s="283"/>
      <c r="AY907" s="276"/>
      <c r="AZ907" s="283"/>
      <c r="BA907" s="276"/>
      <c r="BB907" s="283"/>
      <c r="BC907" s="276"/>
      <c r="BD907" s="283"/>
      <c r="BE907" s="276"/>
      <c r="BG907" s="283"/>
      <c r="BH907" s="276"/>
      <c r="BI907" s="283"/>
      <c r="BJ907" s="276"/>
      <c r="BK907" s="283"/>
      <c r="BL907" s="276"/>
      <c r="BM907" s="283"/>
      <c r="BN907" s="276"/>
      <c r="BO907" s="283"/>
      <c r="BP907" s="276"/>
      <c r="BQ907" s="283"/>
      <c r="BR907" s="283"/>
      <c r="BS907" s="276"/>
    </row>
    <row r="908" spans="12:71" ht="12" customHeight="1">
      <c r="L908" s="283"/>
      <c r="M908" s="276"/>
      <c r="N908" s="283"/>
      <c r="O908" s="276"/>
      <c r="P908" s="283"/>
      <c r="Q908" s="276"/>
      <c r="S908" s="283"/>
      <c r="T908" s="276"/>
      <c r="W908" s="283"/>
      <c r="X908" s="276"/>
      <c r="Y908" s="283"/>
      <c r="Z908" s="276"/>
      <c r="AA908" s="283"/>
      <c r="AB908" s="276"/>
      <c r="AC908" s="283"/>
      <c r="AE908" s="283"/>
      <c r="AF908" s="276"/>
      <c r="AI908" s="283"/>
      <c r="AJ908" s="276"/>
      <c r="AK908" s="283"/>
      <c r="AL908" s="276"/>
      <c r="AM908" s="283"/>
      <c r="AN908" s="276"/>
      <c r="AO908" s="283"/>
      <c r="AP908" s="276"/>
      <c r="AQ908" s="283"/>
      <c r="AR908" s="276"/>
      <c r="AT908" s="283"/>
      <c r="AU908" s="276"/>
      <c r="AV908" s="283"/>
      <c r="AW908" s="276"/>
      <c r="AX908" s="283"/>
      <c r="AY908" s="276"/>
      <c r="AZ908" s="283"/>
      <c r="BA908" s="276"/>
      <c r="BB908" s="283"/>
      <c r="BC908" s="276"/>
      <c r="BD908" s="283"/>
      <c r="BE908" s="276"/>
      <c r="BG908" s="283"/>
      <c r="BH908" s="276"/>
      <c r="BI908" s="283"/>
      <c r="BJ908" s="276"/>
      <c r="BK908" s="283"/>
      <c r="BL908" s="276"/>
      <c r="BM908" s="283"/>
      <c r="BN908" s="276"/>
      <c r="BO908" s="283"/>
      <c r="BP908" s="276"/>
      <c r="BQ908" s="283"/>
      <c r="BR908" s="283"/>
      <c r="BS908" s="276"/>
    </row>
    <row r="909" spans="12:71" ht="12" customHeight="1">
      <c r="L909" s="283"/>
      <c r="M909" s="276"/>
      <c r="N909" s="283"/>
      <c r="O909" s="276"/>
      <c r="P909" s="283"/>
      <c r="Q909" s="276"/>
      <c r="S909" s="283"/>
      <c r="T909" s="276"/>
      <c r="W909" s="283"/>
      <c r="X909" s="276"/>
      <c r="Y909" s="283"/>
      <c r="Z909" s="276"/>
      <c r="AA909" s="283"/>
      <c r="AB909" s="276"/>
      <c r="AC909" s="283"/>
      <c r="AE909" s="283"/>
      <c r="AF909" s="276"/>
      <c r="AI909" s="283"/>
      <c r="AJ909" s="276"/>
      <c r="AK909" s="283"/>
      <c r="AL909" s="276"/>
      <c r="AM909" s="283"/>
      <c r="AN909" s="276"/>
      <c r="AO909" s="283"/>
      <c r="AP909" s="276"/>
      <c r="AQ909" s="283"/>
      <c r="AR909" s="276"/>
      <c r="AT909" s="283"/>
      <c r="AU909" s="276"/>
      <c r="AV909" s="283"/>
      <c r="AW909" s="276"/>
      <c r="AX909" s="283"/>
      <c r="AY909" s="276"/>
      <c r="AZ909" s="283"/>
      <c r="BA909" s="276"/>
      <c r="BB909" s="283"/>
      <c r="BC909" s="276"/>
      <c r="BD909" s="283"/>
      <c r="BE909" s="276"/>
      <c r="BG909" s="283"/>
      <c r="BH909" s="276"/>
      <c r="BI909" s="283"/>
      <c r="BJ909" s="276"/>
      <c r="BK909" s="283"/>
      <c r="BL909" s="276"/>
      <c r="BM909" s="283"/>
      <c r="BN909" s="276"/>
      <c r="BO909" s="283"/>
      <c r="BP909" s="276"/>
      <c r="BQ909" s="283"/>
      <c r="BR909" s="283"/>
      <c r="BS909" s="276"/>
    </row>
    <row r="910" spans="12:71" ht="12" customHeight="1">
      <c r="L910" s="283"/>
      <c r="M910" s="276"/>
      <c r="N910" s="283"/>
      <c r="O910" s="276"/>
      <c r="P910" s="283"/>
      <c r="Q910" s="276"/>
      <c r="S910" s="283"/>
      <c r="T910" s="276"/>
      <c r="W910" s="283"/>
      <c r="X910" s="276"/>
      <c r="Y910" s="283"/>
      <c r="Z910" s="276"/>
      <c r="AA910" s="283"/>
      <c r="AB910" s="276"/>
      <c r="AC910" s="283"/>
      <c r="AE910" s="283"/>
      <c r="AF910" s="276"/>
      <c r="AI910" s="283"/>
      <c r="AJ910" s="276"/>
      <c r="AK910" s="283"/>
      <c r="AL910" s="276"/>
      <c r="AM910" s="283"/>
      <c r="AN910" s="276"/>
      <c r="AO910" s="283"/>
      <c r="AP910" s="276"/>
      <c r="AQ910" s="283"/>
      <c r="AR910" s="276"/>
      <c r="AT910" s="283"/>
      <c r="AU910" s="276"/>
      <c r="AV910" s="283"/>
      <c r="AW910" s="276"/>
      <c r="AX910" s="283"/>
      <c r="AY910" s="276"/>
      <c r="AZ910" s="283"/>
      <c r="BA910" s="276"/>
      <c r="BB910" s="283"/>
      <c r="BC910" s="276"/>
      <c r="BD910" s="283"/>
      <c r="BE910" s="276"/>
      <c r="BG910" s="283"/>
      <c r="BH910" s="276"/>
      <c r="BI910" s="283"/>
      <c r="BJ910" s="276"/>
      <c r="BK910" s="283"/>
      <c r="BL910" s="276"/>
      <c r="BM910" s="283"/>
      <c r="BN910" s="276"/>
      <c r="BO910" s="283"/>
      <c r="BP910" s="276"/>
      <c r="BQ910" s="283"/>
      <c r="BR910" s="283"/>
      <c r="BS910" s="276"/>
    </row>
    <row r="911" spans="12:71" ht="12" customHeight="1">
      <c r="L911" s="283"/>
      <c r="M911" s="276"/>
      <c r="N911" s="283"/>
      <c r="O911" s="276"/>
      <c r="P911" s="283"/>
      <c r="Q911" s="276"/>
      <c r="S911" s="283"/>
      <c r="T911" s="276"/>
      <c r="W911" s="283"/>
      <c r="X911" s="276"/>
      <c r="Y911" s="283"/>
      <c r="Z911" s="276"/>
      <c r="AA911" s="283"/>
      <c r="AB911" s="276"/>
      <c r="AC911" s="283"/>
      <c r="AE911" s="283"/>
      <c r="AF911" s="276"/>
      <c r="AI911" s="283"/>
      <c r="AJ911" s="276"/>
      <c r="AK911" s="283"/>
      <c r="AL911" s="276"/>
      <c r="AM911" s="283"/>
      <c r="AN911" s="276"/>
      <c r="AO911" s="283"/>
      <c r="AP911" s="276"/>
      <c r="AQ911" s="283"/>
      <c r="AR911" s="276"/>
      <c r="AT911" s="283"/>
      <c r="AU911" s="276"/>
      <c r="AV911" s="283"/>
      <c r="AW911" s="276"/>
      <c r="AX911" s="283"/>
      <c r="AY911" s="276"/>
      <c r="AZ911" s="283"/>
      <c r="BA911" s="276"/>
      <c r="BB911" s="283"/>
      <c r="BC911" s="276"/>
      <c r="BD911" s="283"/>
      <c r="BE911" s="276"/>
      <c r="BG911" s="283"/>
      <c r="BH911" s="276"/>
      <c r="BI911" s="283"/>
      <c r="BJ911" s="276"/>
      <c r="BK911" s="283"/>
      <c r="BL911" s="276"/>
      <c r="BM911" s="283"/>
      <c r="BN911" s="276"/>
      <c r="BO911" s="283"/>
      <c r="BP911" s="276"/>
      <c r="BQ911" s="283"/>
      <c r="BR911" s="283"/>
      <c r="BS911" s="276"/>
    </row>
    <row r="912" spans="12:71" ht="12" customHeight="1">
      <c r="L912" s="283"/>
      <c r="M912" s="276"/>
      <c r="N912" s="283"/>
      <c r="O912" s="276"/>
      <c r="P912" s="283"/>
      <c r="Q912" s="276"/>
      <c r="S912" s="283"/>
      <c r="T912" s="276"/>
      <c r="W912" s="283"/>
      <c r="X912" s="276"/>
      <c r="Y912" s="283"/>
      <c r="Z912" s="276"/>
      <c r="AA912" s="283"/>
      <c r="AB912" s="276"/>
      <c r="AC912" s="283"/>
      <c r="AE912" s="283"/>
      <c r="AF912" s="276"/>
      <c r="AI912" s="283"/>
      <c r="AJ912" s="276"/>
      <c r="AK912" s="283"/>
      <c r="AL912" s="276"/>
      <c r="AM912" s="283"/>
      <c r="AN912" s="276"/>
      <c r="AO912" s="283"/>
      <c r="AP912" s="276"/>
      <c r="AQ912" s="283"/>
      <c r="AR912" s="276"/>
      <c r="AT912" s="283"/>
      <c r="AU912" s="276"/>
      <c r="AV912" s="283"/>
      <c r="AW912" s="276"/>
      <c r="AX912" s="283"/>
      <c r="AY912" s="276"/>
      <c r="AZ912" s="283"/>
      <c r="BA912" s="276"/>
      <c r="BB912" s="283"/>
      <c r="BC912" s="276"/>
      <c r="BD912" s="283"/>
      <c r="BE912" s="276"/>
      <c r="BG912" s="283"/>
      <c r="BH912" s="276"/>
      <c r="BI912" s="283"/>
      <c r="BJ912" s="276"/>
      <c r="BK912" s="283"/>
      <c r="BL912" s="276"/>
      <c r="BM912" s="283"/>
      <c r="BN912" s="276"/>
      <c r="BO912" s="283"/>
      <c r="BP912" s="276"/>
      <c r="BQ912" s="283"/>
      <c r="BR912" s="283"/>
      <c r="BS912" s="276"/>
    </row>
    <row r="913" spans="12:71" ht="12" customHeight="1">
      <c r="L913" s="283"/>
      <c r="M913" s="276"/>
      <c r="N913" s="283"/>
      <c r="O913" s="276"/>
      <c r="P913" s="283"/>
      <c r="Q913" s="276"/>
      <c r="S913" s="283"/>
      <c r="T913" s="276"/>
      <c r="W913" s="283"/>
      <c r="X913" s="276"/>
      <c r="Y913" s="283"/>
      <c r="Z913" s="276"/>
      <c r="AA913" s="283"/>
      <c r="AB913" s="276"/>
      <c r="AC913" s="283"/>
      <c r="AE913" s="283"/>
      <c r="AF913" s="276"/>
      <c r="AI913" s="283"/>
      <c r="AJ913" s="276"/>
      <c r="AK913" s="283"/>
      <c r="AL913" s="276"/>
      <c r="AM913" s="283"/>
      <c r="AN913" s="276"/>
      <c r="AO913" s="283"/>
      <c r="AP913" s="276"/>
      <c r="AQ913" s="283"/>
      <c r="AR913" s="276"/>
      <c r="AT913" s="283"/>
      <c r="AU913" s="276"/>
      <c r="AV913" s="283"/>
      <c r="AW913" s="276"/>
      <c r="AX913" s="283"/>
      <c r="AY913" s="276"/>
      <c r="AZ913" s="283"/>
      <c r="BA913" s="276"/>
      <c r="BB913" s="283"/>
      <c r="BC913" s="276"/>
      <c r="BD913" s="283"/>
      <c r="BE913" s="276"/>
      <c r="BG913" s="283"/>
      <c r="BH913" s="276"/>
      <c r="BI913" s="283"/>
      <c r="BJ913" s="276"/>
      <c r="BK913" s="283"/>
      <c r="BL913" s="276"/>
      <c r="BM913" s="283"/>
      <c r="BN913" s="276"/>
      <c r="BO913" s="283"/>
      <c r="BP913" s="276"/>
      <c r="BQ913" s="283"/>
      <c r="BR913" s="283"/>
      <c r="BS913" s="276"/>
    </row>
    <row r="914" spans="12:71" ht="12" customHeight="1">
      <c r="L914" s="283"/>
      <c r="M914" s="276"/>
      <c r="N914" s="283"/>
      <c r="O914" s="276"/>
      <c r="P914" s="283"/>
      <c r="Q914" s="276"/>
      <c r="S914" s="283"/>
      <c r="T914" s="276"/>
      <c r="W914" s="283"/>
      <c r="X914" s="276"/>
      <c r="Y914" s="283"/>
      <c r="Z914" s="276"/>
      <c r="AA914" s="283"/>
      <c r="AB914" s="276"/>
      <c r="AC914" s="283"/>
      <c r="AE914" s="283"/>
      <c r="AF914" s="276"/>
      <c r="AI914" s="283"/>
      <c r="AJ914" s="276"/>
      <c r="AK914" s="283"/>
      <c r="AL914" s="276"/>
      <c r="AM914" s="283"/>
      <c r="AN914" s="276"/>
      <c r="AO914" s="283"/>
      <c r="AP914" s="276"/>
      <c r="AQ914" s="283"/>
      <c r="AR914" s="276"/>
      <c r="AT914" s="283"/>
      <c r="AU914" s="276"/>
      <c r="AV914" s="283"/>
      <c r="AW914" s="276"/>
      <c r="AX914" s="283"/>
      <c r="AY914" s="276"/>
      <c r="AZ914" s="283"/>
      <c r="BA914" s="276"/>
      <c r="BB914" s="283"/>
      <c r="BC914" s="276"/>
      <c r="BD914" s="283"/>
      <c r="BE914" s="276"/>
      <c r="BG914" s="283"/>
      <c r="BH914" s="276"/>
      <c r="BI914" s="283"/>
      <c r="BJ914" s="276"/>
      <c r="BK914" s="283"/>
      <c r="BL914" s="276"/>
      <c r="BM914" s="283"/>
      <c r="BN914" s="276"/>
      <c r="BO914" s="283"/>
      <c r="BP914" s="276"/>
      <c r="BQ914" s="283"/>
      <c r="BR914" s="283"/>
      <c r="BS914" s="276"/>
    </row>
    <row r="915" spans="12:71" ht="12" customHeight="1">
      <c r="L915" s="283"/>
      <c r="M915" s="276"/>
      <c r="N915" s="283"/>
      <c r="O915" s="276"/>
      <c r="P915" s="283"/>
      <c r="Q915" s="276"/>
      <c r="S915" s="283"/>
      <c r="T915" s="276"/>
      <c r="W915" s="283"/>
      <c r="X915" s="276"/>
      <c r="Y915" s="283"/>
      <c r="Z915" s="276"/>
      <c r="AA915" s="283"/>
      <c r="AB915" s="276"/>
      <c r="AC915" s="283"/>
      <c r="AE915" s="283"/>
      <c r="AF915" s="276"/>
      <c r="AI915" s="283"/>
      <c r="AJ915" s="276"/>
      <c r="AK915" s="283"/>
      <c r="AL915" s="276"/>
      <c r="AM915" s="283"/>
      <c r="AN915" s="276"/>
      <c r="AO915" s="283"/>
      <c r="AP915" s="276"/>
      <c r="AQ915" s="283"/>
      <c r="AR915" s="276"/>
      <c r="AT915" s="283"/>
      <c r="AU915" s="276"/>
      <c r="AV915" s="283"/>
      <c r="AW915" s="276"/>
      <c r="AX915" s="283"/>
      <c r="AY915" s="276"/>
      <c r="AZ915" s="283"/>
      <c r="BA915" s="276"/>
      <c r="BB915" s="283"/>
      <c r="BC915" s="276"/>
      <c r="BD915" s="283"/>
      <c r="BE915" s="276"/>
      <c r="BG915" s="283"/>
      <c r="BH915" s="276"/>
      <c r="BI915" s="283"/>
      <c r="BJ915" s="276"/>
      <c r="BK915" s="283"/>
      <c r="BL915" s="276"/>
      <c r="BM915" s="283"/>
      <c r="BN915" s="276"/>
      <c r="BO915" s="283"/>
      <c r="BP915" s="276"/>
      <c r="BQ915" s="283"/>
      <c r="BR915" s="283"/>
      <c r="BS915" s="276"/>
    </row>
    <row r="916" spans="12:71" ht="12" customHeight="1">
      <c r="L916" s="283"/>
      <c r="M916" s="276"/>
      <c r="N916" s="283"/>
      <c r="O916" s="276"/>
      <c r="P916" s="283"/>
      <c r="Q916" s="276"/>
      <c r="S916" s="283"/>
      <c r="T916" s="276"/>
      <c r="W916" s="283"/>
      <c r="X916" s="276"/>
      <c r="Y916" s="283"/>
      <c r="Z916" s="276"/>
      <c r="AA916" s="283"/>
      <c r="AB916" s="276"/>
      <c r="AC916" s="283"/>
      <c r="AE916" s="283"/>
      <c r="AF916" s="276"/>
      <c r="AI916" s="283"/>
      <c r="AJ916" s="276"/>
      <c r="AK916" s="283"/>
      <c r="AL916" s="276"/>
      <c r="AM916" s="283"/>
      <c r="AN916" s="276"/>
      <c r="AO916" s="283"/>
      <c r="AP916" s="276"/>
      <c r="AQ916" s="283"/>
      <c r="AR916" s="276"/>
      <c r="AT916" s="283"/>
      <c r="AU916" s="276"/>
      <c r="AV916" s="283"/>
      <c r="AW916" s="276"/>
      <c r="AX916" s="283"/>
      <c r="AY916" s="276"/>
      <c r="AZ916" s="283"/>
      <c r="BA916" s="276"/>
      <c r="BB916" s="283"/>
      <c r="BC916" s="276"/>
      <c r="BD916" s="283"/>
      <c r="BE916" s="276"/>
      <c r="BG916" s="283"/>
      <c r="BH916" s="276"/>
      <c r="BI916" s="283"/>
      <c r="BJ916" s="276"/>
      <c r="BK916" s="283"/>
      <c r="BL916" s="276"/>
      <c r="BM916" s="283"/>
      <c r="BN916" s="276"/>
      <c r="BO916" s="283"/>
      <c r="BP916" s="276"/>
      <c r="BQ916" s="283"/>
      <c r="BR916" s="283"/>
      <c r="BS916" s="276"/>
    </row>
    <row r="917" spans="12:71" ht="12" customHeight="1">
      <c r="L917" s="283"/>
      <c r="M917" s="276"/>
      <c r="N917" s="283"/>
      <c r="O917" s="276"/>
      <c r="P917" s="283"/>
      <c r="Q917" s="276"/>
      <c r="S917" s="283"/>
      <c r="T917" s="276"/>
      <c r="W917" s="283"/>
      <c r="X917" s="276"/>
      <c r="Y917" s="283"/>
      <c r="Z917" s="276"/>
      <c r="AA917" s="283"/>
      <c r="AB917" s="276"/>
      <c r="AC917" s="283"/>
      <c r="AE917" s="283"/>
      <c r="AF917" s="276"/>
      <c r="AI917" s="283"/>
      <c r="AJ917" s="276"/>
      <c r="AK917" s="283"/>
      <c r="AL917" s="276"/>
      <c r="AM917" s="283"/>
      <c r="AN917" s="276"/>
      <c r="AO917" s="283"/>
      <c r="AP917" s="276"/>
      <c r="AQ917" s="283"/>
      <c r="AR917" s="276"/>
      <c r="AT917" s="283"/>
      <c r="AU917" s="276"/>
      <c r="AV917" s="283"/>
      <c r="AW917" s="276"/>
      <c r="AX917" s="283"/>
      <c r="AY917" s="276"/>
      <c r="AZ917" s="283"/>
      <c r="BA917" s="276"/>
      <c r="BB917" s="283"/>
      <c r="BC917" s="276"/>
      <c r="BD917" s="283"/>
      <c r="BE917" s="276"/>
      <c r="BG917" s="283"/>
      <c r="BH917" s="276"/>
      <c r="BI917" s="283"/>
      <c r="BJ917" s="276"/>
      <c r="BK917" s="283"/>
      <c r="BL917" s="276"/>
      <c r="BM917" s="283"/>
      <c r="BN917" s="276"/>
      <c r="BO917" s="283"/>
      <c r="BP917" s="276"/>
      <c r="BQ917" s="283"/>
      <c r="BR917" s="283"/>
      <c r="BS917" s="276"/>
    </row>
    <row r="918" spans="12:71" ht="12" customHeight="1">
      <c r="L918" s="283"/>
      <c r="M918" s="276"/>
      <c r="N918" s="283"/>
      <c r="O918" s="276"/>
      <c r="P918" s="283"/>
      <c r="Q918" s="276"/>
      <c r="S918" s="283"/>
      <c r="T918" s="276"/>
      <c r="W918" s="283"/>
      <c r="X918" s="276"/>
      <c r="Y918" s="283"/>
      <c r="Z918" s="276"/>
      <c r="AA918" s="283"/>
      <c r="AB918" s="276"/>
      <c r="AC918" s="283"/>
      <c r="AE918" s="283"/>
      <c r="AF918" s="276"/>
      <c r="AI918" s="283"/>
      <c r="AJ918" s="276"/>
      <c r="AK918" s="283"/>
      <c r="AL918" s="276"/>
      <c r="AM918" s="283"/>
      <c r="AN918" s="276"/>
      <c r="AO918" s="283"/>
      <c r="AP918" s="276"/>
      <c r="AQ918" s="283"/>
      <c r="AR918" s="276"/>
      <c r="AT918" s="283"/>
      <c r="AU918" s="276"/>
      <c r="AV918" s="283"/>
      <c r="AW918" s="276"/>
      <c r="AX918" s="283"/>
      <c r="AY918" s="276"/>
      <c r="AZ918" s="283"/>
      <c r="BA918" s="276"/>
      <c r="BB918" s="283"/>
      <c r="BC918" s="276"/>
      <c r="BD918" s="283"/>
      <c r="BE918" s="276"/>
      <c r="BG918" s="283"/>
      <c r="BH918" s="276"/>
      <c r="BI918" s="283"/>
      <c r="BJ918" s="276"/>
      <c r="BK918" s="283"/>
      <c r="BL918" s="276"/>
      <c r="BM918" s="283"/>
      <c r="BN918" s="276"/>
      <c r="BO918" s="283"/>
      <c r="BP918" s="276"/>
      <c r="BQ918" s="283"/>
      <c r="BR918" s="283"/>
      <c r="BS918" s="276"/>
    </row>
    <row r="919" spans="12:71" ht="12" customHeight="1">
      <c r="L919" s="283"/>
      <c r="M919" s="276"/>
      <c r="N919" s="283"/>
      <c r="O919" s="276"/>
      <c r="P919" s="283"/>
      <c r="Q919" s="276"/>
      <c r="S919" s="283"/>
      <c r="T919" s="276"/>
      <c r="W919" s="283"/>
      <c r="X919" s="276"/>
      <c r="Y919" s="283"/>
      <c r="Z919" s="276"/>
      <c r="AA919" s="283"/>
      <c r="AB919" s="276"/>
      <c r="AC919" s="283"/>
      <c r="AE919" s="283"/>
      <c r="AF919" s="276"/>
      <c r="AI919" s="283"/>
      <c r="AJ919" s="276"/>
      <c r="AK919" s="283"/>
      <c r="AL919" s="276"/>
      <c r="AM919" s="283"/>
      <c r="AN919" s="276"/>
      <c r="AO919" s="283"/>
      <c r="AP919" s="276"/>
      <c r="AQ919" s="283"/>
      <c r="AR919" s="276"/>
      <c r="AT919" s="283"/>
      <c r="AU919" s="276"/>
      <c r="AV919" s="283"/>
      <c r="AW919" s="276"/>
      <c r="AX919" s="283"/>
      <c r="AY919" s="276"/>
      <c r="AZ919" s="283"/>
      <c r="BA919" s="276"/>
      <c r="BB919" s="283"/>
      <c r="BC919" s="276"/>
      <c r="BD919" s="283"/>
      <c r="BE919" s="276"/>
      <c r="BG919" s="283"/>
      <c r="BH919" s="276"/>
      <c r="BI919" s="283"/>
      <c r="BJ919" s="276"/>
      <c r="BK919" s="283"/>
      <c r="BL919" s="276"/>
      <c r="BM919" s="283"/>
      <c r="BN919" s="276"/>
      <c r="BO919" s="283"/>
      <c r="BP919" s="276"/>
      <c r="BQ919" s="283"/>
      <c r="BR919" s="283"/>
      <c r="BS919" s="276"/>
    </row>
    <row r="920" spans="12:71" ht="12" customHeight="1">
      <c r="L920" s="283"/>
      <c r="M920" s="276"/>
      <c r="N920" s="283"/>
      <c r="O920" s="276"/>
      <c r="P920" s="283"/>
      <c r="Q920" s="276"/>
      <c r="S920" s="283"/>
      <c r="T920" s="276"/>
      <c r="W920" s="283"/>
      <c r="X920" s="276"/>
      <c r="Y920" s="283"/>
      <c r="Z920" s="276"/>
      <c r="AA920" s="283"/>
      <c r="AB920" s="276"/>
      <c r="AC920" s="283"/>
      <c r="AE920" s="283"/>
      <c r="AF920" s="276"/>
      <c r="AI920" s="283"/>
      <c r="AJ920" s="276"/>
      <c r="AK920" s="283"/>
      <c r="AL920" s="276"/>
      <c r="AM920" s="283"/>
      <c r="AN920" s="276"/>
      <c r="AO920" s="283"/>
      <c r="AP920" s="276"/>
      <c r="AQ920" s="283"/>
      <c r="AR920" s="276"/>
      <c r="AT920" s="283"/>
      <c r="AU920" s="276"/>
      <c r="AV920" s="283"/>
      <c r="AW920" s="276"/>
      <c r="AX920" s="283"/>
      <c r="AY920" s="276"/>
      <c r="AZ920" s="283"/>
      <c r="BA920" s="276"/>
      <c r="BB920" s="283"/>
      <c r="BC920" s="276"/>
      <c r="BD920" s="283"/>
      <c r="BE920" s="276"/>
      <c r="BG920" s="283"/>
      <c r="BH920" s="276"/>
      <c r="BI920" s="283"/>
      <c r="BJ920" s="276"/>
      <c r="BK920" s="283"/>
      <c r="BL920" s="276"/>
      <c r="BM920" s="283"/>
      <c r="BN920" s="276"/>
      <c r="BO920" s="283"/>
      <c r="BP920" s="276"/>
      <c r="BQ920" s="283"/>
      <c r="BR920" s="283"/>
      <c r="BS920" s="276"/>
    </row>
    <row r="921" spans="12:71" ht="12" customHeight="1">
      <c r="L921" s="283"/>
      <c r="M921" s="276"/>
      <c r="N921" s="283"/>
      <c r="O921" s="276"/>
      <c r="P921" s="283"/>
      <c r="Q921" s="276"/>
      <c r="S921" s="283"/>
      <c r="T921" s="276"/>
      <c r="W921" s="283"/>
      <c r="X921" s="276"/>
      <c r="Y921" s="283"/>
      <c r="Z921" s="276"/>
      <c r="AA921" s="283"/>
      <c r="AB921" s="276"/>
      <c r="AC921" s="283"/>
      <c r="AE921" s="283"/>
      <c r="AF921" s="276"/>
      <c r="AI921" s="283"/>
      <c r="AJ921" s="276"/>
      <c r="AK921" s="283"/>
      <c r="AL921" s="276"/>
      <c r="AM921" s="283"/>
      <c r="AN921" s="276"/>
      <c r="AO921" s="283"/>
      <c r="AP921" s="276"/>
      <c r="AQ921" s="283"/>
      <c r="AR921" s="276"/>
      <c r="AT921" s="283"/>
      <c r="AU921" s="276"/>
      <c r="AV921" s="283"/>
      <c r="AW921" s="276"/>
      <c r="AX921" s="283"/>
      <c r="AY921" s="276"/>
      <c r="AZ921" s="283"/>
      <c r="BA921" s="276"/>
      <c r="BB921" s="283"/>
      <c r="BC921" s="276"/>
      <c r="BD921" s="283"/>
      <c r="BE921" s="276"/>
      <c r="BG921" s="283"/>
      <c r="BH921" s="276"/>
      <c r="BI921" s="283"/>
      <c r="BJ921" s="276"/>
      <c r="BK921" s="283"/>
      <c r="BL921" s="276"/>
      <c r="BM921" s="283"/>
      <c r="BN921" s="276"/>
      <c r="BO921" s="283"/>
      <c r="BP921" s="276"/>
      <c r="BQ921" s="283"/>
      <c r="BR921" s="283"/>
      <c r="BS921" s="276"/>
    </row>
    <row r="922" spans="12:71" ht="12" customHeight="1">
      <c r="L922" s="283"/>
      <c r="M922" s="276"/>
      <c r="N922" s="283"/>
      <c r="O922" s="276"/>
      <c r="P922" s="283"/>
      <c r="Q922" s="276"/>
      <c r="S922" s="283"/>
      <c r="T922" s="276"/>
      <c r="W922" s="283"/>
      <c r="X922" s="276"/>
      <c r="Y922" s="283"/>
      <c r="Z922" s="276"/>
      <c r="AA922" s="283"/>
      <c r="AB922" s="276"/>
      <c r="AC922" s="283"/>
      <c r="AE922" s="283"/>
      <c r="AF922" s="276"/>
      <c r="AI922" s="283"/>
      <c r="AJ922" s="276"/>
      <c r="AK922" s="283"/>
      <c r="AL922" s="276"/>
      <c r="AM922" s="283"/>
      <c r="AN922" s="276"/>
      <c r="AO922" s="283"/>
      <c r="AP922" s="276"/>
      <c r="AQ922" s="283"/>
      <c r="AR922" s="276"/>
      <c r="AT922" s="283"/>
      <c r="AU922" s="276"/>
      <c r="AV922" s="283"/>
      <c r="AW922" s="276"/>
      <c r="AX922" s="283"/>
      <c r="AY922" s="276"/>
      <c r="AZ922" s="283"/>
      <c r="BA922" s="276"/>
      <c r="BB922" s="283"/>
      <c r="BC922" s="276"/>
      <c r="BD922" s="283"/>
      <c r="BE922" s="276"/>
      <c r="BG922" s="283"/>
      <c r="BH922" s="276"/>
      <c r="BI922" s="283"/>
      <c r="BJ922" s="276"/>
      <c r="BK922" s="283"/>
      <c r="BL922" s="276"/>
      <c r="BM922" s="283"/>
      <c r="BN922" s="276"/>
      <c r="BO922" s="283"/>
      <c r="BP922" s="276"/>
      <c r="BQ922" s="283"/>
      <c r="BR922" s="283"/>
      <c r="BS922" s="276"/>
    </row>
    <row r="923" spans="12:71" ht="12" customHeight="1">
      <c r="L923" s="283"/>
      <c r="M923" s="276"/>
      <c r="N923" s="283"/>
      <c r="O923" s="276"/>
      <c r="P923" s="283"/>
      <c r="Q923" s="276"/>
      <c r="S923" s="283"/>
      <c r="T923" s="276"/>
      <c r="W923" s="283"/>
      <c r="X923" s="276"/>
      <c r="Y923" s="283"/>
      <c r="Z923" s="276"/>
      <c r="AA923" s="283"/>
      <c r="AB923" s="276"/>
      <c r="AC923" s="283"/>
      <c r="AE923" s="283"/>
      <c r="AF923" s="276"/>
      <c r="AI923" s="283"/>
      <c r="AJ923" s="276"/>
      <c r="AK923" s="283"/>
      <c r="AL923" s="276"/>
      <c r="AM923" s="283"/>
      <c r="AN923" s="276"/>
      <c r="AO923" s="283"/>
      <c r="AP923" s="276"/>
      <c r="AQ923" s="283"/>
      <c r="AR923" s="276"/>
      <c r="AT923" s="283"/>
      <c r="AU923" s="276"/>
      <c r="AV923" s="283"/>
      <c r="AW923" s="276"/>
      <c r="AX923" s="283"/>
      <c r="AY923" s="276"/>
      <c r="AZ923" s="283"/>
      <c r="BA923" s="276"/>
      <c r="BB923" s="283"/>
      <c r="BC923" s="276"/>
      <c r="BD923" s="283"/>
      <c r="BE923" s="276"/>
      <c r="BG923" s="283"/>
      <c r="BH923" s="276"/>
      <c r="BI923" s="283"/>
      <c r="BJ923" s="276"/>
      <c r="BK923" s="283"/>
      <c r="BL923" s="276"/>
      <c r="BM923" s="283"/>
      <c r="BN923" s="276"/>
      <c r="BO923" s="283"/>
      <c r="BP923" s="276"/>
      <c r="BQ923" s="283"/>
      <c r="BR923" s="283"/>
      <c r="BS923" s="276"/>
    </row>
    <row r="924" spans="12:71" ht="12" customHeight="1">
      <c r="L924" s="283"/>
      <c r="M924" s="276"/>
      <c r="N924" s="283"/>
      <c r="O924" s="276"/>
      <c r="P924" s="283"/>
      <c r="Q924" s="276"/>
      <c r="S924" s="283"/>
      <c r="T924" s="276"/>
      <c r="W924" s="283"/>
      <c r="X924" s="276"/>
      <c r="Y924" s="283"/>
      <c r="Z924" s="276"/>
      <c r="AA924" s="283"/>
      <c r="AB924" s="276"/>
      <c r="AC924" s="283"/>
      <c r="AE924" s="283"/>
      <c r="AF924" s="276"/>
      <c r="AI924" s="283"/>
      <c r="AJ924" s="276"/>
      <c r="AK924" s="283"/>
      <c r="AL924" s="276"/>
      <c r="AM924" s="283"/>
      <c r="AN924" s="276"/>
      <c r="AO924" s="283"/>
      <c r="AP924" s="276"/>
      <c r="AQ924" s="283"/>
      <c r="AR924" s="276"/>
      <c r="AT924" s="283"/>
      <c r="AU924" s="276"/>
      <c r="AV924" s="283"/>
      <c r="AW924" s="276"/>
      <c r="AX924" s="283"/>
      <c r="AY924" s="276"/>
      <c r="AZ924" s="283"/>
      <c r="BA924" s="276"/>
      <c r="BB924" s="283"/>
      <c r="BC924" s="276"/>
      <c r="BD924" s="283"/>
      <c r="BE924" s="276"/>
      <c r="BG924" s="283"/>
      <c r="BH924" s="276"/>
      <c r="BI924" s="283"/>
      <c r="BJ924" s="276"/>
      <c r="BK924" s="283"/>
      <c r="BL924" s="276"/>
      <c r="BM924" s="283"/>
      <c r="BN924" s="276"/>
      <c r="BO924" s="283"/>
      <c r="BP924" s="276"/>
      <c r="BQ924" s="283"/>
      <c r="BR924" s="283"/>
      <c r="BS924" s="276"/>
    </row>
    <row r="925" spans="12:71" ht="12" customHeight="1">
      <c r="L925" s="283"/>
      <c r="M925" s="276"/>
      <c r="N925" s="283"/>
      <c r="O925" s="276"/>
      <c r="P925" s="283"/>
      <c r="Q925" s="276"/>
      <c r="S925" s="283"/>
      <c r="T925" s="276"/>
      <c r="W925" s="283"/>
      <c r="X925" s="276"/>
      <c r="Y925" s="283"/>
      <c r="Z925" s="276"/>
      <c r="AA925" s="283"/>
      <c r="AB925" s="276"/>
      <c r="AC925" s="283"/>
      <c r="AE925" s="283"/>
      <c r="AF925" s="276"/>
      <c r="AI925" s="283"/>
      <c r="AJ925" s="276"/>
      <c r="AK925" s="283"/>
      <c r="AL925" s="276"/>
      <c r="AM925" s="283"/>
      <c r="AN925" s="276"/>
      <c r="AO925" s="283"/>
      <c r="AP925" s="276"/>
      <c r="AQ925" s="283"/>
      <c r="AR925" s="276"/>
      <c r="AT925" s="283"/>
      <c r="AU925" s="276"/>
      <c r="AV925" s="283"/>
      <c r="AW925" s="276"/>
      <c r="AX925" s="283"/>
      <c r="AY925" s="276"/>
      <c r="AZ925" s="283"/>
      <c r="BA925" s="276"/>
      <c r="BB925" s="283"/>
      <c r="BC925" s="276"/>
      <c r="BD925" s="283"/>
      <c r="BE925" s="276"/>
      <c r="BG925" s="283"/>
      <c r="BH925" s="276"/>
      <c r="BI925" s="283"/>
      <c r="BJ925" s="276"/>
      <c r="BK925" s="283"/>
      <c r="BL925" s="276"/>
      <c r="BM925" s="283"/>
      <c r="BN925" s="276"/>
      <c r="BO925" s="283"/>
      <c r="BP925" s="276"/>
      <c r="BQ925" s="283"/>
      <c r="BR925" s="283"/>
      <c r="BS925" s="276"/>
    </row>
    <row r="926" spans="12:71" ht="12" customHeight="1">
      <c r="L926" s="283"/>
      <c r="M926" s="276"/>
      <c r="N926" s="283"/>
      <c r="O926" s="276"/>
      <c r="P926" s="283"/>
      <c r="Q926" s="276"/>
      <c r="S926" s="283"/>
      <c r="T926" s="276"/>
      <c r="W926" s="283"/>
      <c r="X926" s="276"/>
      <c r="Y926" s="283"/>
      <c r="Z926" s="276"/>
      <c r="AA926" s="283"/>
      <c r="AB926" s="276"/>
      <c r="AC926" s="283"/>
      <c r="AE926" s="283"/>
      <c r="AF926" s="276"/>
      <c r="AI926" s="283"/>
      <c r="AJ926" s="276"/>
      <c r="AK926" s="283"/>
      <c r="AL926" s="276"/>
      <c r="AM926" s="283"/>
      <c r="AN926" s="276"/>
      <c r="AO926" s="283"/>
      <c r="AP926" s="276"/>
      <c r="AQ926" s="283"/>
      <c r="AR926" s="276"/>
      <c r="AT926" s="283"/>
      <c r="AU926" s="276"/>
      <c r="AV926" s="283"/>
      <c r="AW926" s="276"/>
      <c r="AX926" s="283"/>
      <c r="AY926" s="276"/>
      <c r="AZ926" s="283"/>
      <c r="BA926" s="276"/>
      <c r="BB926" s="283"/>
      <c r="BC926" s="276"/>
      <c r="BD926" s="283"/>
      <c r="BE926" s="276"/>
      <c r="BG926" s="283"/>
      <c r="BH926" s="276"/>
      <c r="BI926" s="283"/>
      <c r="BJ926" s="276"/>
      <c r="BK926" s="283"/>
      <c r="BL926" s="276"/>
      <c r="BM926" s="283"/>
      <c r="BN926" s="276"/>
      <c r="BO926" s="283"/>
      <c r="BP926" s="276"/>
      <c r="BQ926" s="283"/>
      <c r="BR926" s="283"/>
      <c r="BS926" s="276"/>
    </row>
    <row r="927" spans="12:71" ht="12" customHeight="1">
      <c r="L927" s="283"/>
      <c r="M927" s="276"/>
      <c r="N927" s="283"/>
      <c r="O927" s="276"/>
      <c r="P927" s="283"/>
      <c r="Q927" s="276"/>
      <c r="S927" s="283"/>
      <c r="T927" s="276"/>
      <c r="W927" s="283"/>
      <c r="X927" s="276"/>
      <c r="Y927" s="283"/>
      <c r="Z927" s="276"/>
      <c r="AA927" s="283"/>
      <c r="AB927" s="276"/>
      <c r="AC927" s="283"/>
      <c r="AE927" s="283"/>
      <c r="AF927" s="276"/>
      <c r="AI927" s="283"/>
      <c r="AJ927" s="276"/>
      <c r="AK927" s="283"/>
      <c r="AL927" s="276"/>
      <c r="AM927" s="283"/>
      <c r="AN927" s="276"/>
      <c r="AO927" s="283"/>
      <c r="AP927" s="276"/>
      <c r="AQ927" s="283"/>
      <c r="AR927" s="276"/>
      <c r="AT927" s="283"/>
      <c r="AU927" s="276"/>
      <c r="AV927" s="283"/>
      <c r="AW927" s="276"/>
      <c r="AX927" s="283"/>
      <c r="AY927" s="276"/>
      <c r="AZ927" s="283"/>
      <c r="BA927" s="276"/>
      <c r="BB927" s="283"/>
      <c r="BC927" s="276"/>
      <c r="BD927" s="283"/>
      <c r="BE927" s="276"/>
      <c r="BG927" s="283"/>
      <c r="BH927" s="276"/>
      <c r="BI927" s="283"/>
      <c r="BJ927" s="276"/>
      <c r="BK927" s="283"/>
      <c r="BL927" s="276"/>
      <c r="BM927" s="283"/>
      <c r="BN927" s="276"/>
      <c r="BO927" s="283"/>
      <c r="BP927" s="276"/>
      <c r="BQ927" s="283"/>
      <c r="BR927" s="283"/>
      <c r="BS927" s="276"/>
    </row>
    <row r="928" spans="12:71" ht="12" customHeight="1">
      <c r="L928" s="283"/>
      <c r="M928" s="276"/>
      <c r="N928" s="283"/>
      <c r="O928" s="276"/>
      <c r="P928" s="283"/>
      <c r="Q928" s="276"/>
      <c r="S928" s="283"/>
      <c r="T928" s="276"/>
      <c r="W928" s="283"/>
      <c r="X928" s="276"/>
      <c r="Y928" s="283"/>
      <c r="Z928" s="276"/>
      <c r="AA928" s="283"/>
      <c r="AB928" s="276"/>
      <c r="AC928" s="283"/>
      <c r="AE928" s="283"/>
      <c r="AF928" s="276"/>
      <c r="AI928" s="283"/>
      <c r="AJ928" s="276"/>
      <c r="AK928" s="283"/>
      <c r="AL928" s="276"/>
      <c r="AM928" s="283"/>
      <c r="AN928" s="276"/>
      <c r="AO928" s="283"/>
      <c r="AP928" s="276"/>
      <c r="AQ928" s="283"/>
      <c r="AR928" s="276"/>
      <c r="AT928" s="283"/>
      <c r="AU928" s="276"/>
      <c r="AV928" s="283"/>
      <c r="AW928" s="276"/>
      <c r="AX928" s="283"/>
      <c r="AY928" s="276"/>
      <c r="AZ928" s="283"/>
      <c r="BA928" s="276"/>
      <c r="BB928" s="283"/>
      <c r="BC928" s="276"/>
      <c r="BD928" s="283"/>
      <c r="BE928" s="276"/>
      <c r="BG928" s="283"/>
      <c r="BH928" s="276"/>
      <c r="BI928" s="283"/>
      <c r="BJ928" s="276"/>
      <c r="BK928" s="283"/>
      <c r="BL928" s="276"/>
      <c r="BM928" s="283"/>
      <c r="BN928" s="276"/>
      <c r="BO928" s="283"/>
      <c r="BP928" s="276"/>
      <c r="BQ928" s="283"/>
      <c r="BR928" s="283"/>
      <c r="BS928" s="276"/>
    </row>
    <row r="929" spans="12:71" ht="12" customHeight="1">
      <c r="L929" s="283"/>
      <c r="M929" s="276"/>
      <c r="N929" s="283"/>
      <c r="O929" s="276"/>
      <c r="P929" s="283"/>
      <c r="Q929" s="276"/>
      <c r="S929" s="283"/>
      <c r="T929" s="276"/>
      <c r="W929" s="283"/>
      <c r="X929" s="276"/>
      <c r="Y929" s="283"/>
      <c r="Z929" s="276"/>
      <c r="AA929" s="283"/>
      <c r="AB929" s="276"/>
      <c r="AC929" s="283"/>
      <c r="AE929" s="283"/>
      <c r="AF929" s="276"/>
      <c r="AI929" s="283"/>
      <c r="AJ929" s="276"/>
      <c r="AK929" s="283"/>
      <c r="AL929" s="276"/>
      <c r="AM929" s="283"/>
      <c r="AN929" s="276"/>
      <c r="AO929" s="283"/>
      <c r="AP929" s="276"/>
      <c r="AQ929" s="283"/>
      <c r="AR929" s="276"/>
      <c r="AT929" s="283"/>
      <c r="AU929" s="276"/>
      <c r="AV929" s="283"/>
      <c r="AW929" s="276"/>
      <c r="AX929" s="283"/>
      <c r="AY929" s="276"/>
      <c r="AZ929" s="283"/>
      <c r="BA929" s="276"/>
      <c r="BB929" s="283"/>
      <c r="BC929" s="276"/>
      <c r="BD929" s="283"/>
      <c r="BE929" s="276"/>
      <c r="BG929" s="283"/>
      <c r="BH929" s="276"/>
      <c r="BI929" s="283"/>
      <c r="BJ929" s="276"/>
      <c r="BK929" s="283"/>
      <c r="BL929" s="276"/>
      <c r="BM929" s="283"/>
      <c r="BN929" s="276"/>
      <c r="BO929" s="283"/>
      <c r="BP929" s="276"/>
      <c r="BQ929" s="283"/>
      <c r="BR929" s="283"/>
      <c r="BS929" s="276"/>
    </row>
    <row r="930" spans="12:71" ht="12" customHeight="1">
      <c r="L930" s="283"/>
      <c r="M930" s="276"/>
      <c r="N930" s="283"/>
      <c r="O930" s="276"/>
      <c r="P930" s="283"/>
      <c r="Q930" s="276"/>
      <c r="S930" s="283"/>
      <c r="T930" s="276"/>
      <c r="W930" s="283"/>
      <c r="X930" s="276"/>
      <c r="Y930" s="283"/>
      <c r="Z930" s="276"/>
      <c r="AA930" s="283"/>
      <c r="AB930" s="276"/>
      <c r="AC930" s="283"/>
      <c r="AE930" s="283"/>
      <c r="AF930" s="276"/>
      <c r="AI930" s="283"/>
      <c r="AJ930" s="276"/>
      <c r="AK930" s="283"/>
      <c r="AL930" s="276"/>
      <c r="AM930" s="283"/>
      <c r="AN930" s="276"/>
      <c r="AO930" s="283"/>
      <c r="AP930" s="276"/>
      <c r="AQ930" s="283"/>
      <c r="AR930" s="276"/>
      <c r="AT930" s="283"/>
      <c r="AU930" s="276"/>
      <c r="AV930" s="283"/>
      <c r="AW930" s="276"/>
      <c r="AX930" s="283"/>
      <c r="AY930" s="276"/>
      <c r="AZ930" s="283"/>
      <c r="BA930" s="276"/>
      <c r="BB930" s="283"/>
      <c r="BC930" s="276"/>
      <c r="BD930" s="283"/>
      <c r="BE930" s="276"/>
      <c r="BG930" s="283"/>
      <c r="BH930" s="276"/>
      <c r="BI930" s="283"/>
      <c r="BJ930" s="276"/>
      <c r="BK930" s="283"/>
      <c r="BL930" s="276"/>
      <c r="BM930" s="283"/>
      <c r="BN930" s="276"/>
      <c r="BO930" s="283"/>
      <c r="BP930" s="276"/>
      <c r="BQ930" s="283"/>
      <c r="BR930" s="283"/>
      <c r="BS930" s="276"/>
    </row>
    <row r="931" spans="12:71" ht="12" customHeight="1">
      <c r="L931" s="283"/>
      <c r="M931" s="276"/>
      <c r="N931" s="283"/>
      <c r="O931" s="276"/>
      <c r="P931" s="283"/>
      <c r="Q931" s="276"/>
      <c r="S931" s="283"/>
      <c r="T931" s="276"/>
      <c r="W931" s="283"/>
      <c r="X931" s="276"/>
      <c r="Y931" s="283"/>
      <c r="Z931" s="276"/>
      <c r="AA931" s="283"/>
      <c r="AB931" s="276"/>
      <c r="AC931" s="283"/>
      <c r="AE931" s="283"/>
      <c r="AF931" s="276"/>
      <c r="AI931" s="283"/>
      <c r="AJ931" s="276"/>
      <c r="AK931" s="283"/>
      <c r="AL931" s="276"/>
      <c r="AM931" s="283"/>
      <c r="AN931" s="276"/>
      <c r="AO931" s="283"/>
      <c r="AP931" s="276"/>
      <c r="AQ931" s="283"/>
      <c r="AR931" s="276"/>
      <c r="AT931" s="283"/>
      <c r="AU931" s="276"/>
      <c r="AV931" s="283"/>
      <c r="AW931" s="276"/>
      <c r="AX931" s="283"/>
      <c r="AY931" s="276"/>
      <c r="AZ931" s="283"/>
      <c r="BA931" s="276"/>
      <c r="BB931" s="283"/>
      <c r="BC931" s="276"/>
      <c r="BD931" s="283"/>
      <c r="BE931" s="276"/>
      <c r="BG931" s="283"/>
      <c r="BH931" s="276"/>
      <c r="BI931" s="283"/>
      <c r="BJ931" s="276"/>
      <c r="BK931" s="283"/>
      <c r="BL931" s="276"/>
      <c r="BM931" s="283"/>
      <c r="BN931" s="276"/>
      <c r="BO931" s="283"/>
      <c r="BP931" s="276"/>
      <c r="BQ931" s="283"/>
      <c r="BR931" s="283"/>
      <c r="BS931" s="276"/>
    </row>
    <row r="932" spans="12:71" ht="12" customHeight="1">
      <c r="L932" s="283"/>
      <c r="M932" s="276"/>
      <c r="N932" s="283"/>
      <c r="O932" s="276"/>
      <c r="P932" s="283"/>
      <c r="Q932" s="276"/>
      <c r="S932" s="283"/>
      <c r="T932" s="276"/>
      <c r="W932" s="283"/>
      <c r="X932" s="276"/>
      <c r="Y932" s="283"/>
      <c r="Z932" s="276"/>
      <c r="AA932" s="283"/>
      <c r="AB932" s="276"/>
      <c r="AC932" s="283"/>
      <c r="AE932" s="283"/>
      <c r="AF932" s="276"/>
      <c r="AI932" s="283"/>
      <c r="AJ932" s="276"/>
      <c r="AK932" s="283"/>
      <c r="AL932" s="276"/>
      <c r="AM932" s="283"/>
      <c r="AN932" s="276"/>
      <c r="AO932" s="283"/>
      <c r="AP932" s="276"/>
      <c r="AQ932" s="283"/>
      <c r="AR932" s="276"/>
      <c r="AT932" s="283"/>
      <c r="AU932" s="276"/>
      <c r="AV932" s="283"/>
      <c r="AW932" s="276"/>
      <c r="AX932" s="283"/>
      <c r="AY932" s="276"/>
      <c r="AZ932" s="283"/>
      <c r="BA932" s="276"/>
      <c r="BB932" s="283"/>
      <c r="BC932" s="276"/>
      <c r="BD932" s="283"/>
      <c r="BE932" s="276"/>
      <c r="BG932" s="283"/>
      <c r="BH932" s="276"/>
      <c r="BI932" s="283"/>
      <c r="BJ932" s="276"/>
      <c r="BK932" s="283"/>
      <c r="BL932" s="276"/>
      <c r="BM932" s="283"/>
      <c r="BN932" s="276"/>
      <c r="BO932" s="283"/>
      <c r="BP932" s="276"/>
      <c r="BQ932" s="283"/>
      <c r="BR932" s="283"/>
      <c r="BS932" s="276"/>
    </row>
    <row r="933" spans="12:71" ht="12" customHeight="1">
      <c r="L933" s="283"/>
      <c r="M933" s="276"/>
      <c r="N933" s="283"/>
      <c r="O933" s="276"/>
      <c r="P933" s="283"/>
      <c r="Q933" s="276"/>
      <c r="S933" s="283"/>
      <c r="T933" s="276"/>
      <c r="W933" s="283"/>
      <c r="X933" s="276"/>
      <c r="Y933" s="283"/>
      <c r="Z933" s="276"/>
      <c r="AA933" s="283"/>
      <c r="AB933" s="276"/>
      <c r="AC933" s="283"/>
      <c r="AE933" s="283"/>
      <c r="AF933" s="276"/>
      <c r="AI933" s="283"/>
      <c r="AJ933" s="276"/>
      <c r="AK933" s="283"/>
      <c r="AL933" s="276"/>
      <c r="AM933" s="283"/>
      <c r="AN933" s="276"/>
      <c r="AO933" s="283"/>
      <c r="AP933" s="276"/>
      <c r="AQ933" s="283"/>
      <c r="AR933" s="276"/>
      <c r="AT933" s="283"/>
      <c r="AU933" s="276"/>
      <c r="AV933" s="283"/>
      <c r="AW933" s="276"/>
      <c r="AX933" s="283"/>
      <c r="AY933" s="276"/>
      <c r="AZ933" s="283"/>
      <c r="BA933" s="276"/>
      <c r="BB933" s="283"/>
      <c r="BC933" s="276"/>
      <c r="BD933" s="283"/>
      <c r="BE933" s="276"/>
      <c r="BG933" s="283"/>
      <c r="BH933" s="276"/>
      <c r="BI933" s="283"/>
      <c r="BJ933" s="276"/>
      <c r="BK933" s="283"/>
      <c r="BL933" s="276"/>
      <c r="BM933" s="283"/>
      <c r="BN933" s="276"/>
      <c r="BO933" s="283"/>
      <c r="BP933" s="276"/>
      <c r="BQ933" s="283"/>
      <c r="BR933" s="283"/>
      <c r="BS933" s="276"/>
    </row>
    <row r="934" spans="12:71" ht="12" customHeight="1">
      <c r="L934" s="283"/>
      <c r="M934" s="276"/>
      <c r="N934" s="283"/>
      <c r="O934" s="276"/>
      <c r="P934" s="283"/>
      <c r="Q934" s="276"/>
      <c r="S934" s="283"/>
      <c r="T934" s="276"/>
      <c r="W934" s="283"/>
      <c r="X934" s="276"/>
      <c r="Y934" s="283"/>
      <c r="Z934" s="276"/>
      <c r="AA934" s="283"/>
      <c r="AB934" s="276"/>
      <c r="AC934" s="283"/>
      <c r="AE934" s="283"/>
      <c r="AF934" s="276"/>
      <c r="AI934" s="283"/>
      <c r="AJ934" s="276"/>
      <c r="AK934" s="283"/>
      <c r="AL934" s="276"/>
      <c r="AM934" s="283"/>
      <c r="AN934" s="276"/>
      <c r="AO934" s="283"/>
      <c r="AP934" s="276"/>
      <c r="AQ934" s="283"/>
      <c r="AR934" s="276"/>
      <c r="AT934" s="283"/>
      <c r="AU934" s="276"/>
      <c r="AV934" s="283"/>
      <c r="AW934" s="276"/>
      <c r="AX934" s="283"/>
      <c r="AY934" s="276"/>
      <c r="AZ934" s="283"/>
      <c r="BA934" s="276"/>
      <c r="BB934" s="283"/>
      <c r="BC934" s="276"/>
      <c r="BD934" s="283"/>
      <c r="BE934" s="276"/>
      <c r="BG934" s="283"/>
      <c r="BH934" s="276"/>
      <c r="BI934" s="283"/>
      <c r="BJ934" s="276"/>
      <c r="BK934" s="283"/>
      <c r="BL934" s="276"/>
      <c r="BM934" s="283"/>
      <c r="BN934" s="276"/>
      <c r="BO934" s="283"/>
      <c r="BP934" s="276"/>
      <c r="BQ934" s="283"/>
      <c r="BR934" s="283"/>
      <c r="BS934" s="276"/>
    </row>
    <row r="935" spans="12:71" ht="12" customHeight="1">
      <c r="L935" s="283"/>
      <c r="M935" s="276"/>
      <c r="N935" s="283"/>
      <c r="O935" s="276"/>
      <c r="P935" s="283"/>
      <c r="Q935" s="276"/>
      <c r="S935" s="283"/>
      <c r="T935" s="276"/>
      <c r="W935" s="283"/>
      <c r="X935" s="276"/>
      <c r="Y935" s="283"/>
      <c r="Z935" s="276"/>
      <c r="AA935" s="283"/>
      <c r="AB935" s="276"/>
      <c r="AC935" s="283"/>
      <c r="AE935" s="283"/>
      <c r="AF935" s="276"/>
      <c r="AI935" s="283"/>
      <c r="AJ935" s="276"/>
      <c r="AK935" s="283"/>
      <c r="AL935" s="276"/>
      <c r="AM935" s="283"/>
      <c r="AN935" s="276"/>
      <c r="AO935" s="283"/>
      <c r="AP935" s="276"/>
      <c r="AQ935" s="283"/>
      <c r="AR935" s="276"/>
      <c r="AT935" s="283"/>
      <c r="AU935" s="276"/>
      <c r="AV935" s="283"/>
      <c r="AW935" s="276"/>
      <c r="AX935" s="283"/>
      <c r="AY935" s="276"/>
      <c r="AZ935" s="283"/>
      <c r="BA935" s="276"/>
      <c r="BB935" s="283"/>
      <c r="BC935" s="276"/>
      <c r="BD935" s="283"/>
      <c r="BE935" s="276"/>
      <c r="BG935" s="283"/>
      <c r="BH935" s="276"/>
      <c r="BI935" s="283"/>
      <c r="BJ935" s="276"/>
      <c r="BK935" s="283"/>
      <c r="BL935" s="276"/>
      <c r="BM935" s="283"/>
      <c r="BN935" s="276"/>
      <c r="BO935" s="283"/>
      <c r="BP935" s="276"/>
      <c r="BQ935" s="283"/>
      <c r="BR935" s="283"/>
      <c r="BS935" s="276"/>
    </row>
    <row r="936" spans="12:71" ht="12" customHeight="1">
      <c r="L936" s="283"/>
      <c r="M936" s="276"/>
      <c r="N936" s="283"/>
      <c r="O936" s="276"/>
      <c r="P936" s="283"/>
      <c r="Q936" s="276"/>
      <c r="S936" s="283"/>
      <c r="T936" s="276"/>
      <c r="W936" s="283"/>
      <c r="X936" s="276"/>
      <c r="Y936" s="283"/>
      <c r="Z936" s="276"/>
      <c r="AA936" s="283"/>
      <c r="AB936" s="276"/>
      <c r="AC936" s="283"/>
      <c r="AE936" s="283"/>
      <c r="AF936" s="276"/>
      <c r="AI936" s="283"/>
      <c r="AJ936" s="276"/>
      <c r="AK936" s="283"/>
      <c r="AL936" s="276"/>
      <c r="AM936" s="283"/>
      <c r="AN936" s="276"/>
      <c r="AO936" s="283"/>
      <c r="AP936" s="276"/>
      <c r="AQ936" s="283"/>
      <c r="AR936" s="276"/>
      <c r="AT936" s="283"/>
      <c r="AU936" s="276"/>
      <c r="AV936" s="283"/>
      <c r="AW936" s="276"/>
      <c r="AX936" s="283"/>
      <c r="AY936" s="276"/>
      <c r="AZ936" s="283"/>
      <c r="BA936" s="276"/>
      <c r="BB936" s="283"/>
      <c r="BC936" s="276"/>
      <c r="BD936" s="283"/>
      <c r="BE936" s="276"/>
      <c r="BG936" s="283"/>
      <c r="BH936" s="276"/>
      <c r="BI936" s="283"/>
      <c r="BJ936" s="276"/>
      <c r="BK936" s="283"/>
      <c r="BL936" s="276"/>
      <c r="BM936" s="283"/>
      <c r="BN936" s="276"/>
      <c r="BO936" s="283"/>
      <c r="BP936" s="276"/>
      <c r="BQ936" s="283"/>
      <c r="BR936" s="283"/>
      <c r="BS936" s="276"/>
    </row>
    <row r="937" spans="12:71" ht="12" customHeight="1">
      <c r="L937" s="283"/>
      <c r="M937" s="276"/>
      <c r="N937" s="283"/>
      <c r="O937" s="276"/>
      <c r="P937" s="283"/>
      <c r="Q937" s="276"/>
      <c r="S937" s="283"/>
      <c r="T937" s="276"/>
      <c r="W937" s="283"/>
      <c r="X937" s="276"/>
      <c r="Y937" s="283"/>
      <c r="Z937" s="276"/>
      <c r="AA937" s="283"/>
      <c r="AB937" s="276"/>
      <c r="AC937" s="283"/>
      <c r="AE937" s="283"/>
      <c r="AF937" s="276"/>
      <c r="AI937" s="283"/>
      <c r="AJ937" s="276"/>
      <c r="AK937" s="283"/>
      <c r="AL937" s="276"/>
      <c r="AM937" s="283"/>
      <c r="AN937" s="276"/>
      <c r="AO937" s="283"/>
      <c r="AP937" s="276"/>
      <c r="AQ937" s="283"/>
      <c r="AR937" s="276"/>
      <c r="AT937" s="283"/>
      <c r="AU937" s="276"/>
      <c r="AV937" s="283"/>
      <c r="AW937" s="276"/>
      <c r="AX937" s="283"/>
      <c r="AY937" s="276"/>
      <c r="AZ937" s="283"/>
      <c r="BA937" s="276"/>
      <c r="BB937" s="283"/>
      <c r="BC937" s="276"/>
      <c r="BD937" s="283"/>
      <c r="BE937" s="276"/>
      <c r="BG937" s="283"/>
      <c r="BH937" s="276"/>
      <c r="BI937" s="283"/>
      <c r="BJ937" s="276"/>
      <c r="BK937" s="283"/>
      <c r="BL937" s="276"/>
      <c r="BM937" s="283"/>
      <c r="BN937" s="276"/>
      <c r="BO937" s="283"/>
      <c r="BP937" s="276"/>
      <c r="BQ937" s="283"/>
      <c r="BR937" s="283"/>
      <c r="BS937" s="276"/>
    </row>
    <row r="938" spans="12:71" ht="12" customHeight="1">
      <c r="L938" s="283"/>
      <c r="M938" s="276"/>
      <c r="N938" s="283"/>
      <c r="O938" s="276"/>
      <c r="P938" s="283"/>
      <c r="Q938" s="276"/>
      <c r="S938" s="283"/>
      <c r="T938" s="276"/>
      <c r="W938" s="283"/>
      <c r="X938" s="276"/>
      <c r="Y938" s="283"/>
      <c r="Z938" s="276"/>
      <c r="AA938" s="283"/>
      <c r="AB938" s="276"/>
      <c r="AC938" s="283"/>
      <c r="AE938" s="283"/>
      <c r="AF938" s="276"/>
      <c r="AI938" s="283"/>
      <c r="AJ938" s="276"/>
      <c r="AK938" s="283"/>
      <c r="AL938" s="276"/>
      <c r="AM938" s="283"/>
      <c r="AN938" s="276"/>
      <c r="AO938" s="283"/>
      <c r="AP938" s="276"/>
      <c r="AQ938" s="283"/>
      <c r="AR938" s="276"/>
      <c r="AT938" s="283"/>
      <c r="AU938" s="276"/>
      <c r="AV938" s="283"/>
      <c r="AW938" s="276"/>
      <c r="AX938" s="283"/>
      <c r="AY938" s="276"/>
      <c r="AZ938" s="283"/>
      <c r="BA938" s="276"/>
      <c r="BB938" s="283"/>
      <c r="BC938" s="276"/>
      <c r="BD938" s="283"/>
      <c r="BE938" s="276"/>
      <c r="BG938" s="283"/>
      <c r="BH938" s="276"/>
      <c r="BI938" s="283"/>
      <c r="BJ938" s="276"/>
      <c r="BK938" s="283"/>
      <c r="BL938" s="276"/>
      <c r="BM938" s="283"/>
      <c r="BN938" s="276"/>
      <c r="BO938" s="283"/>
      <c r="BP938" s="276"/>
      <c r="BQ938" s="283"/>
      <c r="BR938" s="283"/>
      <c r="BS938" s="276"/>
    </row>
    <row r="939" spans="12:71" ht="12" customHeight="1">
      <c r="L939" s="283"/>
      <c r="M939" s="276"/>
      <c r="N939" s="283"/>
      <c r="O939" s="276"/>
      <c r="P939" s="283"/>
      <c r="Q939" s="276"/>
      <c r="S939" s="283"/>
      <c r="T939" s="276"/>
      <c r="W939" s="283"/>
      <c r="X939" s="276"/>
      <c r="Y939" s="283"/>
      <c r="Z939" s="276"/>
      <c r="AA939" s="283"/>
      <c r="AB939" s="276"/>
      <c r="AC939" s="283"/>
      <c r="AE939" s="283"/>
      <c r="AF939" s="276"/>
      <c r="AI939" s="283"/>
      <c r="AJ939" s="276"/>
      <c r="AK939" s="283"/>
      <c r="AL939" s="276"/>
      <c r="AM939" s="283"/>
      <c r="AN939" s="276"/>
      <c r="AO939" s="283"/>
      <c r="AP939" s="276"/>
      <c r="AQ939" s="283"/>
      <c r="AR939" s="276"/>
      <c r="AT939" s="283"/>
      <c r="AU939" s="276"/>
      <c r="AV939" s="283"/>
      <c r="AW939" s="276"/>
      <c r="AX939" s="283"/>
      <c r="AY939" s="276"/>
      <c r="AZ939" s="283"/>
      <c r="BA939" s="276"/>
      <c r="BB939" s="283"/>
      <c r="BC939" s="276"/>
      <c r="BD939" s="283"/>
      <c r="BE939" s="276"/>
      <c r="BG939" s="283"/>
      <c r="BH939" s="276"/>
      <c r="BI939" s="283"/>
      <c r="BJ939" s="276"/>
      <c r="BK939" s="283"/>
      <c r="BL939" s="276"/>
      <c r="BM939" s="283"/>
      <c r="BN939" s="276"/>
      <c r="BO939" s="283"/>
      <c r="BP939" s="276"/>
      <c r="BQ939" s="283"/>
      <c r="BR939" s="283"/>
      <c r="BS939" s="276"/>
    </row>
    <row r="940" spans="12:71" ht="12" customHeight="1">
      <c r="L940" s="283"/>
      <c r="M940" s="276"/>
      <c r="N940" s="283"/>
      <c r="O940" s="276"/>
      <c r="P940" s="283"/>
      <c r="Q940" s="276"/>
      <c r="S940" s="283"/>
      <c r="T940" s="276"/>
      <c r="W940" s="283"/>
      <c r="X940" s="276"/>
      <c r="Y940" s="283"/>
      <c r="Z940" s="276"/>
      <c r="AA940" s="283"/>
      <c r="AB940" s="276"/>
      <c r="AC940" s="283"/>
      <c r="AE940" s="283"/>
      <c r="AF940" s="276"/>
      <c r="AI940" s="283"/>
      <c r="AJ940" s="276"/>
      <c r="AK940" s="283"/>
      <c r="AL940" s="276"/>
      <c r="AM940" s="283"/>
      <c r="AN940" s="276"/>
      <c r="AO940" s="283"/>
      <c r="AP940" s="276"/>
      <c r="AQ940" s="283"/>
      <c r="AR940" s="276"/>
      <c r="AT940" s="283"/>
      <c r="AU940" s="276"/>
      <c r="AV940" s="283"/>
      <c r="AW940" s="276"/>
      <c r="AX940" s="283"/>
      <c r="AY940" s="276"/>
      <c r="AZ940" s="283"/>
      <c r="BA940" s="276"/>
      <c r="BB940" s="283"/>
      <c r="BC940" s="276"/>
      <c r="BD940" s="283"/>
      <c r="BE940" s="276"/>
      <c r="BG940" s="283"/>
      <c r="BH940" s="276"/>
      <c r="BI940" s="283"/>
      <c r="BJ940" s="276"/>
      <c r="BK940" s="283"/>
      <c r="BL940" s="276"/>
      <c r="BM940" s="283"/>
      <c r="BN940" s="276"/>
      <c r="BO940" s="283"/>
      <c r="BP940" s="276"/>
      <c r="BQ940" s="283"/>
      <c r="BR940" s="283"/>
      <c r="BS940" s="276"/>
    </row>
    <row r="941" spans="12:71" ht="12" customHeight="1">
      <c r="L941" s="283"/>
      <c r="M941" s="276"/>
      <c r="N941" s="283"/>
      <c r="O941" s="276"/>
      <c r="P941" s="283"/>
      <c r="Q941" s="276"/>
      <c r="S941" s="283"/>
      <c r="T941" s="276"/>
      <c r="W941" s="283"/>
      <c r="X941" s="276"/>
      <c r="Y941" s="283"/>
      <c r="Z941" s="276"/>
      <c r="AA941" s="283"/>
      <c r="AB941" s="276"/>
      <c r="AC941" s="283"/>
      <c r="AE941" s="283"/>
      <c r="AF941" s="276"/>
      <c r="AI941" s="283"/>
      <c r="AJ941" s="276"/>
      <c r="AK941" s="283"/>
      <c r="AL941" s="276"/>
      <c r="AM941" s="283"/>
      <c r="AN941" s="276"/>
      <c r="AO941" s="283"/>
      <c r="AP941" s="276"/>
      <c r="AQ941" s="283"/>
      <c r="AR941" s="276"/>
      <c r="AT941" s="283"/>
      <c r="AU941" s="276"/>
      <c r="AV941" s="283"/>
      <c r="AW941" s="276"/>
      <c r="AX941" s="283"/>
      <c r="AY941" s="276"/>
      <c r="AZ941" s="283"/>
      <c r="BA941" s="276"/>
      <c r="BB941" s="283"/>
      <c r="BC941" s="276"/>
      <c r="BD941" s="283"/>
      <c r="BE941" s="276"/>
      <c r="BG941" s="283"/>
      <c r="BH941" s="276"/>
      <c r="BI941" s="283"/>
      <c r="BJ941" s="276"/>
      <c r="BK941" s="283"/>
      <c r="BL941" s="276"/>
      <c r="BM941" s="283"/>
      <c r="BN941" s="276"/>
      <c r="BO941" s="283"/>
      <c r="BP941" s="276"/>
      <c r="BQ941" s="283"/>
      <c r="BR941" s="283"/>
      <c r="BS941" s="276"/>
    </row>
    <row r="942" spans="12:71" ht="12" customHeight="1">
      <c r="L942" s="283"/>
      <c r="M942" s="276"/>
      <c r="N942" s="283"/>
      <c r="O942" s="276"/>
      <c r="P942" s="283"/>
      <c r="Q942" s="276"/>
      <c r="S942" s="283"/>
      <c r="T942" s="276"/>
      <c r="W942" s="283"/>
      <c r="X942" s="276"/>
      <c r="Y942" s="283"/>
      <c r="Z942" s="276"/>
      <c r="AA942" s="283"/>
      <c r="AB942" s="276"/>
      <c r="AC942" s="283"/>
      <c r="AE942" s="283"/>
      <c r="AF942" s="276"/>
      <c r="AI942" s="283"/>
      <c r="AJ942" s="276"/>
      <c r="AK942" s="283"/>
      <c r="AL942" s="276"/>
      <c r="AM942" s="283"/>
      <c r="AN942" s="276"/>
      <c r="AO942" s="283"/>
      <c r="AP942" s="276"/>
      <c r="AQ942" s="283"/>
      <c r="AR942" s="276"/>
      <c r="AT942" s="283"/>
      <c r="AU942" s="276"/>
      <c r="AV942" s="283"/>
      <c r="AW942" s="276"/>
      <c r="AX942" s="283"/>
      <c r="AY942" s="276"/>
      <c r="AZ942" s="283"/>
      <c r="BA942" s="276"/>
      <c r="BB942" s="283"/>
      <c r="BC942" s="276"/>
      <c r="BD942" s="283"/>
      <c r="BE942" s="276"/>
      <c r="BG942" s="283"/>
      <c r="BH942" s="276"/>
      <c r="BI942" s="283"/>
      <c r="BJ942" s="276"/>
      <c r="BK942" s="283"/>
      <c r="BL942" s="276"/>
      <c r="BM942" s="283"/>
      <c r="BN942" s="276"/>
      <c r="BO942" s="283"/>
      <c r="BP942" s="276"/>
      <c r="BQ942" s="283"/>
      <c r="BR942" s="283"/>
      <c r="BS942" s="276"/>
    </row>
    <row r="943" spans="12:71" ht="12" customHeight="1">
      <c r="L943" s="283"/>
      <c r="M943" s="276"/>
      <c r="N943" s="283"/>
      <c r="O943" s="276"/>
      <c r="P943" s="283"/>
      <c r="Q943" s="276"/>
      <c r="S943" s="283"/>
      <c r="T943" s="276"/>
      <c r="W943" s="283"/>
      <c r="X943" s="276"/>
      <c r="Y943" s="283"/>
      <c r="Z943" s="276"/>
      <c r="AA943" s="283"/>
      <c r="AB943" s="276"/>
      <c r="AC943" s="283"/>
      <c r="AE943" s="283"/>
      <c r="AF943" s="276"/>
      <c r="AI943" s="283"/>
      <c r="AJ943" s="276"/>
      <c r="AK943" s="283"/>
      <c r="AL943" s="276"/>
      <c r="AM943" s="283"/>
      <c r="AN943" s="276"/>
      <c r="AO943" s="283"/>
      <c r="AP943" s="276"/>
      <c r="AQ943" s="283"/>
      <c r="AR943" s="276"/>
      <c r="AT943" s="283"/>
      <c r="AU943" s="276"/>
      <c r="AV943" s="283"/>
      <c r="AW943" s="276"/>
      <c r="AX943" s="283"/>
      <c r="AY943" s="276"/>
      <c r="AZ943" s="283"/>
      <c r="BA943" s="276"/>
      <c r="BB943" s="283"/>
      <c r="BC943" s="276"/>
      <c r="BD943" s="283"/>
      <c r="BE943" s="276"/>
      <c r="BG943" s="283"/>
      <c r="BH943" s="276"/>
      <c r="BI943" s="283"/>
      <c r="BJ943" s="276"/>
      <c r="BK943" s="283"/>
      <c r="BL943" s="276"/>
      <c r="BM943" s="283"/>
      <c r="BN943" s="276"/>
      <c r="BO943" s="283"/>
      <c r="BP943" s="276"/>
      <c r="BQ943" s="283"/>
      <c r="BR943" s="283"/>
      <c r="BS943" s="276"/>
    </row>
    <row r="944" spans="12:71" ht="12" customHeight="1">
      <c r="L944" s="283"/>
      <c r="M944" s="276"/>
      <c r="N944" s="283"/>
      <c r="O944" s="276"/>
      <c r="P944" s="283"/>
      <c r="Q944" s="276"/>
      <c r="S944" s="283"/>
      <c r="T944" s="276"/>
      <c r="W944" s="283"/>
      <c r="X944" s="276"/>
      <c r="Y944" s="283"/>
      <c r="Z944" s="276"/>
      <c r="AA944" s="283"/>
      <c r="AB944" s="276"/>
      <c r="AC944" s="283"/>
      <c r="AE944" s="283"/>
      <c r="AF944" s="276"/>
      <c r="AI944" s="283"/>
      <c r="AJ944" s="276"/>
      <c r="AK944" s="283"/>
      <c r="AL944" s="276"/>
      <c r="AM944" s="283"/>
      <c r="AN944" s="276"/>
      <c r="AO944" s="283"/>
      <c r="AP944" s="276"/>
      <c r="AQ944" s="283"/>
      <c r="AR944" s="276"/>
      <c r="AT944" s="283"/>
      <c r="AU944" s="276"/>
      <c r="AV944" s="283"/>
      <c r="AW944" s="276"/>
      <c r="AX944" s="283"/>
      <c r="AY944" s="276"/>
      <c r="AZ944" s="283"/>
      <c r="BA944" s="276"/>
      <c r="BB944" s="283"/>
      <c r="BC944" s="276"/>
      <c r="BD944" s="283"/>
      <c r="BE944" s="276"/>
      <c r="BG944" s="283"/>
      <c r="BH944" s="276"/>
      <c r="BI944" s="283"/>
      <c r="BJ944" s="276"/>
      <c r="BK944" s="283"/>
      <c r="BL944" s="276"/>
      <c r="BM944" s="283"/>
      <c r="BN944" s="276"/>
      <c r="BO944" s="283"/>
      <c r="BP944" s="276"/>
      <c r="BQ944" s="283"/>
      <c r="BR944" s="283"/>
      <c r="BS944" s="276"/>
    </row>
    <row r="945" spans="12:71" ht="12" customHeight="1">
      <c r="L945" s="283"/>
      <c r="M945" s="276"/>
      <c r="N945" s="283"/>
      <c r="O945" s="276"/>
      <c r="P945" s="283"/>
      <c r="Q945" s="276"/>
      <c r="S945" s="283"/>
      <c r="T945" s="276"/>
      <c r="W945" s="283"/>
      <c r="X945" s="276"/>
      <c r="Y945" s="283"/>
      <c r="Z945" s="276"/>
      <c r="AA945" s="283"/>
      <c r="AB945" s="276"/>
      <c r="AC945" s="283"/>
      <c r="AE945" s="283"/>
      <c r="AF945" s="276"/>
      <c r="AI945" s="283"/>
      <c r="AJ945" s="276"/>
      <c r="AK945" s="283"/>
      <c r="AL945" s="276"/>
      <c r="AM945" s="283"/>
      <c r="AN945" s="276"/>
      <c r="AO945" s="283"/>
      <c r="AP945" s="276"/>
      <c r="AQ945" s="283"/>
      <c r="AR945" s="276"/>
      <c r="AT945" s="283"/>
      <c r="AU945" s="276"/>
      <c r="AV945" s="283"/>
      <c r="AW945" s="276"/>
      <c r="AX945" s="283"/>
      <c r="AY945" s="276"/>
      <c r="AZ945" s="283"/>
      <c r="BA945" s="276"/>
      <c r="BB945" s="283"/>
      <c r="BC945" s="276"/>
      <c r="BD945" s="283"/>
      <c r="BE945" s="276"/>
      <c r="BG945" s="283"/>
      <c r="BH945" s="276"/>
      <c r="BI945" s="283"/>
      <c r="BJ945" s="276"/>
      <c r="BK945" s="283"/>
      <c r="BL945" s="276"/>
      <c r="BM945" s="283"/>
      <c r="BN945" s="276"/>
      <c r="BO945" s="283"/>
      <c r="BP945" s="276"/>
      <c r="BQ945" s="283"/>
      <c r="BR945" s="283"/>
      <c r="BS945" s="276"/>
    </row>
    <row r="946" spans="12:71" ht="12" customHeight="1">
      <c r="L946" s="283"/>
      <c r="M946" s="276"/>
      <c r="N946" s="283"/>
      <c r="O946" s="276"/>
      <c r="P946" s="283"/>
      <c r="Q946" s="276"/>
      <c r="S946" s="283"/>
      <c r="T946" s="276"/>
      <c r="W946" s="283"/>
      <c r="X946" s="276"/>
      <c r="Y946" s="283"/>
      <c r="Z946" s="276"/>
      <c r="AA946" s="283"/>
      <c r="AB946" s="276"/>
      <c r="AC946" s="283"/>
      <c r="AE946" s="283"/>
      <c r="AF946" s="276"/>
      <c r="AI946" s="283"/>
      <c r="AJ946" s="276"/>
      <c r="AK946" s="283"/>
      <c r="AL946" s="276"/>
      <c r="AM946" s="283"/>
      <c r="AN946" s="276"/>
      <c r="AO946" s="283"/>
      <c r="AP946" s="276"/>
      <c r="AQ946" s="283"/>
      <c r="AR946" s="276"/>
      <c r="AT946" s="283"/>
      <c r="AU946" s="276"/>
      <c r="AV946" s="283"/>
      <c r="AW946" s="276"/>
      <c r="AX946" s="283"/>
      <c r="AY946" s="276"/>
      <c r="AZ946" s="283"/>
      <c r="BA946" s="276"/>
      <c r="BB946" s="283"/>
      <c r="BC946" s="276"/>
      <c r="BD946" s="283"/>
      <c r="BE946" s="276"/>
      <c r="BG946" s="283"/>
      <c r="BH946" s="276"/>
      <c r="BI946" s="283"/>
      <c r="BJ946" s="276"/>
      <c r="BK946" s="283"/>
      <c r="BL946" s="276"/>
      <c r="BM946" s="283"/>
      <c r="BN946" s="276"/>
      <c r="BO946" s="283"/>
      <c r="BP946" s="276"/>
      <c r="BQ946" s="283"/>
      <c r="BR946" s="283"/>
      <c r="BS946" s="276"/>
    </row>
    <row r="947" spans="12:71" ht="12" customHeight="1">
      <c r="L947" s="283"/>
      <c r="M947" s="276"/>
      <c r="N947" s="283"/>
      <c r="O947" s="276"/>
      <c r="P947" s="283"/>
      <c r="Q947" s="276"/>
      <c r="S947" s="283"/>
      <c r="T947" s="276"/>
      <c r="W947" s="283"/>
      <c r="X947" s="276"/>
      <c r="Y947" s="283"/>
      <c r="Z947" s="276"/>
      <c r="AA947" s="283"/>
      <c r="AB947" s="276"/>
      <c r="AC947" s="283"/>
      <c r="AE947" s="283"/>
      <c r="AF947" s="276"/>
      <c r="AI947" s="283"/>
      <c r="AJ947" s="276"/>
      <c r="AK947" s="283"/>
      <c r="AL947" s="276"/>
      <c r="AM947" s="283"/>
      <c r="AN947" s="276"/>
      <c r="AO947" s="283"/>
      <c r="AP947" s="276"/>
      <c r="AQ947" s="283"/>
      <c r="AR947" s="276"/>
      <c r="AT947" s="283"/>
      <c r="AU947" s="276"/>
      <c r="AV947" s="283"/>
      <c r="AW947" s="276"/>
      <c r="AX947" s="283"/>
      <c r="AY947" s="276"/>
      <c r="AZ947" s="283"/>
      <c r="BA947" s="276"/>
      <c r="BB947" s="283"/>
      <c r="BC947" s="276"/>
      <c r="BD947" s="283"/>
      <c r="BE947" s="276"/>
      <c r="BG947" s="283"/>
      <c r="BH947" s="276"/>
      <c r="BI947" s="283"/>
      <c r="BJ947" s="276"/>
      <c r="BK947" s="283"/>
      <c r="BL947" s="276"/>
      <c r="BM947" s="283"/>
      <c r="BN947" s="276"/>
      <c r="BO947" s="283"/>
      <c r="BP947" s="276"/>
      <c r="BQ947" s="283"/>
      <c r="BR947" s="283"/>
      <c r="BS947" s="276"/>
    </row>
    <row r="948" spans="12:71" ht="12" customHeight="1">
      <c r="L948" s="283"/>
      <c r="M948" s="276"/>
      <c r="N948" s="283"/>
      <c r="O948" s="276"/>
      <c r="P948" s="283"/>
      <c r="Q948" s="276"/>
      <c r="S948" s="283"/>
      <c r="T948" s="276"/>
      <c r="W948" s="283"/>
      <c r="X948" s="276"/>
      <c r="Y948" s="283"/>
      <c r="Z948" s="276"/>
      <c r="AA948" s="283"/>
      <c r="AB948" s="276"/>
      <c r="AC948" s="283"/>
      <c r="AE948" s="283"/>
      <c r="AF948" s="276"/>
      <c r="AI948" s="283"/>
      <c r="AJ948" s="276"/>
      <c r="AK948" s="283"/>
      <c r="AL948" s="276"/>
      <c r="AM948" s="283"/>
      <c r="AN948" s="276"/>
      <c r="AO948" s="283"/>
      <c r="AP948" s="276"/>
      <c r="AQ948" s="283"/>
      <c r="AR948" s="276"/>
      <c r="AT948" s="283"/>
      <c r="AU948" s="276"/>
      <c r="AV948" s="283"/>
      <c r="AW948" s="276"/>
      <c r="AX948" s="283"/>
      <c r="AY948" s="276"/>
      <c r="AZ948" s="283"/>
      <c r="BA948" s="276"/>
      <c r="BB948" s="283"/>
      <c r="BC948" s="276"/>
      <c r="BD948" s="283"/>
      <c r="BE948" s="276"/>
      <c r="BG948" s="283"/>
      <c r="BH948" s="276"/>
      <c r="BI948" s="283"/>
      <c r="BJ948" s="276"/>
      <c r="BK948" s="283"/>
      <c r="BL948" s="276"/>
      <c r="BM948" s="283"/>
      <c r="BN948" s="276"/>
      <c r="BO948" s="283"/>
      <c r="BP948" s="276"/>
      <c r="BQ948" s="283"/>
      <c r="BR948" s="283"/>
      <c r="BS948" s="276"/>
    </row>
    <row r="949" spans="12:71" ht="12" customHeight="1">
      <c r="L949" s="283"/>
      <c r="M949" s="276"/>
      <c r="N949" s="283"/>
      <c r="O949" s="276"/>
      <c r="P949" s="283"/>
      <c r="Q949" s="276"/>
      <c r="S949" s="283"/>
      <c r="T949" s="276"/>
      <c r="W949" s="283"/>
      <c r="X949" s="276"/>
      <c r="Y949" s="283"/>
      <c r="Z949" s="276"/>
      <c r="AA949" s="283"/>
      <c r="AB949" s="276"/>
      <c r="AC949" s="283"/>
      <c r="AE949" s="283"/>
      <c r="AF949" s="276"/>
      <c r="AI949" s="283"/>
      <c r="AJ949" s="276"/>
      <c r="AK949" s="283"/>
      <c r="AL949" s="276"/>
      <c r="AM949" s="283"/>
      <c r="AN949" s="276"/>
      <c r="AO949" s="283"/>
      <c r="AP949" s="276"/>
      <c r="AQ949" s="283"/>
      <c r="AR949" s="276"/>
      <c r="AT949" s="283"/>
      <c r="AU949" s="276"/>
      <c r="AV949" s="283"/>
      <c r="AW949" s="276"/>
      <c r="AX949" s="283"/>
      <c r="AY949" s="276"/>
      <c r="AZ949" s="283"/>
      <c r="BA949" s="276"/>
      <c r="BB949" s="283"/>
      <c r="BC949" s="276"/>
      <c r="BD949" s="283"/>
      <c r="BE949" s="276"/>
      <c r="BG949" s="283"/>
      <c r="BH949" s="276"/>
      <c r="BI949" s="283"/>
      <c r="BJ949" s="276"/>
      <c r="BK949" s="283"/>
      <c r="BL949" s="276"/>
      <c r="BM949" s="283"/>
      <c r="BN949" s="276"/>
      <c r="BO949" s="283"/>
      <c r="BP949" s="276"/>
      <c r="BQ949" s="283"/>
      <c r="BR949" s="283"/>
      <c r="BS949" s="276"/>
    </row>
    <row r="950" spans="12:71" ht="12" customHeight="1">
      <c r="L950" s="283"/>
      <c r="M950" s="276"/>
      <c r="N950" s="283"/>
      <c r="O950" s="276"/>
      <c r="P950" s="283"/>
      <c r="Q950" s="276"/>
      <c r="S950" s="283"/>
      <c r="T950" s="276"/>
      <c r="W950" s="283"/>
      <c r="X950" s="276"/>
      <c r="Y950" s="283"/>
      <c r="Z950" s="276"/>
      <c r="AA950" s="283"/>
      <c r="AB950" s="276"/>
      <c r="AC950" s="283"/>
      <c r="AE950" s="283"/>
      <c r="AF950" s="276"/>
      <c r="AI950" s="283"/>
      <c r="AJ950" s="276"/>
      <c r="AK950" s="283"/>
      <c r="AL950" s="276"/>
      <c r="AM950" s="283"/>
      <c r="AN950" s="276"/>
      <c r="AO950" s="283"/>
      <c r="AP950" s="276"/>
      <c r="AQ950" s="283"/>
      <c r="AR950" s="276"/>
      <c r="AT950" s="283"/>
      <c r="AU950" s="276"/>
      <c r="AV950" s="283"/>
      <c r="AW950" s="276"/>
      <c r="AX950" s="283"/>
      <c r="AY950" s="276"/>
      <c r="AZ950" s="283"/>
      <c r="BA950" s="276"/>
      <c r="BB950" s="283"/>
      <c r="BC950" s="276"/>
      <c r="BD950" s="283"/>
      <c r="BE950" s="276"/>
      <c r="BG950" s="283"/>
      <c r="BH950" s="276"/>
      <c r="BI950" s="283"/>
      <c r="BJ950" s="276"/>
      <c r="BK950" s="283"/>
      <c r="BL950" s="276"/>
      <c r="BM950" s="283"/>
      <c r="BN950" s="276"/>
      <c r="BO950" s="283"/>
      <c r="BP950" s="276"/>
      <c r="BQ950" s="283"/>
      <c r="BR950" s="283"/>
      <c r="BS950" s="276"/>
    </row>
    <row r="951" spans="12:71" ht="12" customHeight="1">
      <c r="L951" s="283"/>
      <c r="M951" s="276"/>
      <c r="N951" s="283"/>
      <c r="O951" s="276"/>
      <c r="P951" s="283"/>
      <c r="Q951" s="276"/>
      <c r="S951" s="283"/>
      <c r="T951" s="276"/>
      <c r="W951" s="283"/>
      <c r="X951" s="276"/>
      <c r="Y951" s="283"/>
      <c r="Z951" s="276"/>
      <c r="AA951" s="283"/>
      <c r="AB951" s="276"/>
      <c r="AC951" s="283"/>
      <c r="AE951" s="283"/>
      <c r="AF951" s="276"/>
      <c r="AI951" s="283"/>
      <c r="AJ951" s="276"/>
      <c r="AK951" s="283"/>
      <c r="AL951" s="276"/>
      <c r="AM951" s="283"/>
      <c r="AN951" s="276"/>
      <c r="AO951" s="283"/>
      <c r="AP951" s="276"/>
      <c r="AQ951" s="283"/>
      <c r="AR951" s="276"/>
      <c r="AT951" s="283"/>
      <c r="AU951" s="276"/>
      <c r="AV951" s="283"/>
      <c r="AW951" s="276"/>
      <c r="AX951" s="283"/>
      <c r="AY951" s="276"/>
      <c r="AZ951" s="283"/>
      <c r="BA951" s="276"/>
      <c r="BB951" s="283"/>
      <c r="BC951" s="276"/>
      <c r="BD951" s="283"/>
      <c r="BE951" s="276"/>
      <c r="BG951" s="283"/>
      <c r="BH951" s="276"/>
      <c r="BI951" s="283"/>
      <c r="BJ951" s="276"/>
      <c r="BK951" s="283"/>
      <c r="BL951" s="276"/>
      <c r="BM951" s="283"/>
      <c r="BN951" s="276"/>
      <c r="BO951" s="283"/>
      <c r="BP951" s="276"/>
      <c r="BQ951" s="283"/>
      <c r="BR951" s="283"/>
      <c r="BS951" s="276"/>
    </row>
    <row r="952" spans="12:71" ht="12" customHeight="1">
      <c r="L952" s="283"/>
      <c r="M952" s="276"/>
      <c r="N952" s="283"/>
      <c r="O952" s="276"/>
      <c r="P952" s="283"/>
      <c r="Q952" s="276"/>
      <c r="S952" s="283"/>
      <c r="T952" s="276"/>
      <c r="W952" s="283"/>
      <c r="X952" s="276"/>
      <c r="Y952" s="283"/>
      <c r="Z952" s="276"/>
      <c r="AA952" s="283"/>
      <c r="AB952" s="276"/>
      <c r="AC952" s="283"/>
      <c r="AE952" s="283"/>
      <c r="AF952" s="276"/>
      <c r="AI952" s="283"/>
      <c r="AJ952" s="276"/>
      <c r="AK952" s="283"/>
      <c r="AL952" s="276"/>
      <c r="AM952" s="283"/>
      <c r="AN952" s="276"/>
      <c r="AO952" s="283"/>
      <c r="AP952" s="276"/>
      <c r="AQ952" s="283"/>
      <c r="AR952" s="276"/>
      <c r="AT952" s="283"/>
      <c r="AU952" s="276"/>
      <c r="AV952" s="283"/>
      <c r="AW952" s="276"/>
      <c r="AX952" s="283"/>
      <c r="AY952" s="276"/>
      <c r="AZ952" s="283"/>
      <c r="BA952" s="276"/>
      <c r="BB952" s="283"/>
      <c r="BC952" s="276"/>
      <c r="BD952" s="283"/>
      <c r="BE952" s="276"/>
      <c r="BG952" s="283"/>
      <c r="BH952" s="276"/>
      <c r="BI952" s="283"/>
      <c r="BJ952" s="276"/>
      <c r="BK952" s="283"/>
      <c r="BL952" s="276"/>
      <c r="BM952" s="283"/>
      <c r="BN952" s="276"/>
      <c r="BO952" s="283"/>
      <c r="BP952" s="276"/>
      <c r="BQ952" s="283"/>
      <c r="BR952" s="283"/>
      <c r="BS952" s="276"/>
    </row>
    <row r="953" spans="12:71" ht="12" customHeight="1">
      <c r="L953" s="283"/>
      <c r="M953" s="276"/>
      <c r="N953" s="283"/>
      <c r="O953" s="276"/>
      <c r="P953" s="283"/>
      <c r="Q953" s="276"/>
      <c r="S953" s="283"/>
      <c r="T953" s="276"/>
      <c r="W953" s="283"/>
      <c r="X953" s="276"/>
      <c r="Y953" s="283"/>
      <c r="Z953" s="276"/>
      <c r="AA953" s="283"/>
      <c r="AB953" s="276"/>
      <c r="AC953" s="283"/>
      <c r="AE953" s="283"/>
      <c r="AF953" s="276"/>
      <c r="AI953" s="283"/>
      <c r="AJ953" s="276"/>
      <c r="AK953" s="283"/>
      <c r="AL953" s="276"/>
      <c r="AM953" s="283"/>
      <c r="AN953" s="276"/>
      <c r="AO953" s="283"/>
      <c r="AP953" s="276"/>
      <c r="AQ953" s="283"/>
      <c r="AR953" s="276"/>
      <c r="AT953" s="283"/>
      <c r="AU953" s="276"/>
      <c r="AV953" s="283"/>
      <c r="AW953" s="276"/>
      <c r="AX953" s="283"/>
      <c r="AY953" s="276"/>
      <c r="AZ953" s="283"/>
      <c r="BA953" s="276"/>
      <c r="BB953" s="283"/>
      <c r="BC953" s="276"/>
      <c r="BD953" s="283"/>
      <c r="BE953" s="276"/>
      <c r="BG953" s="283"/>
      <c r="BH953" s="276"/>
      <c r="BI953" s="283"/>
      <c r="BJ953" s="276"/>
      <c r="BK953" s="283"/>
      <c r="BL953" s="276"/>
      <c r="BM953" s="283"/>
      <c r="BN953" s="276"/>
      <c r="BO953" s="283"/>
      <c r="BP953" s="276"/>
      <c r="BQ953" s="283"/>
      <c r="BR953" s="283"/>
      <c r="BS953" s="276"/>
    </row>
    <row r="954" spans="12:71" ht="12" customHeight="1">
      <c r="L954" s="283"/>
      <c r="M954" s="276"/>
      <c r="N954" s="283"/>
      <c r="O954" s="276"/>
      <c r="P954" s="283"/>
      <c r="Q954" s="276"/>
      <c r="S954" s="283"/>
      <c r="T954" s="276"/>
      <c r="W954" s="283"/>
      <c r="X954" s="276"/>
      <c r="Y954" s="283"/>
      <c r="Z954" s="276"/>
      <c r="AA954" s="283"/>
      <c r="AB954" s="276"/>
      <c r="AC954" s="283"/>
      <c r="AE954" s="283"/>
      <c r="AF954" s="276"/>
      <c r="AI954" s="283"/>
      <c r="AJ954" s="276"/>
      <c r="AK954" s="283"/>
      <c r="AL954" s="276"/>
      <c r="AM954" s="283"/>
      <c r="AN954" s="276"/>
      <c r="AO954" s="283"/>
      <c r="AP954" s="276"/>
      <c r="AQ954" s="283"/>
      <c r="AR954" s="276"/>
      <c r="AT954" s="283"/>
      <c r="AU954" s="276"/>
      <c r="AV954" s="283"/>
      <c r="AW954" s="276"/>
      <c r="AX954" s="283"/>
      <c r="AY954" s="276"/>
      <c r="AZ954" s="283"/>
      <c r="BA954" s="276"/>
      <c r="BB954" s="283"/>
      <c r="BC954" s="276"/>
      <c r="BD954" s="283"/>
      <c r="BE954" s="276"/>
      <c r="BG954" s="283"/>
      <c r="BH954" s="276"/>
      <c r="BI954" s="283"/>
      <c r="BJ954" s="276"/>
      <c r="BK954" s="283"/>
      <c r="BL954" s="276"/>
      <c r="BM954" s="283"/>
      <c r="BN954" s="276"/>
      <c r="BO954" s="283"/>
      <c r="BP954" s="276"/>
      <c r="BQ954" s="283"/>
      <c r="BR954" s="283"/>
      <c r="BS954" s="276"/>
    </row>
    <row r="955" spans="12:71" ht="12" customHeight="1">
      <c r="L955" s="283"/>
      <c r="M955" s="276"/>
      <c r="N955" s="283"/>
      <c r="O955" s="276"/>
      <c r="P955" s="283"/>
      <c r="Q955" s="276"/>
      <c r="S955" s="283"/>
      <c r="T955" s="276"/>
      <c r="W955" s="283"/>
      <c r="X955" s="276"/>
      <c r="Y955" s="283"/>
      <c r="Z955" s="276"/>
      <c r="AA955" s="283"/>
      <c r="AB955" s="276"/>
      <c r="AC955" s="283"/>
      <c r="AE955" s="283"/>
      <c r="AF955" s="276"/>
      <c r="AI955" s="283"/>
      <c r="AJ955" s="276"/>
      <c r="AK955" s="283"/>
      <c r="AL955" s="276"/>
      <c r="AM955" s="283"/>
      <c r="AN955" s="276"/>
      <c r="AO955" s="283"/>
      <c r="AP955" s="276"/>
      <c r="AQ955" s="283"/>
      <c r="AR955" s="276"/>
      <c r="AT955" s="283"/>
      <c r="AU955" s="276"/>
      <c r="AV955" s="283"/>
      <c r="AW955" s="276"/>
      <c r="AX955" s="283"/>
      <c r="AY955" s="276"/>
      <c r="AZ955" s="283"/>
      <c r="BA955" s="276"/>
      <c r="BB955" s="283"/>
      <c r="BC955" s="276"/>
      <c r="BD955" s="283"/>
      <c r="BE955" s="276"/>
      <c r="BG955" s="283"/>
      <c r="BH955" s="276"/>
      <c r="BI955" s="283"/>
      <c r="BJ955" s="276"/>
      <c r="BK955" s="283"/>
      <c r="BL955" s="276"/>
      <c r="BM955" s="283"/>
      <c r="BN955" s="276"/>
      <c r="BO955" s="283"/>
      <c r="BP955" s="276"/>
      <c r="BQ955" s="283"/>
      <c r="BR955" s="283"/>
      <c r="BS955" s="276"/>
    </row>
    <row r="956" spans="12:71" ht="12" customHeight="1">
      <c r="L956" s="283"/>
      <c r="M956" s="276"/>
      <c r="N956" s="283"/>
      <c r="O956" s="276"/>
      <c r="P956" s="283"/>
      <c r="Q956" s="276"/>
      <c r="S956" s="283"/>
      <c r="T956" s="276"/>
      <c r="W956" s="283"/>
      <c r="X956" s="276"/>
      <c r="Y956" s="283"/>
      <c r="Z956" s="276"/>
      <c r="AA956" s="283"/>
      <c r="AB956" s="276"/>
      <c r="AC956" s="283"/>
      <c r="AE956" s="283"/>
      <c r="AF956" s="276"/>
      <c r="AI956" s="283"/>
      <c r="AJ956" s="276"/>
      <c r="AK956" s="283"/>
      <c r="AL956" s="276"/>
      <c r="AM956" s="283"/>
      <c r="AN956" s="276"/>
      <c r="AO956" s="283"/>
      <c r="AP956" s="276"/>
      <c r="AQ956" s="283"/>
      <c r="AR956" s="276"/>
      <c r="AT956" s="283"/>
      <c r="AU956" s="276"/>
      <c r="AV956" s="283"/>
      <c r="AW956" s="276"/>
      <c r="AX956" s="283"/>
      <c r="AY956" s="276"/>
      <c r="AZ956" s="283"/>
      <c r="BA956" s="276"/>
      <c r="BB956" s="283"/>
      <c r="BC956" s="276"/>
      <c r="BD956" s="283"/>
      <c r="BE956" s="276"/>
      <c r="BG956" s="283"/>
      <c r="BH956" s="276"/>
      <c r="BI956" s="283"/>
      <c r="BJ956" s="276"/>
      <c r="BK956" s="283"/>
      <c r="BL956" s="276"/>
      <c r="BM956" s="283"/>
      <c r="BN956" s="276"/>
      <c r="BO956" s="283"/>
      <c r="BP956" s="276"/>
      <c r="BQ956" s="283"/>
      <c r="BR956" s="283"/>
      <c r="BS956" s="276"/>
    </row>
    <row r="957" spans="12:71" ht="12" customHeight="1">
      <c r="L957" s="283"/>
      <c r="M957" s="276"/>
      <c r="N957" s="283"/>
      <c r="O957" s="276"/>
      <c r="P957" s="283"/>
      <c r="Q957" s="276"/>
      <c r="S957" s="283"/>
      <c r="T957" s="276"/>
      <c r="W957" s="283"/>
      <c r="X957" s="276"/>
      <c r="Y957" s="283"/>
      <c r="Z957" s="276"/>
      <c r="AA957" s="283"/>
      <c r="AB957" s="276"/>
      <c r="AC957" s="283"/>
      <c r="AE957" s="283"/>
      <c r="AF957" s="276"/>
      <c r="AI957" s="283"/>
      <c r="AJ957" s="276"/>
      <c r="AK957" s="283"/>
      <c r="AL957" s="276"/>
      <c r="AM957" s="283"/>
      <c r="AN957" s="276"/>
      <c r="AO957" s="283"/>
      <c r="AP957" s="276"/>
      <c r="AQ957" s="283"/>
      <c r="AR957" s="276"/>
      <c r="AT957" s="283"/>
      <c r="AU957" s="276"/>
      <c r="AV957" s="283"/>
      <c r="AW957" s="276"/>
      <c r="AX957" s="283"/>
      <c r="AY957" s="276"/>
      <c r="AZ957" s="283"/>
      <c r="BA957" s="276"/>
      <c r="BB957" s="283"/>
      <c r="BC957" s="276"/>
      <c r="BD957" s="283"/>
      <c r="BE957" s="276"/>
      <c r="BG957" s="283"/>
      <c r="BH957" s="276"/>
      <c r="BI957" s="283"/>
      <c r="BJ957" s="276"/>
      <c r="BK957" s="283"/>
      <c r="BL957" s="276"/>
      <c r="BM957" s="283"/>
      <c r="BN957" s="276"/>
      <c r="BO957" s="283"/>
      <c r="BP957" s="276"/>
      <c r="BQ957" s="283"/>
      <c r="BR957" s="283"/>
      <c r="BS957" s="276"/>
    </row>
    <row r="958" spans="12:71" ht="12" customHeight="1">
      <c r="L958" s="283"/>
      <c r="M958" s="276"/>
      <c r="N958" s="283"/>
      <c r="O958" s="276"/>
      <c r="P958" s="283"/>
      <c r="Q958" s="276"/>
      <c r="S958" s="283"/>
      <c r="T958" s="276"/>
      <c r="W958" s="283"/>
      <c r="X958" s="276"/>
      <c r="Y958" s="283"/>
      <c r="Z958" s="276"/>
      <c r="AA958" s="283"/>
      <c r="AB958" s="276"/>
      <c r="AC958" s="283"/>
      <c r="AE958" s="283"/>
      <c r="AF958" s="276"/>
      <c r="AI958" s="283"/>
      <c r="AJ958" s="276"/>
      <c r="AK958" s="283"/>
      <c r="AL958" s="276"/>
      <c r="AM958" s="283"/>
      <c r="AN958" s="276"/>
      <c r="AO958" s="283"/>
      <c r="AP958" s="276"/>
      <c r="AQ958" s="283"/>
      <c r="AR958" s="276"/>
      <c r="AT958" s="283"/>
      <c r="AU958" s="276"/>
      <c r="AV958" s="283"/>
      <c r="AW958" s="276"/>
      <c r="AX958" s="283"/>
      <c r="AY958" s="276"/>
      <c r="AZ958" s="283"/>
      <c r="BA958" s="276"/>
      <c r="BB958" s="283"/>
      <c r="BC958" s="276"/>
      <c r="BD958" s="283"/>
      <c r="BE958" s="276"/>
      <c r="BG958" s="283"/>
      <c r="BH958" s="276"/>
      <c r="BI958" s="283"/>
      <c r="BJ958" s="276"/>
      <c r="BK958" s="283"/>
      <c r="BL958" s="276"/>
      <c r="BM958" s="283"/>
      <c r="BN958" s="276"/>
      <c r="BO958" s="283"/>
      <c r="BP958" s="276"/>
      <c r="BQ958" s="283"/>
      <c r="BR958" s="283"/>
      <c r="BS958" s="276"/>
    </row>
    <row r="959" spans="12:71" ht="12" customHeight="1">
      <c r="L959" s="283"/>
      <c r="M959" s="276"/>
      <c r="N959" s="283"/>
      <c r="O959" s="276"/>
      <c r="P959" s="283"/>
      <c r="Q959" s="276"/>
      <c r="S959" s="283"/>
      <c r="T959" s="276"/>
      <c r="W959" s="283"/>
      <c r="X959" s="276"/>
      <c r="Y959" s="283"/>
      <c r="Z959" s="276"/>
      <c r="AA959" s="283"/>
      <c r="AB959" s="276"/>
      <c r="AC959" s="283"/>
      <c r="AE959" s="283"/>
      <c r="AF959" s="276"/>
      <c r="AI959" s="283"/>
      <c r="AJ959" s="276"/>
      <c r="AK959" s="283"/>
      <c r="AL959" s="276"/>
      <c r="AM959" s="283"/>
      <c r="AN959" s="276"/>
      <c r="AO959" s="283"/>
      <c r="AP959" s="276"/>
      <c r="AQ959" s="283"/>
      <c r="AR959" s="276"/>
      <c r="AT959" s="283"/>
      <c r="AU959" s="276"/>
      <c r="AV959" s="283"/>
      <c r="AW959" s="276"/>
      <c r="AX959" s="283"/>
      <c r="AY959" s="276"/>
      <c r="AZ959" s="283"/>
      <c r="BA959" s="276"/>
      <c r="BB959" s="283"/>
      <c r="BC959" s="276"/>
      <c r="BD959" s="283"/>
      <c r="BE959" s="276"/>
      <c r="BG959" s="283"/>
      <c r="BH959" s="276"/>
      <c r="BI959" s="283"/>
      <c r="BJ959" s="276"/>
      <c r="BK959" s="283"/>
      <c r="BL959" s="276"/>
      <c r="BM959" s="283"/>
      <c r="BN959" s="276"/>
      <c r="BO959" s="283"/>
      <c r="BP959" s="276"/>
      <c r="BQ959" s="283"/>
      <c r="BR959" s="283"/>
      <c r="BS959" s="276"/>
    </row>
    <row r="960" spans="12:71" ht="12" customHeight="1">
      <c r="L960" s="283"/>
      <c r="M960" s="276"/>
      <c r="N960" s="283"/>
      <c r="O960" s="276"/>
      <c r="P960" s="283"/>
      <c r="Q960" s="276"/>
      <c r="S960" s="283"/>
      <c r="T960" s="276"/>
      <c r="W960" s="283"/>
      <c r="X960" s="276"/>
      <c r="Y960" s="283"/>
      <c r="Z960" s="276"/>
      <c r="AA960" s="283"/>
      <c r="AB960" s="276"/>
      <c r="AC960" s="283"/>
      <c r="AE960" s="283"/>
      <c r="AF960" s="276"/>
      <c r="AI960" s="283"/>
      <c r="AJ960" s="276"/>
      <c r="AK960" s="283"/>
      <c r="AL960" s="276"/>
      <c r="AM960" s="283"/>
      <c r="AN960" s="276"/>
      <c r="AO960" s="283"/>
      <c r="AP960" s="276"/>
      <c r="AQ960" s="283"/>
      <c r="AR960" s="276"/>
      <c r="AT960" s="283"/>
      <c r="AU960" s="276"/>
      <c r="AV960" s="283"/>
      <c r="AW960" s="276"/>
      <c r="AX960" s="283"/>
      <c r="AY960" s="276"/>
      <c r="AZ960" s="283"/>
      <c r="BA960" s="276"/>
      <c r="BB960" s="283"/>
      <c r="BC960" s="276"/>
      <c r="BD960" s="283"/>
      <c r="BE960" s="276"/>
      <c r="BG960" s="283"/>
      <c r="BH960" s="276"/>
      <c r="BI960" s="283"/>
      <c r="BJ960" s="276"/>
      <c r="BK960" s="283"/>
      <c r="BL960" s="276"/>
      <c r="BM960" s="283"/>
      <c r="BN960" s="276"/>
      <c r="BO960" s="283"/>
      <c r="BP960" s="276"/>
      <c r="BQ960" s="283"/>
      <c r="BR960" s="283"/>
      <c r="BS960" s="276"/>
    </row>
    <row r="961" spans="12:71" ht="12" customHeight="1">
      <c r="L961" s="283"/>
      <c r="M961" s="276"/>
      <c r="N961" s="283"/>
      <c r="O961" s="276"/>
      <c r="P961" s="283"/>
      <c r="Q961" s="276"/>
      <c r="S961" s="283"/>
      <c r="T961" s="276"/>
      <c r="W961" s="283"/>
      <c r="X961" s="276"/>
      <c r="Y961" s="283"/>
      <c r="Z961" s="276"/>
      <c r="AA961" s="283"/>
      <c r="AB961" s="276"/>
      <c r="AC961" s="283"/>
      <c r="AE961" s="283"/>
      <c r="AF961" s="276"/>
      <c r="AI961" s="283"/>
      <c r="AJ961" s="276"/>
      <c r="AK961" s="283"/>
      <c r="AL961" s="276"/>
      <c r="AM961" s="283"/>
      <c r="AN961" s="276"/>
      <c r="AO961" s="283"/>
      <c r="AP961" s="276"/>
      <c r="AQ961" s="283"/>
      <c r="AR961" s="276"/>
      <c r="AT961" s="283"/>
      <c r="AU961" s="276"/>
      <c r="AV961" s="283"/>
      <c r="AW961" s="276"/>
      <c r="AX961" s="283"/>
      <c r="AY961" s="276"/>
      <c r="AZ961" s="283"/>
      <c r="BA961" s="276"/>
      <c r="BB961" s="283"/>
      <c r="BC961" s="276"/>
      <c r="BD961" s="283"/>
      <c r="BE961" s="276"/>
      <c r="BG961" s="283"/>
      <c r="BH961" s="276"/>
      <c r="BI961" s="283"/>
      <c r="BJ961" s="276"/>
      <c r="BK961" s="283"/>
      <c r="BL961" s="276"/>
      <c r="BM961" s="283"/>
      <c r="BN961" s="276"/>
      <c r="BO961" s="283"/>
      <c r="BP961" s="276"/>
      <c r="BQ961" s="283"/>
      <c r="BR961" s="283"/>
      <c r="BS961" s="276"/>
    </row>
    <row r="962" spans="12:71" ht="12" customHeight="1">
      <c r="L962" s="283"/>
      <c r="M962" s="276"/>
      <c r="N962" s="283"/>
      <c r="O962" s="276"/>
      <c r="P962" s="283"/>
      <c r="Q962" s="276"/>
      <c r="S962" s="283"/>
      <c r="T962" s="276"/>
      <c r="W962" s="283"/>
      <c r="X962" s="276"/>
      <c r="Y962" s="283"/>
      <c r="Z962" s="276"/>
      <c r="AA962" s="283"/>
      <c r="AB962" s="276"/>
      <c r="AC962" s="283"/>
      <c r="AE962" s="283"/>
      <c r="AF962" s="276"/>
      <c r="AI962" s="283"/>
      <c r="AJ962" s="276"/>
      <c r="AK962" s="283"/>
      <c r="AL962" s="276"/>
      <c r="AM962" s="283"/>
      <c r="AN962" s="276"/>
      <c r="AO962" s="283"/>
      <c r="AP962" s="276"/>
      <c r="AQ962" s="283"/>
      <c r="AR962" s="276"/>
      <c r="AT962" s="283"/>
      <c r="AU962" s="276"/>
      <c r="AV962" s="283"/>
      <c r="AW962" s="276"/>
      <c r="AX962" s="283"/>
      <c r="AY962" s="276"/>
      <c r="AZ962" s="283"/>
      <c r="BA962" s="276"/>
      <c r="BB962" s="283"/>
      <c r="BC962" s="276"/>
      <c r="BD962" s="283"/>
      <c r="BE962" s="276"/>
      <c r="BG962" s="283"/>
      <c r="BH962" s="276"/>
      <c r="BI962" s="283"/>
      <c r="BJ962" s="276"/>
      <c r="BK962" s="283"/>
      <c r="BL962" s="276"/>
      <c r="BM962" s="283"/>
      <c r="BN962" s="276"/>
      <c r="BO962" s="283"/>
      <c r="BP962" s="276"/>
      <c r="BQ962" s="283"/>
      <c r="BR962" s="283"/>
      <c r="BS962" s="276"/>
    </row>
    <row r="963" spans="12:71" ht="12" customHeight="1">
      <c r="L963" s="283"/>
      <c r="M963" s="276"/>
      <c r="N963" s="283"/>
      <c r="O963" s="276"/>
      <c r="P963" s="283"/>
      <c r="Q963" s="276"/>
      <c r="S963" s="283"/>
      <c r="T963" s="276"/>
      <c r="W963" s="283"/>
      <c r="X963" s="276"/>
      <c r="Y963" s="283"/>
      <c r="Z963" s="276"/>
      <c r="AA963" s="283"/>
      <c r="AB963" s="276"/>
      <c r="AC963" s="283"/>
      <c r="AE963" s="283"/>
      <c r="AF963" s="276"/>
      <c r="AI963" s="283"/>
      <c r="AJ963" s="276"/>
      <c r="AK963" s="283"/>
      <c r="AL963" s="276"/>
      <c r="AM963" s="283"/>
      <c r="AN963" s="276"/>
      <c r="AO963" s="283"/>
      <c r="AP963" s="276"/>
      <c r="AQ963" s="283"/>
      <c r="AR963" s="276"/>
      <c r="AT963" s="283"/>
      <c r="AU963" s="276"/>
      <c r="AV963" s="283"/>
      <c r="AW963" s="276"/>
      <c r="AX963" s="283"/>
      <c r="AY963" s="276"/>
      <c r="AZ963" s="283"/>
      <c r="BA963" s="276"/>
      <c r="BB963" s="283"/>
      <c r="BC963" s="276"/>
      <c r="BD963" s="283"/>
      <c r="BE963" s="276"/>
      <c r="BG963" s="283"/>
      <c r="BH963" s="276"/>
      <c r="BI963" s="283"/>
      <c r="BJ963" s="276"/>
      <c r="BK963" s="283"/>
      <c r="BL963" s="276"/>
      <c r="BM963" s="283"/>
      <c r="BN963" s="276"/>
      <c r="BO963" s="283"/>
      <c r="BP963" s="276"/>
      <c r="BQ963" s="283"/>
      <c r="BR963" s="283"/>
      <c r="BS963" s="276"/>
    </row>
    <row r="964" spans="12:71" ht="12" customHeight="1">
      <c r="L964" s="283"/>
      <c r="M964" s="276"/>
      <c r="N964" s="283"/>
      <c r="O964" s="276"/>
      <c r="P964" s="283"/>
      <c r="Q964" s="276"/>
      <c r="S964" s="283"/>
      <c r="T964" s="276"/>
      <c r="W964" s="283"/>
      <c r="X964" s="276"/>
      <c r="Y964" s="283"/>
      <c r="Z964" s="276"/>
      <c r="AA964" s="283"/>
      <c r="AB964" s="276"/>
      <c r="AC964" s="283"/>
      <c r="AE964" s="283"/>
      <c r="AF964" s="276"/>
      <c r="AI964" s="283"/>
      <c r="AJ964" s="276"/>
      <c r="AK964" s="283"/>
      <c r="AL964" s="276"/>
      <c r="AM964" s="283"/>
      <c r="AN964" s="276"/>
      <c r="AO964" s="283"/>
      <c r="AP964" s="276"/>
      <c r="AQ964" s="283"/>
      <c r="AR964" s="276"/>
      <c r="AT964" s="283"/>
      <c r="AU964" s="276"/>
      <c r="AV964" s="283"/>
      <c r="AW964" s="276"/>
      <c r="AX964" s="283"/>
      <c r="AY964" s="276"/>
      <c r="AZ964" s="283"/>
      <c r="BA964" s="276"/>
      <c r="BB964" s="283"/>
      <c r="BC964" s="276"/>
      <c r="BD964" s="283"/>
      <c r="BE964" s="276"/>
      <c r="BG964" s="283"/>
      <c r="BH964" s="276"/>
      <c r="BI964" s="283"/>
      <c r="BJ964" s="276"/>
      <c r="BK964" s="283"/>
      <c r="BL964" s="276"/>
      <c r="BM964" s="283"/>
      <c r="BN964" s="276"/>
      <c r="BO964" s="283"/>
      <c r="BP964" s="276"/>
      <c r="BQ964" s="283"/>
      <c r="BR964" s="283"/>
      <c r="BS964" s="276"/>
    </row>
    <row r="965" spans="12:71" ht="12" customHeight="1">
      <c r="L965" s="283"/>
      <c r="M965" s="276"/>
      <c r="N965" s="283"/>
      <c r="O965" s="276"/>
      <c r="P965" s="283"/>
      <c r="Q965" s="276"/>
      <c r="S965" s="283"/>
      <c r="T965" s="276"/>
      <c r="W965" s="283"/>
      <c r="X965" s="276"/>
      <c r="Y965" s="283"/>
      <c r="Z965" s="276"/>
      <c r="AA965" s="283"/>
      <c r="AB965" s="276"/>
      <c r="AC965" s="283"/>
      <c r="AE965" s="283"/>
      <c r="AF965" s="276"/>
      <c r="AI965" s="283"/>
      <c r="AJ965" s="276"/>
      <c r="AK965" s="283"/>
      <c r="AL965" s="276"/>
      <c r="AM965" s="283"/>
      <c r="AN965" s="276"/>
      <c r="AO965" s="283"/>
      <c r="AP965" s="276"/>
      <c r="AQ965" s="283"/>
      <c r="AR965" s="276"/>
      <c r="AT965" s="283"/>
      <c r="AU965" s="276"/>
      <c r="AV965" s="283"/>
      <c r="AW965" s="276"/>
      <c r="AX965" s="283"/>
      <c r="AY965" s="276"/>
      <c r="AZ965" s="283"/>
      <c r="BA965" s="276"/>
      <c r="BB965" s="283"/>
      <c r="BC965" s="276"/>
      <c r="BD965" s="283"/>
      <c r="BE965" s="276"/>
      <c r="BG965" s="283"/>
      <c r="BH965" s="276"/>
      <c r="BI965" s="283"/>
      <c r="BJ965" s="276"/>
      <c r="BK965" s="283"/>
      <c r="BL965" s="276"/>
      <c r="BM965" s="283"/>
      <c r="BN965" s="276"/>
      <c r="BO965" s="283"/>
      <c r="BP965" s="276"/>
      <c r="BQ965" s="283"/>
      <c r="BR965" s="283"/>
      <c r="BS965" s="276"/>
    </row>
    <row r="966" spans="12:71" ht="12" customHeight="1">
      <c r="L966" s="283"/>
      <c r="M966" s="276"/>
      <c r="N966" s="283"/>
      <c r="O966" s="276"/>
      <c r="P966" s="283"/>
      <c r="Q966" s="276"/>
      <c r="S966" s="283"/>
      <c r="T966" s="276"/>
      <c r="W966" s="283"/>
      <c r="X966" s="276"/>
      <c r="Y966" s="283"/>
      <c r="Z966" s="276"/>
      <c r="AA966" s="283"/>
      <c r="AB966" s="276"/>
      <c r="AC966" s="283"/>
      <c r="AE966" s="283"/>
      <c r="AF966" s="276"/>
      <c r="AI966" s="283"/>
      <c r="AJ966" s="276"/>
      <c r="AK966" s="283"/>
      <c r="AL966" s="276"/>
      <c r="AM966" s="283"/>
      <c r="AN966" s="276"/>
      <c r="AO966" s="283"/>
      <c r="AP966" s="276"/>
      <c r="AQ966" s="283"/>
      <c r="AR966" s="276"/>
      <c r="AT966" s="283"/>
      <c r="AU966" s="276"/>
      <c r="AV966" s="283"/>
      <c r="AW966" s="276"/>
      <c r="AX966" s="283"/>
      <c r="AY966" s="276"/>
      <c r="AZ966" s="283"/>
      <c r="BA966" s="276"/>
      <c r="BB966" s="283"/>
      <c r="BC966" s="276"/>
      <c r="BD966" s="283"/>
      <c r="BE966" s="276"/>
      <c r="BG966" s="283"/>
      <c r="BH966" s="276"/>
      <c r="BI966" s="283"/>
      <c r="BJ966" s="276"/>
      <c r="BK966" s="283"/>
      <c r="BL966" s="276"/>
      <c r="BM966" s="283"/>
      <c r="BN966" s="276"/>
      <c r="BO966" s="283"/>
      <c r="BP966" s="276"/>
      <c r="BQ966" s="283"/>
      <c r="BR966" s="283"/>
      <c r="BS966" s="276"/>
    </row>
    <row r="967" spans="12:71" ht="12" customHeight="1">
      <c r="L967" s="283"/>
      <c r="M967" s="276"/>
      <c r="N967" s="283"/>
      <c r="O967" s="276"/>
      <c r="P967" s="283"/>
      <c r="Q967" s="276"/>
      <c r="S967" s="283"/>
      <c r="T967" s="276"/>
      <c r="W967" s="283"/>
      <c r="X967" s="276"/>
      <c r="Y967" s="283"/>
      <c r="Z967" s="276"/>
      <c r="AA967" s="283"/>
      <c r="AB967" s="276"/>
      <c r="AC967" s="283"/>
      <c r="AE967" s="283"/>
      <c r="AF967" s="276"/>
      <c r="AI967" s="283"/>
      <c r="AJ967" s="276"/>
      <c r="AK967" s="283"/>
      <c r="AL967" s="276"/>
      <c r="AM967" s="283"/>
      <c r="AN967" s="276"/>
      <c r="AO967" s="283"/>
      <c r="AP967" s="276"/>
      <c r="AQ967" s="283"/>
      <c r="AR967" s="276"/>
      <c r="AT967" s="283"/>
      <c r="AU967" s="276"/>
      <c r="AV967" s="283"/>
      <c r="AW967" s="276"/>
      <c r="AX967" s="283"/>
      <c r="AY967" s="276"/>
      <c r="AZ967" s="283"/>
      <c r="BA967" s="276"/>
      <c r="BB967" s="283"/>
      <c r="BC967" s="276"/>
      <c r="BD967" s="283"/>
      <c r="BE967" s="276"/>
      <c r="BG967" s="283"/>
      <c r="BH967" s="276"/>
      <c r="BI967" s="283"/>
      <c r="BJ967" s="276"/>
      <c r="BK967" s="283"/>
      <c r="BL967" s="276"/>
      <c r="BM967" s="283"/>
      <c r="BN967" s="276"/>
      <c r="BO967" s="283"/>
      <c r="BP967" s="276"/>
      <c r="BQ967" s="283"/>
      <c r="BR967" s="283"/>
      <c r="BS967" s="276"/>
    </row>
    <row r="968" spans="12:71" ht="12" customHeight="1">
      <c r="L968" s="283"/>
      <c r="M968" s="276"/>
      <c r="N968" s="283"/>
      <c r="O968" s="276"/>
      <c r="P968" s="283"/>
      <c r="Q968" s="276"/>
      <c r="S968" s="283"/>
      <c r="T968" s="276"/>
      <c r="W968" s="283"/>
      <c r="X968" s="276"/>
      <c r="Y968" s="283"/>
      <c r="Z968" s="276"/>
      <c r="AA968" s="283"/>
      <c r="AB968" s="276"/>
      <c r="AC968" s="283"/>
      <c r="AE968" s="283"/>
      <c r="AF968" s="276"/>
      <c r="AI968" s="283"/>
      <c r="AJ968" s="276"/>
      <c r="AK968" s="283"/>
      <c r="AL968" s="276"/>
      <c r="AM968" s="283"/>
      <c r="AN968" s="276"/>
      <c r="AO968" s="283"/>
      <c r="AP968" s="276"/>
      <c r="AQ968" s="283"/>
      <c r="AR968" s="276"/>
      <c r="AT968" s="283"/>
      <c r="AU968" s="276"/>
      <c r="AV968" s="283"/>
      <c r="AW968" s="276"/>
      <c r="AX968" s="283"/>
      <c r="AY968" s="276"/>
      <c r="AZ968" s="283"/>
      <c r="BA968" s="276"/>
      <c r="BB968" s="283"/>
      <c r="BC968" s="276"/>
      <c r="BD968" s="283"/>
      <c r="BE968" s="276"/>
      <c r="BG968" s="283"/>
      <c r="BH968" s="276"/>
      <c r="BI968" s="283"/>
      <c r="BJ968" s="276"/>
      <c r="BK968" s="283"/>
      <c r="BL968" s="276"/>
      <c r="BM968" s="283"/>
      <c r="BN968" s="276"/>
      <c r="BO968" s="283"/>
      <c r="BP968" s="276"/>
      <c r="BQ968" s="283"/>
      <c r="BR968" s="283"/>
      <c r="BS968" s="276"/>
    </row>
    <row r="969" spans="12:71" ht="12" customHeight="1">
      <c r="L969" s="283"/>
      <c r="M969" s="276"/>
      <c r="N969" s="283"/>
      <c r="O969" s="276"/>
      <c r="P969" s="283"/>
      <c r="Q969" s="276"/>
      <c r="S969" s="283"/>
      <c r="T969" s="276"/>
      <c r="W969" s="283"/>
      <c r="X969" s="276"/>
      <c r="Y969" s="283"/>
      <c r="Z969" s="276"/>
      <c r="AA969" s="283"/>
      <c r="AB969" s="276"/>
      <c r="AC969" s="283"/>
      <c r="AE969" s="283"/>
      <c r="AF969" s="276"/>
      <c r="AI969" s="283"/>
      <c r="AJ969" s="276"/>
      <c r="AK969" s="283"/>
      <c r="AL969" s="276"/>
      <c r="AM969" s="283"/>
      <c r="AN969" s="276"/>
      <c r="AO969" s="283"/>
      <c r="AP969" s="276"/>
      <c r="AQ969" s="283"/>
      <c r="AR969" s="276"/>
      <c r="AT969" s="283"/>
      <c r="AU969" s="276"/>
      <c r="AV969" s="283"/>
      <c r="AW969" s="276"/>
      <c r="AX969" s="283"/>
      <c r="AY969" s="276"/>
      <c r="AZ969" s="283"/>
      <c r="BA969" s="276"/>
      <c r="BB969" s="283"/>
      <c r="BC969" s="276"/>
      <c r="BD969" s="283"/>
      <c r="BE969" s="276"/>
      <c r="BG969" s="283"/>
      <c r="BH969" s="276"/>
      <c r="BI969" s="283"/>
      <c r="BJ969" s="276"/>
      <c r="BK969" s="283"/>
      <c r="BL969" s="276"/>
      <c r="BM969" s="283"/>
      <c r="BN969" s="276"/>
      <c r="BO969" s="283"/>
      <c r="BP969" s="276"/>
      <c r="BQ969" s="283"/>
      <c r="BR969" s="283"/>
      <c r="BS969" s="276"/>
    </row>
    <row r="970" spans="12:71" ht="12" customHeight="1">
      <c r="L970" s="283"/>
      <c r="M970" s="276"/>
      <c r="N970" s="283"/>
      <c r="O970" s="276"/>
      <c r="P970" s="283"/>
      <c r="Q970" s="276"/>
      <c r="S970" s="283"/>
      <c r="T970" s="276"/>
      <c r="W970" s="283"/>
      <c r="X970" s="276"/>
      <c r="Y970" s="283"/>
      <c r="Z970" s="276"/>
      <c r="AA970" s="283"/>
      <c r="AB970" s="276"/>
      <c r="AC970" s="283"/>
      <c r="AE970" s="283"/>
      <c r="AF970" s="276"/>
      <c r="AI970" s="283"/>
      <c r="AJ970" s="276"/>
      <c r="AK970" s="283"/>
      <c r="AL970" s="276"/>
      <c r="AM970" s="283"/>
      <c r="AN970" s="276"/>
      <c r="AO970" s="283"/>
      <c r="AP970" s="276"/>
      <c r="AQ970" s="283"/>
      <c r="AR970" s="276"/>
      <c r="AT970" s="283"/>
      <c r="AU970" s="276"/>
      <c r="AV970" s="283"/>
      <c r="AW970" s="276"/>
      <c r="AX970" s="283"/>
      <c r="AY970" s="276"/>
      <c r="AZ970" s="283"/>
      <c r="BA970" s="276"/>
      <c r="BB970" s="283"/>
      <c r="BC970" s="276"/>
      <c r="BD970" s="283"/>
      <c r="BE970" s="276"/>
      <c r="BG970" s="283"/>
      <c r="BH970" s="276"/>
      <c r="BI970" s="283"/>
      <c r="BJ970" s="276"/>
      <c r="BK970" s="283"/>
      <c r="BL970" s="276"/>
      <c r="BM970" s="283"/>
      <c r="BN970" s="276"/>
      <c r="BO970" s="283"/>
      <c r="BP970" s="276"/>
      <c r="BQ970" s="283"/>
      <c r="BR970" s="283"/>
      <c r="BS970" s="276"/>
    </row>
    <row r="971" spans="12:71" ht="12" customHeight="1">
      <c r="L971" s="283"/>
      <c r="M971" s="276"/>
      <c r="N971" s="283"/>
      <c r="O971" s="276"/>
      <c r="P971" s="283"/>
      <c r="Q971" s="276"/>
      <c r="S971" s="283"/>
      <c r="T971" s="276"/>
      <c r="W971" s="283"/>
      <c r="X971" s="276"/>
      <c r="Y971" s="283"/>
      <c r="Z971" s="276"/>
      <c r="AA971" s="283"/>
      <c r="AB971" s="276"/>
      <c r="AC971" s="283"/>
      <c r="AE971" s="283"/>
      <c r="AF971" s="276"/>
      <c r="AI971" s="283"/>
      <c r="AJ971" s="276"/>
      <c r="AK971" s="283"/>
      <c r="AL971" s="276"/>
      <c r="AM971" s="283"/>
      <c r="AN971" s="276"/>
      <c r="AO971" s="283"/>
      <c r="AP971" s="276"/>
      <c r="AQ971" s="283"/>
      <c r="AR971" s="276"/>
      <c r="AT971" s="283"/>
      <c r="AU971" s="276"/>
      <c r="AV971" s="283"/>
      <c r="AW971" s="276"/>
      <c r="AX971" s="283"/>
      <c r="AY971" s="276"/>
      <c r="AZ971" s="283"/>
      <c r="BA971" s="276"/>
      <c r="BB971" s="283"/>
      <c r="BC971" s="276"/>
      <c r="BD971" s="283"/>
      <c r="BE971" s="276"/>
      <c r="BG971" s="283"/>
      <c r="BH971" s="276"/>
      <c r="BI971" s="283"/>
      <c r="BJ971" s="276"/>
      <c r="BK971" s="283"/>
      <c r="BL971" s="276"/>
      <c r="BM971" s="283"/>
      <c r="BN971" s="276"/>
      <c r="BO971" s="283"/>
      <c r="BP971" s="276"/>
      <c r="BQ971" s="283"/>
      <c r="BR971" s="283"/>
      <c r="BS971" s="276"/>
    </row>
    <row r="972" spans="12:71" ht="12" customHeight="1">
      <c r="L972" s="283"/>
      <c r="M972" s="276"/>
      <c r="N972" s="283"/>
      <c r="O972" s="276"/>
      <c r="P972" s="283"/>
      <c r="Q972" s="276"/>
      <c r="S972" s="283"/>
      <c r="T972" s="276"/>
      <c r="W972" s="283"/>
      <c r="X972" s="276"/>
      <c r="Y972" s="283"/>
      <c r="Z972" s="276"/>
      <c r="AA972" s="283"/>
      <c r="AB972" s="276"/>
      <c r="AC972" s="283"/>
      <c r="AE972" s="283"/>
      <c r="AF972" s="276"/>
      <c r="AI972" s="283"/>
      <c r="AJ972" s="276"/>
      <c r="AK972" s="283"/>
      <c r="AL972" s="276"/>
      <c r="AM972" s="283"/>
      <c r="AN972" s="276"/>
      <c r="AO972" s="283"/>
      <c r="AP972" s="276"/>
      <c r="AQ972" s="283"/>
      <c r="AR972" s="276"/>
      <c r="AT972" s="283"/>
      <c r="AU972" s="276"/>
      <c r="AV972" s="283"/>
      <c r="AW972" s="276"/>
      <c r="AX972" s="283"/>
      <c r="AY972" s="276"/>
      <c r="AZ972" s="283"/>
      <c r="BA972" s="276"/>
      <c r="BB972" s="283"/>
      <c r="BC972" s="276"/>
      <c r="BD972" s="283"/>
      <c r="BE972" s="276"/>
      <c r="BG972" s="283"/>
      <c r="BH972" s="276"/>
      <c r="BI972" s="283"/>
      <c r="BJ972" s="276"/>
      <c r="BK972" s="283"/>
      <c r="BL972" s="276"/>
      <c r="BM972" s="283"/>
      <c r="BN972" s="276"/>
      <c r="BO972" s="283"/>
      <c r="BP972" s="276"/>
      <c r="BQ972" s="283"/>
      <c r="BR972" s="283"/>
      <c r="BS972" s="276"/>
    </row>
    <row r="973" spans="12:71" ht="12" customHeight="1">
      <c r="L973" s="283"/>
      <c r="M973" s="276"/>
      <c r="N973" s="283"/>
      <c r="O973" s="276"/>
      <c r="P973" s="283"/>
      <c r="Q973" s="276"/>
      <c r="S973" s="283"/>
      <c r="T973" s="276"/>
      <c r="W973" s="283"/>
      <c r="X973" s="276"/>
      <c r="Y973" s="283"/>
      <c r="Z973" s="276"/>
      <c r="AA973" s="283"/>
      <c r="AB973" s="276"/>
      <c r="AC973" s="283"/>
      <c r="AE973" s="283"/>
      <c r="AF973" s="276"/>
      <c r="AI973" s="283"/>
      <c r="AJ973" s="276"/>
      <c r="AK973" s="283"/>
      <c r="AL973" s="276"/>
      <c r="AM973" s="283"/>
      <c r="AN973" s="276"/>
      <c r="AO973" s="283"/>
      <c r="AP973" s="276"/>
      <c r="AQ973" s="283"/>
      <c r="AR973" s="276"/>
      <c r="AT973" s="283"/>
      <c r="AU973" s="276"/>
      <c r="AV973" s="283"/>
      <c r="AW973" s="276"/>
      <c r="AX973" s="283"/>
      <c r="AY973" s="276"/>
      <c r="AZ973" s="283"/>
      <c r="BA973" s="276"/>
      <c r="BB973" s="283"/>
      <c r="BC973" s="276"/>
      <c r="BD973" s="283"/>
      <c r="BE973" s="276"/>
      <c r="BG973" s="283"/>
      <c r="BH973" s="276"/>
      <c r="BI973" s="283"/>
      <c r="BJ973" s="276"/>
      <c r="BK973" s="283"/>
      <c r="BL973" s="276"/>
      <c r="BM973" s="283"/>
      <c r="BN973" s="276"/>
      <c r="BO973" s="283"/>
      <c r="BP973" s="276"/>
      <c r="BQ973" s="283"/>
      <c r="BR973" s="283"/>
      <c r="BS973" s="276"/>
    </row>
    <row r="974" spans="12:71" ht="12" customHeight="1">
      <c r="L974" s="283"/>
      <c r="M974" s="276"/>
      <c r="N974" s="283"/>
      <c r="O974" s="276"/>
      <c r="P974" s="283"/>
      <c r="Q974" s="276"/>
      <c r="S974" s="283"/>
      <c r="T974" s="276"/>
      <c r="W974" s="283"/>
      <c r="X974" s="276"/>
      <c r="Y974" s="283"/>
      <c r="Z974" s="276"/>
      <c r="AA974" s="283"/>
      <c r="AB974" s="276"/>
      <c r="AC974" s="283"/>
      <c r="AE974" s="283"/>
      <c r="AF974" s="276"/>
      <c r="AI974" s="283"/>
      <c r="AJ974" s="276"/>
      <c r="AK974" s="283"/>
      <c r="AL974" s="276"/>
      <c r="AM974" s="283"/>
      <c r="AN974" s="276"/>
      <c r="AO974" s="283"/>
      <c r="AP974" s="276"/>
      <c r="AQ974" s="283"/>
      <c r="AR974" s="276"/>
      <c r="AT974" s="283"/>
      <c r="AU974" s="276"/>
      <c r="AV974" s="283"/>
      <c r="AW974" s="276"/>
      <c r="AX974" s="283"/>
      <c r="AY974" s="276"/>
      <c r="AZ974" s="283"/>
      <c r="BA974" s="276"/>
      <c r="BB974" s="283"/>
      <c r="BC974" s="276"/>
      <c r="BD974" s="283"/>
      <c r="BE974" s="276"/>
      <c r="BG974" s="283"/>
      <c r="BH974" s="276"/>
      <c r="BI974" s="283"/>
      <c r="BJ974" s="276"/>
      <c r="BK974" s="283"/>
      <c r="BL974" s="276"/>
      <c r="BM974" s="283"/>
      <c r="BN974" s="276"/>
      <c r="BO974" s="283"/>
      <c r="BP974" s="276"/>
      <c r="BQ974" s="283"/>
      <c r="BR974" s="283"/>
      <c r="BS974" s="276"/>
    </row>
    <row r="975" spans="12:71" ht="12" customHeight="1">
      <c r="L975" s="283"/>
      <c r="M975" s="276"/>
      <c r="N975" s="283"/>
      <c r="O975" s="276"/>
      <c r="P975" s="283"/>
      <c r="Q975" s="276"/>
      <c r="S975" s="283"/>
      <c r="T975" s="276"/>
      <c r="W975" s="283"/>
      <c r="X975" s="276"/>
      <c r="Y975" s="283"/>
      <c r="Z975" s="276"/>
      <c r="AA975" s="283"/>
      <c r="AB975" s="276"/>
      <c r="AC975" s="283"/>
      <c r="AE975" s="283"/>
      <c r="AF975" s="276"/>
      <c r="AI975" s="283"/>
      <c r="AJ975" s="276"/>
      <c r="AK975" s="283"/>
      <c r="AL975" s="276"/>
      <c r="AM975" s="283"/>
      <c r="AN975" s="276"/>
      <c r="AO975" s="283"/>
      <c r="AP975" s="276"/>
      <c r="AQ975" s="283"/>
      <c r="AR975" s="276"/>
      <c r="AT975" s="283"/>
      <c r="AU975" s="276"/>
      <c r="AV975" s="283"/>
      <c r="AW975" s="276"/>
      <c r="AX975" s="283"/>
      <c r="AY975" s="276"/>
      <c r="AZ975" s="283"/>
      <c r="BA975" s="276"/>
      <c r="BB975" s="283"/>
      <c r="BC975" s="276"/>
      <c r="BD975" s="283"/>
      <c r="BE975" s="276"/>
      <c r="BG975" s="283"/>
      <c r="BH975" s="276"/>
      <c r="BI975" s="283"/>
      <c r="BJ975" s="276"/>
      <c r="BK975" s="283"/>
      <c r="BL975" s="276"/>
      <c r="BM975" s="283"/>
      <c r="BN975" s="276"/>
      <c r="BO975" s="283"/>
      <c r="BP975" s="276"/>
      <c r="BQ975" s="283"/>
      <c r="BR975" s="283"/>
      <c r="BS975" s="276"/>
    </row>
    <row r="976" spans="12:71" ht="12" customHeight="1">
      <c r="L976" s="283"/>
      <c r="M976" s="276"/>
      <c r="N976" s="283"/>
      <c r="O976" s="276"/>
      <c r="P976" s="283"/>
      <c r="Q976" s="276"/>
      <c r="S976" s="283"/>
      <c r="T976" s="276"/>
      <c r="W976" s="283"/>
      <c r="X976" s="276"/>
      <c r="Y976" s="283"/>
      <c r="Z976" s="276"/>
      <c r="AA976" s="283"/>
      <c r="AB976" s="276"/>
      <c r="AC976" s="283"/>
      <c r="AE976" s="283"/>
      <c r="AF976" s="276"/>
      <c r="AI976" s="283"/>
      <c r="AJ976" s="276"/>
      <c r="AK976" s="283"/>
      <c r="AL976" s="276"/>
      <c r="AM976" s="283"/>
      <c r="AN976" s="276"/>
      <c r="AO976" s="283"/>
      <c r="AP976" s="276"/>
      <c r="AQ976" s="283"/>
      <c r="AR976" s="276"/>
      <c r="AT976" s="283"/>
      <c r="AU976" s="276"/>
      <c r="AV976" s="283"/>
      <c r="AW976" s="276"/>
      <c r="AX976" s="283"/>
      <c r="AY976" s="276"/>
      <c r="AZ976" s="283"/>
      <c r="BA976" s="276"/>
      <c r="BB976" s="283"/>
      <c r="BC976" s="276"/>
      <c r="BD976" s="283"/>
      <c r="BE976" s="276"/>
      <c r="BG976" s="283"/>
      <c r="BH976" s="276"/>
      <c r="BI976" s="283"/>
      <c r="BJ976" s="276"/>
      <c r="BK976" s="283"/>
      <c r="BL976" s="276"/>
      <c r="BM976" s="283"/>
      <c r="BN976" s="276"/>
      <c r="BO976" s="283"/>
      <c r="BP976" s="276"/>
      <c r="BQ976" s="283"/>
      <c r="BR976" s="283"/>
      <c r="BS976" s="276"/>
    </row>
    <row r="977" spans="12:71" ht="12" customHeight="1">
      <c r="L977" s="283"/>
      <c r="M977" s="276"/>
      <c r="N977" s="283"/>
      <c r="O977" s="276"/>
      <c r="P977" s="283"/>
      <c r="Q977" s="276"/>
      <c r="S977" s="283"/>
      <c r="T977" s="276"/>
      <c r="W977" s="283"/>
      <c r="X977" s="276"/>
      <c r="Y977" s="283"/>
      <c r="Z977" s="276"/>
      <c r="AA977" s="283"/>
      <c r="AB977" s="276"/>
      <c r="AC977" s="283"/>
      <c r="AE977" s="283"/>
      <c r="AF977" s="276"/>
      <c r="AI977" s="283"/>
      <c r="AJ977" s="276"/>
      <c r="AK977" s="283"/>
      <c r="AL977" s="276"/>
      <c r="AM977" s="283"/>
      <c r="AN977" s="276"/>
      <c r="AO977" s="283"/>
      <c r="AP977" s="276"/>
      <c r="AQ977" s="283"/>
      <c r="AR977" s="276"/>
      <c r="AT977" s="283"/>
      <c r="AU977" s="276"/>
      <c r="AV977" s="283"/>
      <c r="AW977" s="276"/>
      <c r="AX977" s="283"/>
      <c r="AY977" s="276"/>
      <c r="AZ977" s="283"/>
      <c r="BA977" s="276"/>
      <c r="BB977" s="283"/>
      <c r="BC977" s="276"/>
      <c r="BD977" s="283"/>
      <c r="BE977" s="276"/>
      <c r="BG977" s="283"/>
      <c r="BH977" s="276"/>
      <c r="BI977" s="283"/>
      <c r="BJ977" s="276"/>
      <c r="BK977" s="283"/>
      <c r="BL977" s="276"/>
      <c r="BM977" s="283"/>
      <c r="BN977" s="276"/>
      <c r="BO977" s="283"/>
      <c r="BP977" s="276"/>
      <c r="BQ977" s="283"/>
      <c r="BR977" s="283"/>
      <c r="BS977" s="276"/>
    </row>
    <row r="978" spans="12:71" ht="12" customHeight="1">
      <c r="L978" s="283"/>
      <c r="M978" s="276"/>
      <c r="N978" s="283"/>
      <c r="O978" s="276"/>
      <c r="P978" s="283"/>
      <c r="Q978" s="276"/>
      <c r="S978" s="283"/>
      <c r="T978" s="276"/>
      <c r="W978" s="283"/>
      <c r="X978" s="276"/>
      <c r="Y978" s="283"/>
      <c r="Z978" s="276"/>
      <c r="AA978" s="283"/>
      <c r="AB978" s="276"/>
      <c r="AC978" s="283"/>
      <c r="AE978" s="283"/>
      <c r="AF978" s="276"/>
      <c r="AI978" s="283"/>
      <c r="AJ978" s="276"/>
      <c r="AK978" s="283"/>
      <c r="AL978" s="276"/>
      <c r="AM978" s="283"/>
      <c r="AN978" s="276"/>
      <c r="AO978" s="283"/>
      <c r="AP978" s="276"/>
      <c r="AQ978" s="283"/>
      <c r="AR978" s="276"/>
      <c r="AT978" s="283"/>
      <c r="AU978" s="276"/>
      <c r="AV978" s="283"/>
      <c r="AW978" s="276"/>
      <c r="AX978" s="283"/>
      <c r="AY978" s="276"/>
      <c r="AZ978" s="283"/>
      <c r="BA978" s="276"/>
      <c r="BB978" s="283"/>
      <c r="BC978" s="276"/>
      <c r="BD978" s="283"/>
      <c r="BE978" s="276"/>
      <c r="BG978" s="283"/>
      <c r="BH978" s="276"/>
      <c r="BI978" s="283"/>
      <c r="BJ978" s="276"/>
      <c r="BK978" s="283"/>
      <c r="BL978" s="276"/>
      <c r="BM978" s="283"/>
      <c r="BN978" s="276"/>
      <c r="BO978" s="283"/>
      <c r="BP978" s="276"/>
      <c r="BQ978" s="283"/>
      <c r="BR978" s="283"/>
      <c r="BS978" s="276"/>
    </row>
    <row r="979" spans="12:71" ht="12" customHeight="1">
      <c r="L979" s="283"/>
      <c r="M979" s="276"/>
      <c r="N979" s="283"/>
      <c r="O979" s="276"/>
      <c r="P979" s="283"/>
      <c r="Q979" s="276"/>
      <c r="S979" s="283"/>
      <c r="T979" s="276"/>
      <c r="W979" s="283"/>
      <c r="X979" s="276"/>
      <c r="Y979" s="283"/>
      <c r="Z979" s="276"/>
      <c r="AA979" s="283"/>
      <c r="AB979" s="276"/>
      <c r="AC979" s="283"/>
      <c r="AE979" s="283"/>
      <c r="AF979" s="276"/>
      <c r="AI979" s="283"/>
      <c r="AJ979" s="276"/>
      <c r="AK979" s="283"/>
      <c r="AL979" s="276"/>
      <c r="AM979" s="283"/>
      <c r="AN979" s="276"/>
      <c r="AO979" s="283"/>
      <c r="AP979" s="276"/>
      <c r="AQ979" s="283"/>
      <c r="AR979" s="276"/>
      <c r="AT979" s="283"/>
      <c r="AU979" s="276"/>
      <c r="AV979" s="283"/>
      <c r="AW979" s="276"/>
      <c r="AX979" s="283"/>
      <c r="AY979" s="276"/>
      <c r="AZ979" s="283"/>
      <c r="BA979" s="276"/>
      <c r="BB979" s="283"/>
      <c r="BC979" s="276"/>
      <c r="BD979" s="283"/>
      <c r="BE979" s="276"/>
      <c r="BG979" s="283"/>
      <c r="BH979" s="276"/>
      <c r="BI979" s="283"/>
      <c r="BJ979" s="276"/>
      <c r="BK979" s="283"/>
      <c r="BL979" s="276"/>
      <c r="BM979" s="283"/>
      <c r="BN979" s="276"/>
      <c r="BO979" s="283"/>
      <c r="BP979" s="276"/>
      <c r="BQ979" s="283"/>
      <c r="BR979" s="283"/>
      <c r="BS979" s="276"/>
    </row>
    <row r="980" spans="12:71" ht="12" customHeight="1">
      <c r="L980" s="283"/>
      <c r="M980" s="276"/>
      <c r="N980" s="283"/>
      <c r="O980" s="276"/>
      <c r="P980" s="283"/>
      <c r="Q980" s="276"/>
      <c r="S980" s="283"/>
      <c r="T980" s="276"/>
      <c r="W980" s="283"/>
      <c r="X980" s="276"/>
      <c r="Y980" s="283"/>
      <c r="Z980" s="276"/>
      <c r="AA980" s="283"/>
      <c r="AB980" s="276"/>
      <c r="AC980" s="283"/>
      <c r="AE980" s="283"/>
      <c r="AF980" s="276"/>
      <c r="AI980" s="283"/>
      <c r="AJ980" s="276"/>
      <c r="AK980" s="283"/>
      <c r="AL980" s="276"/>
      <c r="AM980" s="283"/>
      <c r="AN980" s="276"/>
      <c r="AO980" s="283"/>
      <c r="AP980" s="276"/>
      <c r="AQ980" s="283"/>
      <c r="AR980" s="276"/>
      <c r="AT980" s="283"/>
      <c r="AU980" s="276"/>
      <c r="AV980" s="283"/>
      <c r="AW980" s="276"/>
      <c r="AX980" s="283"/>
      <c r="AY980" s="276"/>
      <c r="AZ980" s="283"/>
      <c r="BA980" s="276"/>
      <c r="BB980" s="283"/>
      <c r="BC980" s="276"/>
      <c r="BD980" s="283"/>
      <c r="BE980" s="276"/>
      <c r="BG980" s="283"/>
      <c r="BH980" s="276"/>
      <c r="BI980" s="283"/>
      <c r="BJ980" s="276"/>
      <c r="BK980" s="283"/>
      <c r="BL980" s="276"/>
      <c r="BM980" s="283"/>
      <c r="BN980" s="276"/>
      <c r="BO980" s="283"/>
      <c r="BP980" s="276"/>
      <c r="BQ980" s="283"/>
      <c r="BR980" s="283"/>
      <c r="BS980" s="276"/>
    </row>
    <row r="981" spans="12:71" ht="12" customHeight="1">
      <c r="L981" s="283"/>
      <c r="M981" s="276"/>
      <c r="N981" s="283"/>
      <c r="O981" s="276"/>
      <c r="P981" s="283"/>
      <c r="Q981" s="276"/>
      <c r="S981" s="283"/>
      <c r="T981" s="276"/>
      <c r="W981" s="283"/>
      <c r="X981" s="276"/>
      <c r="Y981" s="283"/>
      <c r="Z981" s="276"/>
      <c r="AA981" s="283"/>
      <c r="AB981" s="276"/>
      <c r="AC981" s="283"/>
      <c r="AE981" s="283"/>
      <c r="AF981" s="276"/>
      <c r="AI981" s="283"/>
      <c r="AJ981" s="276"/>
      <c r="AK981" s="283"/>
      <c r="AL981" s="276"/>
      <c r="AM981" s="283"/>
      <c r="AN981" s="276"/>
      <c r="AO981" s="283"/>
      <c r="AP981" s="276"/>
      <c r="AQ981" s="283"/>
      <c r="AR981" s="276"/>
      <c r="AT981" s="283"/>
      <c r="AU981" s="276"/>
      <c r="AV981" s="283"/>
      <c r="AW981" s="276"/>
      <c r="AX981" s="283"/>
      <c r="AY981" s="276"/>
      <c r="AZ981" s="283"/>
      <c r="BA981" s="276"/>
      <c r="BB981" s="283"/>
      <c r="BC981" s="276"/>
      <c r="BD981" s="283"/>
      <c r="BE981" s="276"/>
      <c r="BG981" s="283"/>
      <c r="BH981" s="276"/>
      <c r="BI981" s="283"/>
      <c r="BJ981" s="276"/>
      <c r="BK981" s="283"/>
      <c r="BL981" s="276"/>
      <c r="BM981" s="283"/>
      <c r="BN981" s="276"/>
      <c r="BO981" s="283"/>
      <c r="BP981" s="276"/>
      <c r="BQ981" s="283"/>
      <c r="BR981" s="283"/>
      <c r="BS981" s="276"/>
    </row>
    <row r="982" spans="12:71" ht="12" customHeight="1">
      <c r="L982" s="283"/>
      <c r="M982" s="276"/>
      <c r="N982" s="283"/>
      <c r="O982" s="276"/>
      <c r="P982" s="283"/>
      <c r="Q982" s="276"/>
      <c r="S982" s="283"/>
      <c r="T982" s="276"/>
      <c r="W982" s="283"/>
      <c r="X982" s="276"/>
      <c r="Y982" s="283"/>
      <c r="Z982" s="276"/>
      <c r="AA982" s="283"/>
      <c r="AB982" s="276"/>
      <c r="AC982" s="283"/>
      <c r="AE982" s="283"/>
      <c r="AF982" s="276"/>
      <c r="AI982" s="283"/>
      <c r="AJ982" s="276"/>
      <c r="AK982" s="283"/>
      <c r="AL982" s="276"/>
      <c r="AM982" s="283"/>
      <c r="AN982" s="276"/>
      <c r="AO982" s="283"/>
      <c r="AP982" s="276"/>
      <c r="AQ982" s="283"/>
      <c r="AR982" s="276"/>
      <c r="AT982" s="283"/>
      <c r="AU982" s="276"/>
      <c r="AV982" s="283"/>
      <c r="AW982" s="276"/>
      <c r="AX982" s="283"/>
      <c r="AY982" s="276"/>
      <c r="AZ982" s="283"/>
      <c r="BA982" s="276"/>
      <c r="BB982" s="283"/>
      <c r="BC982" s="276"/>
      <c r="BD982" s="283"/>
      <c r="BE982" s="276"/>
      <c r="BG982" s="283"/>
      <c r="BH982" s="276"/>
      <c r="BI982" s="283"/>
      <c r="BJ982" s="276"/>
      <c r="BK982" s="283"/>
      <c r="BL982" s="276"/>
      <c r="BM982" s="283"/>
      <c r="BN982" s="276"/>
      <c r="BO982" s="283"/>
      <c r="BP982" s="276"/>
      <c r="BQ982" s="283"/>
      <c r="BR982" s="283"/>
      <c r="BS982" s="276"/>
    </row>
    <row r="983" spans="12:71" ht="12" customHeight="1">
      <c r="L983" s="283"/>
      <c r="M983" s="276"/>
      <c r="N983" s="283"/>
      <c r="O983" s="276"/>
      <c r="P983" s="283"/>
      <c r="Q983" s="276"/>
      <c r="S983" s="283"/>
      <c r="T983" s="276"/>
      <c r="W983" s="283"/>
      <c r="X983" s="276"/>
      <c r="Y983" s="283"/>
      <c r="Z983" s="276"/>
      <c r="AA983" s="283"/>
      <c r="AB983" s="276"/>
      <c r="AC983" s="283"/>
      <c r="AE983" s="283"/>
      <c r="AF983" s="276"/>
      <c r="AI983" s="283"/>
      <c r="AJ983" s="276"/>
      <c r="AK983" s="283"/>
      <c r="AL983" s="276"/>
      <c r="AM983" s="283"/>
      <c r="AN983" s="276"/>
      <c r="AO983" s="283"/>
      <c r="AP983" s="276"/>
      <c r="AQ983" s="283"/>
      <c r="AR983" s="276"/>
      <c r="AT983" s="283"/>
      <c r="AU983" s="276"/>
      <c r="AV983" s="283"/>
      <c r="AW983" s="276"/>
      <c r="AX983" s="283"/>
      <c r="AY983" s="276"/>
      <c r="AZ983" s="283"/>
      <c r="BA983" s="276"/>
      <c r="BB983" s="283"/>
      <c r="BC983" s="276"/>
      <c r="BD983" s="283"/>
      <c r="BE983" s="276"/>
      <c r="BG983" s="283"/>
      <c r="BH983" s="276"/>
      <c r="BI983" s="283"/>
      <c r="BJ983" s="276"/>
      <c r="BK983" s="283"/>
      <c r="BL983" s="276"/>
      <c r="BM983" s="283"/>
      <c r="BN983" s="276"/>
      <c r="BO983" s="283"/>
      <c r="BP983" s="276"/>
      <c r="BQ983" s="283"/>
      <c r="BR983" s="283"/>
      <c r="BS983" s="276"/>
    </row>
    <row r="984" spans="12:71" ht="12" customHeight="1">
      <c r="L984" s="283"/>
      <c r="M984" s="276"/>
      <c r="N984" s="283"/>
      <c r="O984" s="276"/>
      <c r="P984" s="283"/>
      <c r="Q984" s="276"/>
      <c r="S984" s="283"/>
      <c r="T984" s="276"/>
      <c r="W984" s="283"/>
      <c r="X984" s="276"/>
      <c r="Y984" s="283"/>
      <c r="Z984" s="276"/>
      <c r="AA984" s="283"/>
      <c r="AB984" s="276"/>
      <c r="AC984" s="283"/>
      <c r="AE984" s="283"/>
      <c r="AF984" s="276"/>
      <c r="AI984" s="283"/>
      <c r="AJ984" s="276"/>
      <c r="AK984" s="283"/>
      <c r="AL984" s="276"/>
      <c r="AM984" s="283"/>
      <c r="AN984" s="276"/>
      <c r="AO984" s="283"/>
      <c r="AP984" s="276"/>
      <c r="AQ984" s="283"/>
      <c r="AR984" s="276"/>
      <c r="AT984" s="283"/>
      <c r="AU984" s="276"/>
      <c r="AV984" s="283"/>
      <c r="AW984" s="276"/>
      <c r="AX984" s="283"/>
      <c r="AY984" s="276"/>
      <c r="AZ984" s="283"/>
      <c r="BA984" s="276"/>
      <c r="BB984" s="283"/>
      <c r="BC984" s="276"/>
      <c r="BD984" s="283"/>
      <c r="BE984" s="276"/>
      <c r="BG984" s="283"/>
      <c r="BH984" s="276"/>
      <c r="BI984" s="283"/>
      <c r="BJ984" s="276"/>
      <c r="BK984" s="283"/>
      <c r="BL984" s="276"/>
      <c r="BM984" s="283"/>
      <c r="BN984" s="276"/>
      <c r="BO984" s="283"/>
      <c r="BP984" s="276"/>
      <c r="BQ984" s="283"/>
      <c r="BR984" s="283"/>
      <c r="BS984" s="276"/>
    </row>
    <row r="985" spans="12:71" ht="12" customHeight="1">
      <c r="L985" s="283"/>
      <c r="M985" s="276"/>
      <c r="N985" s="283"/>
      <c r="O985" s="276"/>
      <c r="P985" s="283"/>
      <c r="Q985" s="276"/>
      <c r="S985" s="283"/>
      <c r="T985" s="276"/>
      <c r="W985" s="283"/>
      <c r="X985" s="276"/>
      <c r="Y985" s="283"/>
      <c r="Z985" s="276"/>
      <c r="AA985" s="283"/>
      <c r="AB985" s="276"/>
      <c r="AC985" s="283"/>
      <c r="AE985" s="283"/>
      <c r="AF985" s="276"/>
      <c r="AI985" s="283"/>
      <c r="AJ985" s="276"/>
      <c r="AK985" s="283"/>
      <c r="AL985" s="276"/>
      <c r="AM985" s="283"/>
      <c r="AN985" s="276"/>
      <c r="AO985" s="283"/>
      <c r="AP985" s="276"/>
      <c r="AQ985" s="283"/>
      <c r="AR985" s="276"/>
      <c r="AT985" s="283"/>
      <c r="AU985" s="276"/>
      <c r="AV985" s="283"/>
      <c r="AW985" s="276"/>
      <c r="AX985" s="283"/>
      <c r="AY985" s="276"/>
      <c r="AZ985" s="283"/>
      <c r="BA985" s="276"/>
      <c r="BB985" s="283"/>
      <c r="BC985" s="276"/>
      <c r="BD985" s="283"/>
      <c r="BE985" s="276"/>
      <c r="BG985" s="283"/>
      <c r="BH985" s="276"/>
      <c r="BI985" s="283"/>
      <c r="BJ985" s="276"/>
      <c r="BK985" s="283"/>
      <c r="BL985" s="276"/>
      <c r="BM985" s="283"/>
      <c r="BN985" s="276"/>
      <c r="BO985" s="283"/>
      <c r="BP985" s="276"/>
      <c r="BQ985" s="283"/>
      <c r="BR985" s="283"/>
      <c r="BS985" s="276"/>
    </row>
    <row r="986" spans="12:71" ht="12" customHeight="1">
      <c r="L986" s="283"/>
      <c r="M986" s="276"/>
      <c r="N986" s="283"/>
      <c r="O986" s="276"/>
      <c r="P986" s="283"/>
      <c r="Q986" s="276"/>
      <c r="S986" s="283"/>
      <c r="T986" s="276"/>
      <c r="W986" s="283"/>
      <c r="X986" s="276"/>
      <c r="Y986" s="283"/>
      <c r="Z986" s="276"/>
      <c r="AA986" s="283"/>
      <c r="AB986" s="276"/>
      <c r="AC986" s="283"/>
      <c r="AE986" s="283"/>
      <c r="AF986" s="276"/>
      <c r="AI986" s="283"/>
      <c r="AJ986" s="276"/>
      <c r="AK986" s="283"/>
      <c r="AL986" s="276"/>
      <c r="AM986" s="283"/>
      <c r="AN986" s="276"/>
      <c r="AO986" s="283"/>
      <c r="AP986" s="276"/>
      <c r="AQ986" s="283"/>
      <c r="AR986" s="276"/>
      <c r="AT986" s="283"/>
      <c r="AU986" s="276"/>
      <c r="AV986" s="283"/>
      <c r="AW986" s="276"/>
      <c r="AX986" s="283"/>
      <c r="AY986" s="276"/>
      <c r="AZ986" s="283"/>
      <c r="BA986" s="276"/>
      <c r="BB986" s="283"/>
      <c r="BC986" s="276"/>
      <c r="BD986" s="283"/>
      <c r="BE986" s="276"/>
      <c r="BG986" s="283"/>
      <c r="BH986" s="276"/>
      <c r="BI986" s="283"/>
      <c r="BJ986" s="276"/>
      <c r="BK986" s="283"/>
      <c r="BL986" s="276"/>
      <c r="BM986" s="283"/>
      <c r="BN986" s="276"/>
      <c r="BO986" s="283"/>
      <c r="BP986" s="276"/>
      <c r="BQ986" s="283"/>
      <c r="BR986" s="283"/>
      <c r="BS986" s="276"/>
    </row>
    <row r="987" spans="12:71" ht="12" customHeight="1">
      <c r="L987" s="283"/>
      <c r="M987" s="276"/>
      <c r="N987" s="283"/>
      <c r="O987" s="276"/>
      <c r="P987" s="283"/>
      <c r="Q987" s="276"/>
      <c r="S987" s="283"/>
      <c r="T987" s="276"/>
      <c r="W987" s="283"/>
      <c r="X987" s="276"/>
      <c r="Y987" s="283"/>
      <c r="Z987" s="276"/>
      <c r="AA987" s="283"/>
      <c r="AB987" s="276"/>
      <c r="AC987" s="283"/>
      <c r="AE987" s="283"/>
      <c r="AF987" s="276"/>
      <c r="AI987" s="283"/>
      <c r="AJ987" s="276"/>
      <c r="AK987" s="283"/>
      <c r="AL987" s="276"/>
      <c r="AM987" s="283"/>
      <c r="AN987" s="276"/>
      <c r="AO987" s="283"/>
      <c r="AP987" s="276"/>
      <c r="AQ987" s="283"/>
      <c r="AR987" s="276"/>
      <c r="AT987" s="283"/>
      <c r="AU987" s="276"/>
      <c r="AV987" s="283"/>
      <c r="AW987" s="276"/>
      <c r="AX987" s="283"/>
      <c r="AY987" s="276"/>
      <c r="AZ987" s="283"/>
      <c r="BA987" s="276"/>
      <c r="BB987" s="283"/>
      <c r="BC987" s="276"/>
      <c r="BD987" s="283"/>
      <c r="BE987" s="276"/>
      <c r="BG987" s="283"/>
      <c r="BH987" s="276"/>
      <c r="BI987" s="283"/>
      <c r="BJ987" s="276"/>
      <c r="BK987" s="283"/>
      <c r="BL987" s="276"/>
      <c r="BM987" s="283"/>
      <c r="BN987" s="276"/>
      <c r="BO987" s="283"/>
      <c r="BP987" s="276"/>
      <c r="BQ987" s="283"/>
      <c r="BR987" s="283"/>
      <c r="BS987" s="276"/>
    </row>
    <row r="988" spans="12:71" ht="12" customHeight="1">
      <c r="L988" s="283"/>
      <c r="M988" s="276"/>
      <c r="N988" s="283"/>
      <c r="O988" s="276"/>
      <c r="P988" s="283"/>
      <c r="Q988" s="276"/>
      <c r="S988" s="283"/>
      <c r="T988" s="276"/>
      <c r="W988" s="283"/>
      <c r="X988" s="276"/>
      <c r="Y988" s="283"/>
      <c r="Z988" s="276"/>
      <c r="AA988" s="283"/>
      <c r="AB988" s="276"/>
      <c r="AC988" s="283"/>
      <c r="AE988" s="283"/>
      <c r="AF988" s="276"/>
      <c r="AI988" s="283"/>
      <c r="AJ988" s="276"/>
      <c r="AK988" s="283"/>
      <c r="AL988" s="276"/>
      <c r="AM988" s="283"/>
      <c r="AN988" s="276"/>
      <c r="AO988" s="283"/>
      <c r="AP988" s="276"/>
      <c r="AQ988" s="283"/>
      <c r="AR988" s="276"/>
      <c r="AT988" s="283"/>
      <c r="AU988" s="276"/>
      <c r="AV988" s="283"/>
      <c r="AW988" s="276"/>
      <c r="AX988" s="283"/>
      <c r="AY988" s="276"/>
      <c r="AZ988" s="283"/>
      <c r="BA988" s="276"/>
      <c r="BB988" s="283"/>
      <c r="BC988" s="276"/>
      <c r="BD988" s="283"/>
      <c r="BE988" s="276"/>
      <c r="BG988" s="283"/>
      <c r="BH988" s="276"/>
      <c r="BI988" s="283"/>
      <c r="BJ988" s="276"/>
      <c r="BK988" s="283"/>
      <c r="BL988" s="276"/>
      <c r="BM988" s="283"/>
      <c r="BN988" s="276"/>
      <c r="BO988" s="283"/>
      <c r="BP988" s="276"/>
      <c r="BQ988" s="283"/>
      <c r="BR988" s="283"/>
      <c r="BS988" s="276"/>
    </row>
    <row r="989" spans="12:71" ht="12" customHeight="1">
      <c r="L989" s="283"/>
      <c r="M989" s="276"/>
      <c r="N989" s="283"/>
      <c r="O989" s="276"/>
      <c r="P989" s="283"/>
      <c r="Q989" s="276"/>
      <c r="S989" s="283"/>
      <c r="T989" s="276"/>
      <c r="W989" s="283"/>
      <c r="X989" s="276"/>
      <c r="Y989" s="283"/>
      <c r="Z989" s="276"/>
      <c r="AA989" s="283"/>
      <c r="AB989" s="276"/>
      <c r="AC989" s="283"/>
      <c r="AE989" s="283"/>
      <c r="AF989" s="276"/>
      <c r="AI989" s="283"/>
      <c r="AJ989" s="276"/>
      <c r="AK989" s="283"/>
      <c r="AL989" s="276"/>
      <c r="AM989" s="283"/>
      <c r="AN989" s="276"/>
      <c r="AO989" s="283"/>
      <c r="AP989" s="276"/>
      <c r="AQ989" s="283"/>
      <c r="AR989" s="276"/>
      <c r="AT989" s="283"/>
      <c r="AU989" s="276"/>
      <c r="AV989" s="283"/>
      <c r="AW989" s="276"/>
      <c r="AX989" s="283"/>
      <c r="AY989" s="276"/>
      <c r="AZ989" s="283"/>
      <c r="BA989" s="276"/>
      <c r="BB989" s="283"/>
      <c r="BC989" s="276"/>
      <c r="BD989" s="283"/>
      <c r="BE989" s="276"/>
      <c r="BG989" s="283"/>
      <c r="BH989" s="276"/>
      <c r="BI989" s="283"/>
      <c r="BJ989" s="276"/>
      <c r="BK989" s="283"/>
      <c r="BL989" s="276"/>
      <c r="BM989" s="283"/>
      <c r="BN989" s="276"/>
      <c r="BO989" s="283"/>
      <c r="BP989" s="276"/>
      <c r="BQ989" s="283"/>
      <c r="BR989" s="283"/>
      <c r="BS989" s="276"/>
    </row>
    <row r="990" spans="12:71" ht="12" customHeight="1">
      <c r="L990" s="283"/>
      <c r="M990" s="276"/>
      <c r="N990" s="283"/>
      <c r="O990" s="276"/>
      <c r="P990" s="283"/>
      <c r="Q990" s="276"/>
      <c r="S990" s="283"/>
      <c r="T990" s="276"/>
      <c r="W990" s="283"/>
      <c r="X990" s="276"/>
      <c r="Y990" s="283"/>
      <c r="Z990" s="276"/>
      <c r="AA990" s="283"/>
      <c r="AB990" s="276"/>
      <c r="AC990" s="283"/>
      <c r="AE990" s="283"/>
      <c r="AF990" s="276"/>
      <c r="AI990" s="283"/>
      <c r="AJ990" s="276"/>
      <c r="AK990" s="283"/>
      <c r="AL990" s="276"/>
      <c r="AM990" s="283"/>
      <c r="AN990" s="276"/>
      <c r="AO990" s="283"/>
      <c r="AP990" s="276"/>
      <c r="AQ990" s="283"/>
      <c r="AR990" s="276"/>
      <c r="AT990" s="283"/>
      <c r="AU990" s="276"/>
      <c r="AV990" s="283"/>
      <c r="AW990" s="276"/>
      <c r="AX990" s="283"/>
      <c r="AY990" s="276"/>
      <c r="AZ990" s="283"/>
      <c r="BA990" s="276"/>
      <c r="BB990" s="283"/>
      <c r="BC990" s="276"/>
      <c r="BD990" s="283"/>
      <c r="BE990" s="276"/>
      <c r="BG990" s="283"/>
      <c r="BH990" s="276"/>
      <c r="BI990" s="283"/>
      <c r="BJ990" s="276"/>
      <c r="BK990" s="283"/>
      <c r="BL990" s="276"/>
      <c r="BM990" s="283"/>
      <c r="BN990" s="276"/>
      <c r="BO990" s="283"/>
      <c r="BP990" s="276"/>
      <c r="BQ990" s="283"/>
      <c r="BR990" s="283"/>
      <c r="BS990" s="276"/>
    </row>
    <row r="991" spans="12:71" ht="12" customHeight="1">
      <c r="L991" s="283"/>
      <c r="M991" s="276"/>
      <c r="N991" s="283"/>
      <c r="O991" s="276"/>
      <c r="P991" s="283"/>
      <c r="Q991" s="276"/>
      <c r="S991" s="283"/>
      <c r="T991" s="276"/>
      <c r="W991" s="283"/>
      <c r="X991" s="276"/>
      <c r="Y991" s="283"/>
      <c r="Z991" s="276"/>
      <c r="AA991" s="283"/>
      <c r="AB991" s="276"/>
      <c r="AC991" s="283"/>
      <c r="AE991" s="283"/>
      <c r="AF991" s="276"/>
      <c r="AI991" s="283"/>
      <c r="AJ991" s="276"/>
      <c r="AK991" s="283"/>
      <c r="AL991" s="276"/>
      <c r="AM991" s="283"/>
      <c r="AN991" s="276"/>
      <c r="AO991" s="283"/>
      <c r="AP991" s="276"/>
      <c r="AQ991" s="283"/>
      <c r="AR991" s="276"/>
      <c r="AT991" s="283"/>
      <c r="AU991" s="276"/>
      <c r="AV991" s="283"/>
      <c r="AW991" s="276"/>
      <c r="AX991" s="283"/>
      <c r="AY991" s="276"/>
      <c r="AZ991" s="283"/>
      <c r="BA991" s="276"/>
      <c r="BB991" s="283"/>
      <c r="BC991" s="276"/>
      <c r="BD991" s="283"/>
      <c r="BE991" s="276"/>
      <c r="BG991" s="283"/>
      <c r="BH991" s="276"/>
      <c r="BI991" s="283"/>
      <c r="BJ991" s="276"/>
      <c r="BK991" s="283"/>
      <c r="BL991" s="276"/>
      <c r="BM991" s="283"/>
      <c r="BN991" s="276"/>
      <c r="BO991" s="283"/>
      <c r="BP991" s="276"/>
      <c r="BQ991" s="283"/>
      <c r="BR991" s="283"/>
      <c r="BS991" s="276"/>
    </row>
    <row r="992" spans="12:71" ht="12" customHeight="1">
      <c r="L992" s="283"/>
      <c r="M992" s="276"/>
      <c r="N992" s="283"/>
      <c r="O992" s="276"/>
      <c r="P992" s="283"/>
      <c r="Q992" s="276"/>
      <c r="S992" s="283"/>
      <c r="T992" s="276"/>
      <c r="W992" s="283"/>
      <c r="X992" s="276"/>
      <c r="Y992" s="283"/>
      <c r="Z992" s="276"/>
      <c r="AA992" s="283"/>
      <c r="AB992" s="276"/>
      <c r="AC992" s="283"/>
      <c r="AE992" s="283"/>
      <c r="AF992" s="276"/>
      <c r="AI992" s="283"/>
      <c r="AJ992" s="276"/>
      <c r="AK992" s="283"/>
      <c r="AL992" s="276"/>
      <c r="AM992" s="283"/>
      <c r="AN992" s="276"/>
      <c r="AO992" s="283"/>
      <c r="AP992" s="276"/>
      <c r="AQ992" s="283"/>
      <c r="AR992" s="276"/>
      <c r="AT992" s="283"/>
      <c r="AU992" s="276"/>
      <c r="AV992" s="283"/>
      <c r="AW992" s="276"/>
      <c r="AX992" s="283"/>
      <c r="AY992" s="276"/>
      <c r="AZ992" s="283"/>
      <c r="BA992" s="276"/>
      <c r="BB992" s="283"/>
      <c r="BC992" s="276"/>
      <c r="BD992" s="283"/>
      <c r="BE992" s="276"/>
      <c r="BG992" s="283"/>
      <c r="BH992" s="276"/>
      <c r="BI992" s="283"/>
      <c r="BJ992" s="276"/>
      <c r="BK992" s="283"/>
      <c r="BL992" s="276"/>
      <c r="BM992" s="283"/>
      <c r="BN992" s="276"/>
      <c r="BO992" s="283"/>
      <c r="BP992" s="276"/>
      <c r="BQ992" s="283"/>
      <c r="BR992" s="283"/>
      <c r="BS992" s="276"/>
    </row>
    <row r="993" spans="12:71" ht="12" customHeight="1">
      <c r="L993" s="283"/>
      <c r="M993" s="276"/>
      <c r="N993" s="283"/>
      <c r="O993" s="276"/>
      <c r="P993" s="283"/>
      <c r="Q993" s="276"/>
      <c r="S993" s="283"/>
      <c r="T993" s="276"/>
      <c r="W993" s="283"/>
      <c r="X993" s="276"/>
      <c r="Y993" s="283"/>
      <c r="Z993" s="276"/>
      <c r="AA993" s="283"/>
      <c r="AB993" s="276"/>
      <c r="AC993" s="283"/>
      <c r="AE993" s="283"/>
      <c r="AF993" s="276"/>
      <c r="AI993" s="283"/>
      <c r="AJ993" s="276"/>
      <c r="AK993" s="283"/>
      <c r="AL993" s="276"/>
      <c r="AM993" s="283"/>
      <c r="AN993" s="276"/>
      <c r="AO993" s="283"/>
      <c r="AP993" s="276"/>
      <c r="AQ993" s="283"/>
      <c r="AR993" s="276"/>
      <c r="AT993" s="283"/>
      <c r="AU993" s="276"/>
      <c r="AV993" s="283"/>
      <c r="AW993" s="276"/>
      <c r="AX993" s="283"/>
      <c r="AY993" s="276"/>
      <c r="AZ993" s="283"/>
      <c r="BA993" s="276"/>
      <c r="BB993" s="283"/>
      <c r="BC993" s="276"/>
      <c r="BD993" s="283"/>
      <c r="BE993" s="276"/>
      <c r="BG993" s="283"/>
      <c r="BH993" s="276"/>
      <c r="BI993" s="283"/>
      <c r="BJ993" s="276"/>
      <c r="BK993" s="283"/>
      <c r="BL993" s="276"/>
      <c r="BM993" s="283"/>
      <c r="BN993" s="276"/>
      <c r="BO993" s="283"/>
      <c r="BP993" s="276"/>
      <c r="BQ993" s="283"/>
      <c r="BR993" s="283"/>
      <c r="BS993" s="276"/>
    </row>
    <row r="994" spans="12:71" ht="12" customHeight="1">
      <c r="L994" s="283"/>
      <c r="M994" s="276"/>
      <c r="N994" s="283"/>
      <c r="O994" s="276"/>
      <c r="P994" s="283"/>
      <c r="Q994" s="276"/>
      <c r="S994" s="283"/>
      <c r="T994" s="276"/>
      <c r="W994" s="283"/>
      <c r="X994" s="276"/>
      <c r="Y994" s="283"/>
      <c r="Z994" s="276"/>
      <c r="AA994" s="283"/>
      <c r="AB994" s="276"/>
      <c r="AC994" s="283"/>
      <c r="AE994" s="283"/>
      <c r="AF994" s="276"/>
      <c r="AI994" s="283"/>
      <c r="AJ994" s="276"/>
      <c r="AK994" s="283"/>
      <c r="AL994" s="276"/>
      <c r="AM994" s="283"/>
      <c r="AN994" s="276"/>
      <c r="AO994" s="283"/>
      <c r="AP994" s="276"/>
      <c r="AQ994" s="283"/>
      <c r="AR994" s="276"/>
      <c r="AT994" s="283"/>
      <c r="AU994" s="276"/>
      <c r="AV994" s="283"/>
      <c r="AW994" s="276"/>
      <c r="AX994" s="283"/>
      <c r="AY994" s="276"/>
      <c r="AZ994" s="283"/>
      <c r="BA994" s="276"/>
      <c r="BB994" s="283"/>
      <c r="BC994" s="276"/>
      <c r="BD994" s="283"/>
      <c r="BE994" s="276"/>
      <c r="BG994" s="283"/>
      <c r="BH994" s="276"/>
      <c r="BI994" s="283"/>
      <c r="BJ994" s="276"/>
      <c r="BK994" s="283"/>
      <c r="BL994" s="276"/>
      <c r="BM994" s="283"/>
      <c r="BN994" s="276"/>
      <c r="BO994" s="283"/>
      <c r="BP994" s="276"/>
      <c r="BQ994" s="283"/>
      <c r="BR994" s="283"/>
      <c r="BS994" s="276"/>
    </row>
    <row r="995" spans="12:71" ht="12" customHeight="1">
      <c r="L995" s="283"/>
      <c r="M995" s="276"/>
      <c r="N995" s="283"/>
      <c r="O995" s="276"/>
      <c r="P995" s="283"/>
      <c r="Q995" s="276"/>
      <c r="S995" s="283"/>
      <c r="T995" s="276"/>
      <c r="W995" s="283"/>
      <c r="X995" s="276"/>
      <c r="Y995" s="283"/>
      <c r="Z995" s="276"/>
      <c r="AA995" s="283"/>
      <c r="AB995" s="276"/>
      <c r="AC995" s="283"/>
      <c r="AE995" s="283"/>
      <c r="AF995" s="276"/>
      <c r="AI995" s="283"/>
      <c r="AJ995" s="276"/>
      <c r="AK995" s="283"/>
      <c r="AL995" s="276"/>
      <c r="AM995" s="283"/>
      <c r="AN995" s="276"/>
      <c r="AO995" s="283"/>
      <c r="AP995" s="276"/>
      <c r="AQ995" s="283"/>
      <c r="AR995" s="276"/>
      <c r="AT995" s="283"/>
      <c r="AU995" s="276"/>
      <c r="AV995" s="283"/>
      <c r="AW995" s="276"/>
      <c r="AX995" s="283"/>
      <c r="AY995" s="276"/>
      <c r="AZ995" s="283"/>
      <c r="BA995" s="276"/>
      <c r="BB995" s="283"/>
      <c r="BC995" s="276"/>
      <c r="BD995" s="283"/>
      <c r="BE995" s="276"/>
      <c r="BG995" s="283"/>
      <c r="BH995" s="276"/>
      <c r="BI995" s="283"/>
      <c r="BJ995" s="276"/>
      <c r="BK995" s="283"/>
      <c r="BL995" s="276"/>
      <c r="BM995" s="283"/>
      <c r="BN995" s="276"/>
      <c r="BO995" s="283"/>
      <c r="BP995" s="276"/>
      <c r="BQ995" s="283"/>
      <c r="BR995" s="283"/>
      <c r="BS995" s="276"/>
    </row>
    <row r="996" spans="12:71" ht="12" customHeight="1">
      <c r="L996" s="283"/>
      <c r="M996" s="276"/>
      <c r="N996" s="283"/>
      <c r="O996" s="276"/>
      <c r="P996" s="283"/>
      <c r="Q996" s="276"/>
      <c r="S996" s="283"/>
      <c r="T996" s="276"/>
      <c r="W996" s="283"/>
      <c r="X996" s="276"/>
      <c r="Y996" s="283"/>
      <c r="Z996" s="276"/>
      <c r="AA996" s="283"/>
      <c r="AB996" s="276"/>
      <c r="AC996" s="283"/>
      <c r="AE996" s="283"/>
      <c r="AF996" s="276"/>
      <c r="AI996" s="283"/>
      <c r="AJ996" s="276"/>
      <c r="AK996" s="283"/>
      <c r="AL996" s="276"/>
      <c r="AM996" s="283"/>
      <c r="AN996" s="276"/>
      <c r="AO996" s="283"/>
      <c r="AP996" s="276"/>
      <c r="AQ996" s="283"/>
      <c r="AR996" s="276"/>
      <c r="AT996" s="283"/>
      <c r="AU996" s="276"/>
      <c r="AV996" s="283"/>
      <c r="AW996" s="276"/>
      <c r="AX996" s="283"/>
      <c r="AY996" s="276"/>
      <c r="AZ996" s="283"/>
      <c r="BA996" s="276"/>
      <c r="BB996" s="283"/>
      <c r="BC996" s="276"/>
      <c r="BD996" s="283"/>
      <c r="BE996" s="276"/>
      <c r="BG996" s="283"/>
      <c r="BH996" s="276"/>
      <c r="BI996" s="283"/>
      <c r="BJ996" s="276"/>
      <c r="BK996" s="283"/>
      <c r="BL996" s="276"/>
      <c r="BM996" s="283"/>
      <c r="BN996" s="276"/>
      <c r="BO996" s="283"/>
      <c r="BP996" s="276"/>
      <c r="BQ996" s="283"/>
      <c r="BR996" s="283"/>
      <c r="BS996" s="276"/>
    </row>
    <row r="997" spans="12:71" ht="12" customHeight="1">
      <c r="L997" s="283"/>
      <c r="M997" s="276"/>
      <c r="N997" s="283"/>
      <c r="O997" s="276"/>
      <c r="P997" s="283"/>
      <c r="Q997" s="276"/>
      <c r="S997" s="283"/>
      <c r="T997" s="276"/>
      <c r="W997" s="283"/>
      <c r="X997" s="276"/>
      <c r="Y997" s="283"/>
      <c r="Z997" s="276"/>
      <c r="AA997" s="283"/>
      <c r="AB997" s="276"/>
      <c r="AC997" s="283"/>
      <c r="AE997" s="283"/>
      <c r="AF997" s="276"/>
      <c r="AI997" s="283"/>
      <c r="AJ997" s="276"/>
      <c r="AK997" s="283"/>
      <c r="AL997" s="276"/>
      <c r="AM997" s="283"/>
      <c r="AN997" s="276"/>
      <c r="AO997" s="283"/>
      <c r="AP997" s="276"/>
      <c r="AQ997" s="283"/>
      <c r="AR997" s="276"/>
      <c r="AT997" s="283"/>
      <c r="AU997" s="276"/>
      <c r="AV997" s="283"/>
      <c r="AW997" s="276"/>
      <c r="AX997" s="283"/>
      <c r="AY997" s="276"/>
      <c r="AZ997" s="283"/>
      <c r="BA997" s="276"/>
      <c r="BB997" s="283"/>
      <c r="BC997" s="276"/>
      <c r="BD997" s="283"/>
      <c r="BE997" s="276"/>
      <c r="BG997" s="283"/>
      <c r="BH997" s="276"/>
      <c r="BI997" s="283"/>
      <c r="BJ997" s="276"/>
      <c r="BK997" s="283"/>
      <c r="BL997" s="276"/>
      <c r="BM997" s="283"/>
      <c r="BN997" s="276"/>
      <c r="BO997" s="283"/>
      <c r="BP997" s="276"/>
      <c r="BQ997" s="283"/>
      <c r="BR997" s="283"/>
      <c r="BS997" s="276"/>
    </row>
    <row r="998" spans="12:71" ht="12" customHeight="1">
      <c r="L998" s="283"/>
      <c r="M998" s="276"/>
      <c r="N998" s="283"/>
      <c r="O998" s="276"/>
      <c r="P998" s="283"/>
      <c r="Q998" s="276"/>
      <c r="S998" s="283"/>
      <c r="T998" s="276"/>
      <c r="W998" s="283"/>
      <c r="X998" s="276"/>
      <c r="Y998" s="283"/>
      <c r="Z998" s="276"/>
      <c r="AA998" s="283"/>
      <c r="AB998" s="276"/>
      <c r="AC998" s="283"/>
      <c r="AE998" s="283"/>
      <c r="AF998" s="276"/>
      <c r="AI998" s="283"/>
      <c r="AJ998" s="276"/>
      <c r="AK998" s="283"/>
      <c r="AL998" s="276"/>
      <c r="AM998" s="283"/>
      <c r="AN998" s="276"/>
      <c r="AO998" s="283"/>
      <c r="AP998" s="276"/>
      <c r="AQ998" s="283"/>
      <c r="AR998" s="276"/>
      <c r="AT998" s="283"/>
      <c r="AU998" s="276"/>
      <c r="AV998" s="283"/>
      <c r="AW998" s="276"/>
      <c r="AX998" s="283"/>
      <c r="AY998" s="276"/>
      <c r="AZ998" s="283"/>
      <c r="BA998" s="276"/>
      <c r="BB998" s="283"/>
      <c r="BC998" s="276"/>
      <c r="BD998" s="283"/>
      <c r="BE998" s="276"/>
      <c r="BG998" s="283"/>
      <c r="BH998" s="276"/>
      <c r="BI998" s="283"/>
      <c r="BJ998" s="276"/>
      <c r="BK998" s="283"/>
      <c r="BL998" s="276"/>
      <c r="BM998" s="283"/>
      <c r="BN998" s="276"/>
      <c r="BO998" s="283"/>
      <c r="BP998" s="276"/>
      <c r="BQ998" s="283"/>
      <c r="BR998" s="283"/>
      <c r="BS998" s="276"/>
    </row>
    <row r="999" spans="12:71" ht="12" customHeight="1">
      <c r="L999" s="283"/>
      <c r="M999" s="276"/>
      <c r="N999" s="283"/>
      <c r="O999" s="276"/>
      <c r="P999" s="283"/>
      <c r="Q999" s="276"/>
      <c r="S999" s="283"/>
      <c r="T999" s="276"/>
      <c r="W999" s="283"/>
      <c r="X999" s="276"/>
      <c r="Y999" s="283"/>
      <c r="Z999" s="276"/>
      <c r="AA999" s="283"/>
      <c r="AB999" s="276"/>
      <c r="AC999" s="283"/>
      <c r="AE999" s="283"/>
      <c r="AF999" s="276"/>
      <c r="AI999" s="283"/>
      <c r="AJ999" s="276"/>
      <c r="AK999" s="283"/>
      <c r="AL999" s="276"/>
      <c r="AM999" s="283"/>
      <c r="AN999" s="276"/>
      <c r="AO999" s="283"/>
      <c r="AP999" s="276"/>
      <c r="AQ999" s="283"/>
      <c r="AR999" s="276"/>
      <c r="AT999" s="283"/>
      <c r="AU999" s="276"/>
      <c r="AV999" s="283"/>
      <c r="AW999" s="276"/>
      <c r="AX999" s="283"/>
      <c r="AY999" s="276"/>
      <c r="AZ999" s="283"/>
      <c r="BA999" s="276"/>
      <c r="BB999" s="283"/>
      <c r="BC999" s="276"/>
      <c r="BD999" s="283"/>
      <c r="BE999" s="276"/>
      <c r="BG999" s="283"/>
      <c r="BH999" s="276"/>
      <c r="BI999" s="283"/>
      <c r="BJ999" s="276"/>
      <c r="BK999" s="283"/>
      <c r="BL999" s="276"/>
      <c r="BM999" s="283"/>
      <c r="BN999" s="276"/>
      <c r="BO999" s="283"/>
      <c r="BP999" s="276"/>
      <c r="BQ999" s="283"/>
      <c r="BR999" s="283"/>
      <c r="BS999" s="276"/>
    </row>
    <row r="1000" spans="12:71" ht="12" customHeight="1">
      <c r="L1000" s="283"/>
      <c r="M1000" s="276"/>
      <c r="N1000" s="283"/>
      <c r="O1000" s="276"/>
      <c r="P1000" s="283"/>
      <c r="Q1000" s="276"/>
      <c r="S1000" s="283"/>
      <c r="T1000" s="276"/>
      <c r="W1000" s="283"/>
      <c r="X1000" s="276"/>
      <c r="Y1000" s="283"/>
      <c r="Z1000" s="276"/>
      <c r="AA1000" s="283"/>
      <c r="AB1000" s="276"/>
      <c r="AC1000" s="283"/>
      <c r="AE1000" s="283"/>
      <c r="AF1000" s="276"/>
      <c r="AI1000" s="283"/>
      <c r="AJ1000" s="276"/>
      <c r="AK1000" s="283"/>
      <c r="AL1000" s="276"/>
      <c r="AM1000" s="283"/>
      <c r="AN1000" s="276"/>
      <c r="AO1000" s="283"/>
      <c r="AP1000" s="276"/>
      <c r="AQ1000" s="283"/>
      <c r="AR1000" s="276"/>
      <c r="AT1000" s="283"/>
      <c r="AU1000" s="276"/>
      <c r="AV1000" s="283"/>
      <c r="AW1000" s="276"/>
      <c r="AX1000" s="283"/>
      <c r="AY1000" s="276"/>
      <c r="AZ1000" s="283"/>
      <c r="BA1000" s="276"/>
      <c r="BB1000" s="283"/>
      <c r="BC1000" s="276"/>
      <c r="BD1000" s="283"/>
      <c r="BE1000" s="276"/>
      <c r="BG1000" s="283"/>
      <c r="BH1000" s="276"/>
      <c r="BI1000" s="283"/>
      <c r="BJ1000" s="276"/>
      <c r="BK1000" s="283"/>
      <c r="BL1000" s="276"/>
      <c r="BM1000" s="283"/>
      <c r="BN1000" s="276"/>
      <c r="BO1000" s="283"/>
      <c r="BP1000" s="276"/>
      <c r="BQ1000" s="283"/>
      <c r="BR1000" s="283"/>
      <c r="BS1000" s="276"/>
    </row>
  </sheetData>
  <pageMargins left="0.7" right="0.7" top="0.75" bottom="0.75" header="0" footer="0"/>
  <pageSetup orientation="landscape"/>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F1000"/>
  <sheetViews>
    <sheetView topLeftCell="B8" workbookViewId="0"/>
  </sheetViews>
  <sheetFormatPr defaultColWidth="14.375" defaultRowHeight="15" customHeight="1"/>
  <cols>
    <col min="1" max="1" width="9" hidden="1" customWidth="1"/>
    <col min="2" max="2" width="11" customWidth="1"/>
    <col min="3" max="32" width="8" customWidth="1"/>
  </cols>
  <sheetData>
    <row r="1" spans="1:32" ht="12" hidden="1" customHeight="1">
      <c r="A1" s="160" t="str">
        <f t="shared" ref="A1:AF1" ca="1" si="0">CONCATENATE("Sk.",INDIRECT(ADDRESS(10+COLUMN(),1,1,1)))</f>
        <v>Sk.A</v>
      </c>
      <c r="B1" s="160" t="str">
        <f t="shared" ca="1" si="0"/>
        <v>Sk.B</v>
      </c>
      <c r="C1" s="160" t="str">
        <f t="shared" ca="1" si="0"/>
        <v>Sk.C</v>
      </c>
      <c r="D1" s="160" t="str">
        <f t="shared" ca="1" si="0"/>
        <v>Sk.D</v>
      </c>
      <c r="E1" s="160" t="str">
        <f t="shared" ca="1" si="0"/>
        <v>Sk.E</v>
      </c>
      <c r="F1" s="160" t="str">
        <f t="shared" ca="1" si="0"/>
        <v>Sk.F</v>
      </c>
      <c r="G1" s="160" t="str">
        <f t="shared" ca="1" si="0"/>
        <v>Sk.G</v>
      </c>
      <c r="H1" s="160" t="str">
        <f t="shared" ca="1" si="0"/>
        <v>Sk.H</v>
      </c>
      <c r="I1" s="160" t="str">
        <f t="shared" ca="1" si="0"/>
        <v>Sk.I</v>
      </c>
      <c r="J1" s="160" t="str">
        <f t="shared" ca="1" si="0"/>
        <v>Sk.J</v>
      </c>
      <c r="K1" s="160" t="str">
        <f t="shared" ca="1" si="0"/>
        <v>Sk.K</v>
      </c>
      <c r="L1" s="160" t="str">
        <f t="shared" ca="1" si="0"/>
        <v>Sk.L</v>
      </c>
      <c r="M1" s="160" t="str">
        <f t="shared" ca="1" si="0"/>
        <v>Sk.M</v>
      </c>
      <c r="N1" s="160" t="str">
        <f t="shared" ca="1" si="0"/>
        <v>Sk.N</v>
      </c>
      <c r="O1" s="160" t="str">
        <f t="shared" ca="1" si="0"/>
        <v>Sk.O</v>
      </c>
      <c r="P1" s="160" t="str">
        <f t="shared" ca="1" si="0"/>
        <v>Sk.P</v>
      </c>
      <c r="Q1" s="160" t="str">
        <f t="shared" ca="1" si="0"/>
        <v>Sk.Q</v>
      </c>
      <c r="R1" s="160" t="str">
        <f t="shared" ca="1" si="0"/>
        <v>Sk.R</v>
      </c>
      <c r="S1" s="160" t="str">
        <f t="shared" ca="1" si="0"/>
        <v>Sk.S</v>
      </c>
      <c r="T1" s="160" t="str">
        <f t="shared" ca="1" si="0"/>
        <v>Sk.T</v>
      </c>
      <c r="U1" s="160" t="str">
        <f t="shared" ca="1" si="0"/>
        <v>Sk.U</v>
      </c>
      <c r="V1" s="160" t="str">
        <f t="shared" ca="1" si="0"/>
        <v>Sk.V</v>
      </c>
      <c r="W1" s="160" t="str">
        <f t="shared" ca="1" si="0"/>
        <v>Sk.W</v>
      </c>
      <c r="X1" s="160" t="str">
        <f t="shared" ca="1" si="0"/>
        <v>Sk.X</v>
      </c>
      <c r="Y1" s="160" t="str">
        <f t="shared" ca="1" si="0"/>
        <v>Sk.Y</v>
      </c>
      <c r="Z1" s="160" t="str">
        <f t="shared" ca="1" si="0"/>
        <v>Sk.Z</v>
      </c>
      <c r="AA1" s="160" t="str">
        <f t="shared" ca="1" si="0"/>
        <v>Sk.AA</v>
      </c>
      <c r="AB1" s="160" t="str">
        <f t="shared" ca="1" si="0"/>
        <v>Sk.AB</v>
      </c>
      <c r="AC1" s="160" t="str">
        <f t="shared" ca="1" si="0"/>
        <v>Sk.AC</v>
      </c>
      <c r="AD1" s="284" t="str">
        <f t="shared" ca="1" si="0"/>
        <v>Sk.AD</v>
      </c>
      <c r="AE1" s="284" t="str">
        <f t="shared" ca="1" si="0"/>
        <v>Sk.AE</v>
      </c>
      <c r="AF1" s="284" t="str">
        <f t="shared" ca="1" si="0"/>
        <v>Sk.AF</v>
      </c>
    </row>
    <row r="2" spans="1:32" ht="12" hidden="1" customHeight="1">
      <c r="A2" s="6">
        <f t="shared" ref="A2:AF2" ca="1" si="1">INDIRECT(ADDRESS(1,7,1,1,A1))</f>
        <v>5</v>
      </c>
      <c r="B2" s="6">
        <f t="shared" ca="1" si="1"/>
        <v>5</v>
      </c>
      <c r="C2" s="6">
        <f t="shared" ca="1" si="1"/>
        <v>5</v>
      </c>
      <c r="D2" s="6">
        <f t="shared" ca="1" si="1"/>
        <v>6</v>
      </c>
      <c r="E2" s="6">
        <f t="shared" ca="1" si="1"/>
        <v>6</v>
      </c>
      <c r="F2" s="6">
        <f t="shared" ca="1" si="1"/>
        <v>6</v>
      </c>
      <c r="G2" s="6">
        <f t="shared" ca="1" si="1"/>
        <v>6</v>
      </c>
      <c r="H2" s="6">
        <f t="shared" ca="1" si="1"/>
        <v>6</v>
      </c>
      <c r="I2" s="6">
        <f t="shared" ca="1" si="1"/>
        <v>0</v>
      </c>
      <c r="J2" s="6">
        <f t="shared" ca="1" si="1"/>
        <v>0</v>
      </c>
      <c r="K2" s="6">
        <f t="shared" ca="1" si="1"/>
        <v>0</v>
      </c>
      <c r="L2" s="6">
        <f t="shared" ca="1" si="1"/>
        <v>0</v>
      </c>
      <c r="M2" s="6">
        <f t="shared" ca="1" si="1"/>
        <v>0</v>
      </c>
      <c r="N2" s="6">
        <f t="shared" ca="1" si="1"/>
        <v>0</v>
      </c>
      <c r="O2" s="6">
        <f t="shared" ca="1" si="1"/>
        <v>0</v>
      </c>
      <c r="P2" s="6">
        <f t="shared" ca="1" si="1"/>
        <v>0</v>
      </c>
      <c r="Q2" s="6">
        <f t="shared" ca="1" si="1"/>
        <v>0</v>
      </c>
      <c r="R2" s="6">
        <f t="shared" ca="1" si="1"/>
        <v>0</v>
      </c>
      <c r="S2" s="6">
        <f t="shared" ca="1" si="1"/>
        <v>0</v>
      </c>
      <c r="T2" s="6">
        <f t="shared" ca="1" si="1"/>
        <v>0</v>
      </c>
      <c r="U2" s="6">
        <f t="shared" ca="1" si="1"/>
        <v>0</v>
      </c>
      <c r="V2" s="6">
        <f t="shared" ca="1" si="1"/>
        <v>0</v>
      </c>
      <c r="W2" s="6">
        <f t="shared" ca="1" si="1"/>
        <v>0</v>
      </c>
      <c r="X2" s="6">
        <f t="shared" ca="1" si="1"/>
        <v>0</v>
      </c>
      <c r="Y2" s="6">
        <f t="shared" ca="1" si="1"/>
        <v>0</v>
      </c>
      <c r="Z2" s="6">
        <f t="shared" ca="1" si="1"/>
        <v>0</v>
      </c>
      <c r="AA2" s="6">
        <f t="shared" ca="1" si="1"/>
        <v>0</v>
      </c>
      <c r="AB2" s="6">
        <f t="shared" ca="1" si="1"/>
        <v>0</v>
      </c>
      <c r="AC2" s="6">
        <f t="shared" ca="1" si="1"/>
        <v>0</v>
      </c>
      <c r="AD2" s="6">
        <f t="shared" ca="1" si="1"/>
        <v>0</v>
      </c>
      <c r="AE2" s="6">
        <f t="shared" ca="1" si="1"/>
        <v>0</v>
      </c>
      <c r="AF2" s="6">
        <f t="shared" ca="1" si="1"/>
        <v>0</v>
      </c>
    </row>
    <row r="3" spans="1:32" ht="12" hidden="1" customHeight="1">
      <c r="A3" s="6">
        <f t="shared" ref="A3:AF3" ca="1" si="2">IF(A2=0,0,CHOOSE(A2,0,1,1,2,2,3))</f>
        <v>2</v>
      </c>
      <c r="B3" s="6">
        <f t="shared" ca="1" si="2"/>
        <v>2</v>
      </c>
      <c r="C3" s="6">
        <f t="shared" ca="1" si="2"/>
        <v>2</v>
      </c>
      <c r="D3" s="6">
        <f t="shared" ca="1" si="2"/>
        <v>3</v>
      </c>
      <c r="E3" s="6">
        <f t="shared" ca="1" si="2"/>
        <v>3</v>
      </c>
      <c r="F3" s="6">
        <f t="shared" ca="1" si="2"/>
        <v>3</v>
      </c>
      <c r="G3" s="6">
        <f t="shared" ca="1" si="2"/>
        <v>3</v>
      </c>
      <c r="H3" s="6">
        <f t="shared" ca="1" si="2"/>
        <v>3</v>
      </c>
      <c r="I3" s="6">
        <f t="shared" ca="1" si="2"/>
        <v>0</v>
      </c>
      <c r="J3" s="6">
        <f t="shared" ca="1" si="2"/>
        <v>0</v>
      </c>
      <c r="K3" s="6">
        <f t="shared" ca="1" si="2"/>
        <v>0</v>
      </c>
      <c r="L3" s="6">
        <f t="shared" ca="1" si="2"/>
        <v>0</v>
      </c>
      <c r="M3" s="6">
        <f t="shared" ca="1" si="2"/>
        <v>0</v>
      </c>
      <c r="N3" s="6">
        <f t="shared" ca="1" si="2"/>
        <v>0</v>
      </c>
      <c r="O3" s="6">
        <f t="shared" ca="1" si="2"/>
        <v>0</v>
      </c>
      <c r="P3" s="6">
        <f t="shared" ca="1" si="2"/>
        <v>0</v>
      </c>
      <c r="Q3" s="6">
        <f t="shared" ca="1" si="2"/>
        <v>0</v>
      </c>
      <c r="R3" s="6">
        <f t="shared" ca="1" si="2"/>
        <v>0</v>
      </c>
      <c r="S3" s="6">
        <f t="shared" ca="1" si="2"/>
        <v>0</v>
      </c>
      <c r="T3" s="6">
        <f t="shared" ca="1" si="2"/>
        <v>0</v>
      </c>
      <c r="U3" s="6">
        <f t="shared" ca="1" si="2"/>
        <v>0</v>
      </c>
      <c r="V3" s="6">
        <f t="shared" ca="1" si="2"/>
        <v>0</v>
      </c>
      <c r="W3" s="6">
        <f t="shared" ca="1" si="2"/>
        <v>0</v>
      </c>
      <c r="X3" s="6">
        <f t="shared" ca="1" si="2"/>
        <v>0</v>
      </c>
      <c r="Y3" s="6">
        <f t="shared" ca="1" si="2"/>
        <v>0</v>
      </c>
      <c r="Z3" s="6">
        <f t="shared" ca="1" si="2"/>
        <v>0</v>
      </c>
      <c r="AA3" s="6">
        <f t="shared" ca="1" si="2"/>
        <v>0</v>
      </c>
      <c r="AB3" s="6">
        <f t="shared" ca="1" si="2"/>
        <v>0</v>
      </c>
      <c r="AC3" s="6">
        <f t="shared" ca="1" si="2"/>
        <v>0</v>
      </c>
      <c r="AD3" s="6">
        <f t="shared" ca="1" si="2"/>
        <v>0</v>
      </c>
      <c r="AE3" s="6">
        <f t="shared" ca="1" si="2"/>
        <v>0</v>
      </c>
      <c r="AF3" s="6">
        <f t="shared" ca="1" si="2"/>
        <v>0</v>
      </c>
    </row>
    <row r="4" spans="1:32" ht="12" hidden="1" customHeight="1">
      <c r="A4" s="6">
        <f ca="1">IF(A2=0,0,Start.listina!U6)</f>
        <v>1</v>
      </c>
      <c r="B4" s="6">
        <f t="shared" ref="B4:AF4" ca="1" si="3">IF(OR(B2=0,A5=0),0,A5+1)</f>
        <v>3</v>
      </c>
      <c r="C4" s="6">
        <f t="shared" ca="1" si="3"/>
        <v>5</v>
      </c>
      <c r="D4" s="6">
        <f t="shared" ca="1" si="3"/>
        <v>7</v>
      </c>
      <c r="E4" s="6">
        <f t="shared" ca="1" si="3"/>
        <v>10</v>
      </c>
      <c r="F4" s="6">
        <f t="shared" ca="1" si="3"/>
        <v>13</v>
      </c>
      <c r="G4" s="6">
        <f t="shared" ca="1" si="3"/>
        <v>16</v>
      </c>
      <c r="H4" s="6">
        <f t="shared" ca="1" si="3"/>
        <v>19</v>
      </c>
      <c r="I4" s="6">
        <f t="shared" ca="1" si="3"/>
        <v>0</v>
      </c>
      <c r="J4" s="6">
        <f t="shared" ca="1" si="3"/>
        <v>0</v>
      </c>
      <c r="K4" s="6">
        <f t="shared" ca="1" si="3"/>
        <v>0</v>
      </c>
      <c r="L4" s="6">
        <f t="shared" ca="1" si="3"/>
        <v>0</v>
      </c>
      <c r="M4" s="6">
        <f t="shared" ca="1" si="3"/>
        <v>0</v>
      </c>
      <c r="N4" s="6">
        <f t="shared" ca="1" si="3"/>
        <v>0</v>
      </c>
      <c r="O4" s="6">
        <f t="shared" ca="1" si="3"/>
        <v>0</v>
      </c>
      <c r="P4" s="6">
        <f t="shared" ca="1" si="3"/>
        <v>0</v>
      </c>
      <c r="Q4" s="6">
        <f t="shared" ca="1" si="3"/>
        <v>0</v>
      </c>
      <c r="R4" s="6">
        <f t="shared" ca="1" si="3"/>
        <v>0</v>
      </c>
      <c r="S4" s="6">
        <f t="shared" ca="1" si="3"/>
        <v>0</v>
      </c>
      <c r="T4" s="6">
        <f t="shared" ca="1" si="3"/>
        <v>0</v>
      </c>
      <c r="U4" s="6">
        <f t="shared" ca="1" si="3"/>
        <v>0</v>
      </c>
      <c r="V4" s="6">
        <f t="shared" ca="1" si="3"/>
        <v>0</v>
      </c>
      <c r="W4" s="6">
        <f t="shared" ca="1" si="3"/>
        <v>0</v>
      </c>
      <c r="X4" s="6">
        <f t="shared" ca="1" si="3"/>
        <v>0</v>
      </c>
      <c r="Y4" s="6">
        <f t="shared" ca="1" si="3"/>
        <v>0</v>
      </c>
      <c r="Z4" s="6">
        <f t="shared" ca="1" si="3"/>
        <v>0</v>
      </c>
      <c r="AA4" s="6">
        <f t="shared" ca="1" si="3"/>
        <v>0</v>
      </c>
      <c r="AB4" s="6">
        <f t="shared" ca="1" si="3"/>
        <v>0</v>
      </c>
      <c r="AC4" s="6">
        <f t="shared" ca="1" si="3"/>
        <v>0</v>
      </c>
      <c r="AD4" s="6">
        <f t="shared" ca="1" si="3"/>
        <v>0</v>
      </c>
      <c r="AE4" s="6">
        <f t="shared" ca="1" si="3"/>
        <v>0</v>
      </c>
      <c r="AF4" s="6">
        <f t="shared" ca="1" si="3"/>
        <v>0</v>
      </c>
    </row>
    <row r="5" spans="1:32" ht="12" hidden="1" customHeight="1">
      <c r="A5" s="6">
        <f t="shared" ref="A5:AF5" ca="1" si="4">IF(A2=0,0,A4+A3-1)</f>
        <v>2</v>
      </c>
      <c r="B5" s="6">
        <f t="shared" ca="1" si="4"/>
        <v>4</v>
      </c>
      <c r="C5" s="6">
        <f t="shared" ca="1" si="4"/>
        <v>6</v>
      </c>
      <c r="D5" s="6">
        <f t="shared" ca="1" si="4"/>
        <v>9</v>
      </c>
      <c r="E5" s="6">
        <f t="shared" ca="1" si="4"/>
        <v>12</v>
      </c>
      <c r="F5" s="6">
        <f t="shared" ca="1" si="4"/>
        <v>15</v>
      </c>
      <c r="G5" s="6">
        <f t="shared" ca="1" si="4"/>
        <v>18</v>
      </c>
      <c r="H5" s="6">
        <f t="shared" ca="1" si="4"/>
        <v>21</v>
      </c>
      <c r="I5" s="6">
        <f t="shared" ca="1" si="4"/>
        <v>0</v>
      </c>
      <c r="J5" s="6">
        <f t="shared" ca="1" si="4"/>
        <v>0</v>
      </c>
      <c r="K5" s="6">
        <f t="shared" ca="1" si="4"/>
        <v>0</v>
      </c>
      <c r="L5" s="6">
        <f t="shared" ca="1" si="4"/>
        <v>0</v>
      </c>
      <c r="M5" s="6">
        <f t="shared" ca="1" si="4"/>
        <v>0</v>
      </c>
      <c r="N5" s="6">
        <f t="shared" ca="1" si="4"/>
        <v>0</v>
      </c>
      <c r="O5" s="6">
        <f t="shared" ca="1" si="4"/>
        <v>0</v>
      </c>
      <c r="P5" s="6">
        <f t="shared" ca="1" si="4"/>
        <v>0</v>
      </c>
      <c r="Q5" s="6">
        <f t="shared" ca="1" si="4"/>
        <v>0</v>
      </c>
      <c r="R5" s="6">
        <f t="shared" ca="1" si="4"/>
        <v>0</v>
      </c>
      <c r="S5" s="6">
        <f t="shared" ca="1" si="4"/>
        <v>0</v>
      </c>
      <c r="T5" s="6">
        <f t="shared" ca="1" si="4"/>
        <v>0</v>
      </c>
      <c r="U5" s="6">
        <f t="shared" ca="1" si="4"/>
        <v>0</v>
      </c>
      <c r="V5" s="6">
        <f t="shared" ca="1" si="4"/>
        <v>0</v>
      </c>
      <c r="W5" s="6">
        <f t="shared" ca="1" si="4"/>
        <v>0</v>
      </c>
      <c r="X5" s="6">
        <f t="shared" ca="1" si="4"/>
        <v>0</v>
      </c>
      <c r="Y5" s="6">
        <f t="shared" ca="1" si="4"/>
        <v>0</v>
      </c>
      <c r="Z5" s="6">
        <f t="shared" ca="1" si="4"/>
        <v>0</v>
      </c>
      <c r="AA5" s="6">
        <f t="shared" ca="1" si="4"/>
        <v>0</v>
      </c>
      <c r="AB5" s="6">
        <f t="shared" ca="1" si="4"/>
        <v>0</v>
      </c>
      <c r="AC5" s="6">
        <f t="shared" ca="1" si="4"/>
        <v>0</v>
      </c>
      <c r="AD5" s="6">
        <f t="shared" ca="1" si="4"/>
        <v>0</v>
      </c>
      <c r="AE5" s="6">
        <f t="shared" ca="1" si="4"/>
        <v>0</v>
      </c>
      <c r="AF5" s="6">
        <f t="shared" ca="1" si="4"/>
        <v>0</v>
      </c>
    </row>
    <row r="6" spans="1:32" ht="12" hidden="1" customHeight="1"/>
    <row r="7" spans="1:32" ht="12" hidden="1" customHeight="1"/>
    <row r="8" spans="1:32" ht="12" customHeight="1">
      <c r="D8" s="5" t="s">
        <v>1879</v>
      </c>
      <c r="E8" s="285">
        <f>Start.listina!U6</f>
        <v>1</v>
      </c>
    </row>
    <row r="9" spans="1:32" ht="12" customHeight="1">
      <c r="C9" s="490" t="s">
        <v>1880</v>
      </c>
      <c r="D9" s="491"/>
      <c r="E9" s="492"/>
    </row>
    <row r="10" spans="1:32" ht="12" customHeight="1">
      <c r="A10" s="160" t="s">
        <v>1881</v>
      </c>
      <c r="B10" s="160" t="s">
        <v>1882</v>
      </c>
    </row>
    <row r="11" spans="1:32" ht="12" customHeight="1">
      <c r="A11" s="160" t="s">
        <v>1831</v>
      </c>
      <c r="B11" s="160">
        <v>1</v>
      </c>
      <c r="C11" s="286">
        <f t="shared" ref="C11:C42" ca="1" si="5">999999*RAND()</f>
        <v>987068.94593878603</v>
      </c>
      <c r="D11" s="160"/>
      <c r="E11" s="287" t="str">
        <f t="shared" ref="E11:E42" si="6">IF(D11+$E$8-1=0,"",D11+$E$8-1)</f>
        <v/>
      </c>
    </row>
    <row r="12" spans="1:32" ht="12" customHeight="1">
      <c r="A12" s="160" t="s">
        <v>1832</v>
      </c>
      <c r="B12" s="160">
        <v>2</v>
      </c>
      <c r="C12" s="286">
        <f t="shared" ca="1" si="5"/>
        <v>631761.25249984406</v>
      </c>
      <c r="D12" s="160"/>
      <c r="E12" s="287" t="str">
        <f t="shared" si="6"/>
        <v/>
      </c>
    </row>
    <row r="13" spans="1:32" ht="12" customHeight="1">
      <c r="A13" s="160" t="s">
        <v>1833</v>
      </c>
      <c r="B13" s="160">
        <v>3</v>
      </c>
      <c r="C13" s="286">
        <f t="shared" ca="1" si="5"/>
        <v>408455.8337283833</v>
      </c>
      <c r="D13" s="160"/>
      <c r="E13" s="287" t="str">
        <f t="shared" si="6"/>
        <v/>
      </c>
    </row>
    <row r="14" spans="1:32" ht="12" customHeight="1">
      <c r="A14" s="160" t="s">
        <v>1834</v>
      </c>
      <c r="B14" s="160">
        <v>4</v>
      </c>
      <c r="C14" s="286">
        <f t="shared" ca="1" si="5"/>
        <v>207307.23192004539</v>
      </c>
      <c r="D14" s="160"/>
      <c r="E14" s="287" t="str">
        <f t="shared" si="6"/>
        <v/>
      </c>
    </row>
    <row r="15" spans="1:32" ht="12" customHeight="1">
      <c r="A15" s="160" t="s">
        <v>1835</v>
      </c>
      <c r="B15" s="160">
        <v>5</v>
      </c>
      <c r="C15" s="286">
        <f t="shared" ca="1" si="5"/>
        <v>934371.23495319963</v>
      </c>
      <c r="D15" s="160"/>
      <c r="E15" s="287" t="str">
        <f t="shared" si="6"/>
        <v/>
      </c>
    </row>
    <row r="16" spans="1:32" ht="12" customHeight="1">
      <c r="A16" s="160" t="s">
        <v>1836</v>
      </c>
      <c r="B16" s="160">
        <v>6</v>
      </c>
      <c r="C16" s="286">
        <f t="shared" ca="1" si="5"/>
        <v>558159.00540103414</v>
      </c>
      <c r="D16" s="160"/>
      <c r="E16" s="287" t="str">
        <f t="shared" si="6"/>
        <v/>
      </c>
    </row>
    <row r="17" spans="1:5" ht="12" customHeight="1">
      <c r="A17" s="160" t="s">
        <v>1837</v>
      </c>
      <c r="B17" s="160">
        <v>7</v>
      </c>
      <c r="C17" s="286">
        <f t="shared" ca="1" si="5"/>
        <v>602614.80383805954</v>
      </c>
      <c r="D17" s="160"/>
      <c r="E17" s="287" t="str">
        <f t="shared" si="6"/>
        <v/>
      </c>
    </row>
    <row r="18" spans="1:5" ht="12" customHeight="1">
      <c r="A18" s="160" t="s">
        <v>1838</v>
      </c>
      <c r="B18" s="160">
        <v>8</v>
      </c>
      <c r="C18" s="286">
        <f t="shared" ca="1" si="5"/>
        <v>254488.88311145396</v>
      </c>
      <c r="D18" s="160"/>
      <c r="E18" s="287" t="str">
        <f t="shared" si="6"/>
        <v/>
      </c>
    </row>
    <row r="19" spans="1:5" ht="12" customHeight="1">
      <c r="A19" s="160" t="s">
        <v>1839</v>
      </c>
      <c r="B19" s="160">
        <v>9</v>
      </c>
      <c r="C19" s="286">
        <f t="shared" ca="1" si="5"/>
        <v>61492.935316628471</v>
      </c>
      <c r="D19" s="160"/>
      <c r="E19" s="287" t="str">
        <f t="shared" si="6"/>
        <v/>
      </c>
    </row>
    <row r="20" spans="1:5" ht="12" customHeight="1">
      <c r="A20" s="160" t="s">
        <v>434</v>
      </c>
      <c r="B20" s="160">
        <v>10</v>
      </c>
      <c r="C20" s="286">
        <f t="shared" ca="1" si="5"/>
        <v>984046.44790178153</v>
      </c>
      <c r="D20" s="160"/>
      <c r="E20" s="287" t="str">
        <f t="shared" si="6"/>
        <v/>
      </c>
    </row>
    <row r="21" spans="1:5" ht="12" customHeight="1">
      <c r="A21" s="160" t="s">
        <v>1840</v>
      </c>
      <c r="B21" s="160">
        <v>11</v>
      </c>
      <c r="C21" s="286">
        <f t="shared" ca="1" si="5"/>
        <v>834119.8888246225</v>
      </c>
      <c r="D21" s="160"/>
      <c r="E21" s="287" t="str">
        <f t="shared" si="6"/>
        <v/>
      </c>
    </row>
    <row r="22" spans="1:5" ht="12" customHeight="1">
      <c r="A22" s="160" t="s">
        <v>1841</v>
      </c>
      <c r="B22" s="160">
        <v>12</v>
      </c>
      <c r="C22" s="286">
        <f t="shared" ca="1" si="5"/>
        <v>196514.11959041859</v>
      </c>
      <c r="D22" s="160"/>
      <c r="E22" s="287" t="str">
        <f t="shared" si="6"/>
        <v/>
      </c>
    </row>
    <row r="23" spans="1:5" ht="12" customHeight="1">
      <c r="A23" s="160" t="s">
        <v>1842</v>
      </c>
      <c r="B23" s="160">
        <v>13</v>
      </c>
      <c r="C23" s="286">
        <f t="shared" ca="1" si="5"/>
        <v>664769.31594922743</v>
      </c>
      <c r="D23" s="160"/>
      <c r="E23" s="287" t="str">
        <f t="shared" si="6"/>
        <v/>
      </c>
    </row>
    <row r="24" spans="1:5" ht="12" customHeight="1">
      <c r="A24" s="160" t="s">
        <v>1843</v>
      </c>
      <c r="B24" s="160">
        <v>14</v>
      </c>
      <c r="C24" s="286">
        <f t="shared" ca="1" si="5"/>
        <v>419594.66492940724</v>
      </c>
      <c r="D24" s="160"/>
      <c r="E24" s="287" t="str">
        <f t="shared" si="6"/>
        <v/>
      </c>
    </row>
    <row r="25" spans="1:5" ht="12" customHeight="1">
      <c r="A25" s="160" t="s">
        <v>1844</v>
      </c>
      <c r="B25" s="160">
        <v>15</v>
      </c>
      <c r="C25" s="286">
        <f t="shared" ca="1" si="5"/>
        <v>732870.21894538612</v>
      </c>
      <c r="D25" s="160"/>
      <c r="E25" s="287" t="str">
        <f t="shared" si="6"/>
        <v/>
      </c>
    </row>
    <row r="26" spans="1:5" ht="12" customHeight="1">
      <c r="A26" s="160" t="s">
        <v>1845</v>
      </c>
      <c r="B26" s="160">
        <v>16</v>
      </c>
      <c r="C26" s="286">
        <f t="shared" ca="1" si="5"/>
        <v>859153.23193006532</v>
      </c>
      <c r="D26" s="160"/>
      <c r="E26" s="287" t="str">
        <f t="shared" si="6"/>
        <v/>
      </c>
    </row>
    <row r="27" spans="1:5" ht="12" customHeight="1">
      <c r="A27" s="160" t="s">
        <v>1846</v>
      </c>
      <c r="B27" s="160">
        <v>17</v>
      </c>
      <c r="C27" s="286">
        <f t="shared" ca="1" si="5"/>
        <v>224884.6022163</v>
      </c>
      <c r="D27" s="160"/>
      <c r="E27" s="287" t="str">
        <f t="shared" si="6"/>
        <v/>
      </c>
    </row>
    <row r="28" spans="1:5" ht="12" customHeight="1">
      <c r="A28" s="160" t="s">
        <v>1847</v>
      </c>
      <c r="B28" s="160">
        <v>18</v>
      </c>
      <c r="C28" s="286">
        <f t="shared" ca="1" si="5"/>
        <v>755517.66621882014</v>
      </c>
      <c r="D28" s="160"/>
      <c r="E28" s="287" t="str">
        <f t="shared" si="6"/>
        <v/>
      </c>
    </row>
    <row r="29" spans="1:5" ht="12" customHeight="1">
      <c r="A29" s="160" t="s">
        <v>310</v>
      </c>
      <c r="B29" s="160">
        <v>19</v>
      </c>
      <c r="C29" s="286">
        <f t="shared" ca="1" si="5"/>
        <v>406741.52802316291</v>
      </c>
      <c r="D29" s="160"/>
      <c r="E29" s="287" t="str">
        <f t="shared" si="6"/>
        <v/>
      </c>
    </row>
    <row r="30" spans="1:5" ht="12" customHeight="1">
      <c r="A30" s="160" t="s">
        <v>1848</v>
      </c>
      <c r="B30" s="160">
        <v>20</v>
      </c>
      <c r="C30" s="286">
        <f t="shared" ca="1" si="5"/>
        <v>435540.86555125995</v>
      </c>
      <c r="D30" s="160"/>
      <c r="E30" s="287" t="str">
        <f t="shared" si="6"/>
        <v/>
      </c>
    </row>
    <row r="31" spans="1:5" ht="12" customHeight="1">
      <c r="A31" s="160" t="s">
        <v>1849</v>
      </c>
      <c r="B31" s="160">
        <v>21</v>
      </c>
      <c r="C31" s="286">
        <f t="shared" ca="1" si="5"/>
        <v>64197.784077183445</v>
      </c>
      <c r="D31" s="160"/>
      <c r="E31" s="287" t="str">
        <f t="shared" si="6"/>
        <v/>
      </c>
    </row>
    <row r="32" spans="1:5" ht="12" customHeight="1">
      <c r="A32" s="160" t="s">
        <v>313</v>
      </c>
      <c r="B32" s="160">
        <v>22</v>
      </c>
      <c r="C32" s="286">
        <f t="shared" ca="1" si="5"/>
        <v>537720.56098962505</v>
      </c>
      <c r="D32" s="160"/>
      <c r="E32" s="287" t="str">
        <f t="shared" si="6"/>
        <v/>
      </c>
    </row>
    <row r="33" spans="1:5" ht="12" customHeight="1">
      <c r="A33" s="160" t="s">
        <v>1850</v>
      </c>
      <c r="B33" s="160">
        <v>23</v>
      </c>
      <c r="C33" s="286">
        <f t="shared" ca="1" si="5"/>
        <v>932657.2266083603</v>
      </c>
      <c r="D33" s="160"/>
      <c r="E33" s="287" t="str">
        <f t="shared" si="6"/>
        <v/>
      </c>
    </row>
    <row r="34" spans="1:5" ht="12" customHeight="1">
      <c r="A34" s="160" t="s">
        <v>1851</v>
      </c>
      <c r="B34" s="160">
        <v>24</v>
      </c>
      <c r="C34" s="286">
        <f t="shared" ca="1" si="5"/>
        <v>589264.41723231366</v>
      </c>
      <c r="D34" s="160"/>
      <c r="E34" s="287" t="str">
        <f t="shared" si="6"/>
        <v/>
      </c>
    </row>
    <row r="35" spans="1:5" ht="12" customHeight="1">
      <c r="A35" s="160" t="s">
        <v>1852</v>
      </c>
      <c r="B35" s="160">
        <v>25</v>
      </c>
      <c r="C35" s="286">
        <f t="shared" ca="1" si="5"/>
        <v>61531.446329440994</v>
      </c>
      <c r="D35" s="160"/>
      <c r="E35" s="287" t="str">
        <f t="shared" si="6"/>
        <v/>
      </c>
    </row>
    <row r="36" spans="1:5" ht="12" customHeight="1">
      <c r="A36" s="160" t="s">
        <v>316</v>
      </c>
      <c r="B36" s="160">
        <v>26</v>
      </c>
      <c r="C36" s="286">
        <f t="shared" ca="1" si="5"/>
        <v>516145.98645765602</v>
      </c>
      <c r="D36" s="160"/>
      <c r="E36" s="287" t="str">
        <f t="shared" si="6"/>
        <v/>
      </c>
    </row>
    <row r="37" spans="1:5" ht="12" customHeight="1">
      <c r="A37" s="160" t="s">
        <v>1853</v>
      </c>
      <c r="B37" s="160">
        <v>27</v>
      </c>
      <c r="C37" s="286">
        <f t="shared" ca="1" si="5"/>
        <v>373058.11675175844</v>
      </c>
      <c r="D37" s="160"/>
      <c r="E37" s="287" t="str">
        <f t="shared" si="6"/>
        <v/>
      </c>
    </row>
    <row r="38" spans="1:5" ht="12" customHeight="1">
      <c r="A38" s="160" t="s">
        <v>1854</v>
      </c>
      <c r="B38" s="160">
        <v>28</v>
      </c>
      <c r="C38" s="286">
        <f t="shared" ca="1" si="5"/>
        <v>422897.19792527071</v>
      </c>
      <c r="D38" s="160"/>
      <c r="E38" s="287" t="str">
        <f t="shared" si="6"/>
        <v/>
      </c>
    </row>
    <row r="39" spans="1:5" ht="12" customHeight="1">
      <c r="A39" s="160" t="s">
        <v>1855</v>
      </c>
      <c r="B39" s="160">
        <v>29</v>
      </c>
      <c r="C39" s="286">
        <f t="shared" ca="1" si="5"/>
        <v>80821.761610540561</v>
      </c>
      <c r="D39" s="160"/>
      <c r="E39" s="287" t="str">
        <f t="shared" si="6"/>
        <v/>
      </c>
    </row>
    <row r="40" spans="1:5" ht="12" customHeight="1">
      <c r="A40" s="160" t="s">
        <v>1856</v>
      </c>
      <c r="B40" s="160">
        <v>30</v>
      </c>
      <c r="C40" s="286">
        <f t="shared" ca="1" si="5"/>
        <v>162792.30628213423</v>
      </c>
      <c r="D40" s="160"/>
      <c r="E40" s="287" t="str">
        <f t="shared" si="6"/>
        <v/>
      </c>
    </row>
    <row r="41" spans="1:5" ht="12" customHeight="1">
      <c r="A41" s="160" t="s">
        <v>1857</v>
      </c>
      <c r="B41" s="160">
        <v>31</v>
      </c>
      <c r="C41" s="286">
        <f t="shared" ca="1" si="5"/>
        <v>623966.88647879602</v>
      </c>
      <c r="D41" s="160"/>
      <c r="E41" s="287" t="str">
        <f t="shared" si="6"/>
        <v/>
      </c>
    </row>
    <row r="42" spans="1:5" ht="12" customHeight="1">
      <c r="A42" s="160" t="s">
        <v>1858</v>
      </c>
      <c r="B42" s="160">
        <v>32</v>
      </c>
      <c r="C42" s="286">
        <f t="shared" ca="1" si="5"/>
        <v>637650.19286449568</v>
      </c>
      <c r="D42" s="160"/>
      <c r="E42" s="287" t="str">
        <f t="shared" si="6"/>
        <v/>
      </c>
    </row>
    <row r="43" spans="1:5" ht="12" customHeight="1"/>
    <row r="44" spans="1:5" ht="12" customHeight="1"/>
    <row r="45" spans="1:5" ht="12" customHeight="1"/>
    <row r="46" spans="1:5" ht="12" customHeight="1"/>
    <row r="47" spans="1:5" ht="12" customHeight="1"/>
    <row r="48" spans="1:5"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1">
    <mergeCell ref="C9:E9"/>
  </mergeCells>
  <pageMargins left="0.7" right="0.7" top="0.75" bottom="0.75" header="0" footer="0"/>
  <pageSetup orientation="landscape"/>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J100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375" defaultRowHeight="15" customHeight="1"/>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8.375" customWidth="1"/>
    <col min="17" max="17" width="5" customWidth="1"/>
    <col min="18" max="18" width="2.375" customWidth="1"/>
    <col min="19" max="19" width="5.375" customWidth="1"/>
    <col min="20" max="20" width="28.375" customWidth="1"/>
    <col min="21" max="21" width="5" customWidth="1"/>
    <col min="22" max="22" width="2.375" customWidth="1"/>
    <col min="23" max="23" width="5.375" customWidth="1"/>
    <col min="24" max="24" width="25.375" customWidth="1"/>
    <col min="25" max="25" width="5" customWidth="1"/>
    <col min="26" max="26" width="2.375" customWidth="1"/>
    <col min="27" max="27" width="0.25" customWidth="1"/>
    <col min="28" max="28" width="25.375" customWidth="1"/>
    <col min="29" max="29" width="5" customWidth="1"/>
    <col min="30" max="32" width="8" customWidth="1"/>
    <col min="33" max="34" width="25.375" customWidth="1"/>
    <col min="35" max="35" width="5" customWidth="1"/>
    <col min="36" max="36" width="8" customWidth="1"/>
  </cols>
  <sheetData>
    <row r="1" spans="1:36" ht="12" customHeight="1">
      <c r="B1" s="268"/>
      <c r="C1" s="288"/>
      <c r="D1" s="288"/>
      <c r="E1" s="288"/>
      <c r="F1" s="288"/>
      <c r="G1" s="288"/>
      <c r="H1" s="288"/>
      <c r="I1" s="288"/>
      <c r="J1" s="288"/>
      <c r="K1" s="288"/>
      <c r="L1" s="288"/>
      <c r="M1" s="288"/>
      <c r="N1" s="288"/>
      <c r="O1" s="288"/>
      <c r="P1" s="288"/>
      <c r="Q1" s="288"/>
      <c r="R1" s="288"/>
      <c r="S1" s="288"/>
      <c r="T1" s="288"/>
      <c r="U1" s="288"/>
      <c r="V1" s="288"/>
      <c r="W1" s="288"/>
      <c r="Y1" s="288"/>
      <c r="Z1" s="288"/>
      <c r="AA1" s="288"/>
      <c r="AB1" s="288"/>
      <c r="AC1" s="288"/>
      <c r="AD1" s="288"/>
      <c r="AE1" s="288"/>
      <c r="AF1" s="288"/>
      <c r="AG1" s="288"/>
      <c r="AH1" s="288"/>
      <c r="AI1" s="288"/>
      <c r="AJ1" s="288"/>
    </row>
    <row r="2" spans="1:36" ht="32.25" customHeight="1">
      <c r="A2" s="289"/>
      <c r="B2" s="290"/>
      <c r="C2" s="291">
        <v>64</v>
      </c>
      <c r="D2" s="292" t="s">
        <v>1883</v>
      </c>
      <c r="E2" s="293"/>
      <c r="F2" s="293"/>
      <c r="G2" s="294">
        <v>32</v>
      </c>
      <c r="H2" s="292" t="s">
        <v>1883</v>
      </c>
      <c r="I2" s="293"/>
      <c r="J2" s="255"/>
      <c r="K2" s="294">
        <v>16</v>
      </c>
      <c r="L2" s="292" t="s">
        <v>1883</v>
      </c>
      <c r="M2" s="255"/>
      <c r="N2" s="255"/>
      <c r="O2" s="294">
        <v>8</v>
      </c>
      <c r="P2" s="292" t="s">
        <v>1883</v>
      </c>
      <c r="Q2" s="293"/>
      <c r="R2" s="255"/>
      <c r="S2" s="294">
        <v>4</v>
      </c>
      <c r="T2" s="292" t="s">
        <v>1884</v>
      </c>
      <c r="U2" s="255"/>
      <c r="V2" s="255"/>
      <c r="W2" s="294">
        <v>2</v>
      </c>
      <c r="X2" s="292" t="s">
        <v>1885</v>
      </c>
      <c r="Y2" s="255"/>
      <c r="Z2" s="255"/>
      <c r="AA2" s="294">
        <v>1</v>
      </c>
      <c r="AB2" s="295" t="s">
        <v>1886</v>
      </c>
      <c r="AC2" s="255"/>
      <c r="AD2" s="255"/>
      <c r="AE2" s="255"/>
      <c r="AF2" s="255"/>
      <c r="AG2" s="255"/>
      <c r="AH2" s="255"/>
      <c r="AI2" s="255"/>
      <c r="AJ2" s="255"/>
    </row>
    <row r="3" spans="1:36" ht="28.5" customHeight="1">
      <c r="A3" s="269"/>
      <c r="B3" s="296"/>
      <c r="C3" s="297"/>
      <c r="D3" s="298" t="s">
        <v>1887</v>
      </c>
      <c r="E3" s="299" t="str">
        <f ca="1">IF(OR(TRIM(D4)="-",TRIM(D5)="-"),"",VLOOKUP(MIN(C4,C5),Hřiště!$B$11:$E$42,4,0))</f>
        <v/>
      </c>
      <c r="F3" s="300"/>
      <c r="G3" s="301"/>
      <c r="H3" s="302"/>
      <c r="I3" s="303"/>
      <c r="J3" s="300"/>
      <c r="K3" s="300"/>
      <c r="L3" s="302"/>
      <c r="M3" s="303"/>
      <c r="N3" s="300"/>
      <c r="O3" s="300"/>
      <c r="P3" s="302"/>
      <c r="Q3" s="303"/>
      <c r="R3" s="300"/>
      <c r="S3" s="300"/>
      <c r="T3" s="302"/>
      <c r="U3" s="303"/>
      <c r="V3" s="300"/>
      <c r="W3" s="300"/>
      <c r="X3" s="304"/>
      <c r="Y3" s="303"/>
      <c r="Z3" s="300"/>
      <c r="AA3" s="300"/>
      <c r="AB3" s="303"/>
      <c r="AC3" s="303"/>
      <c r="AD3" s="300"/>
      <c r="AE3" s="300"/>
      <c r="AF3" s="300"/>
      <c r="AG3" s="303"/>
      <c r="AH3" s="303"/>
      <c r="AI3" s="303"/>
      <c r="AJ3" s="300"/>
    </row>
    <row r="4" spans="1:36" ht="18" customHeight="1">
      <c r="A4" s="305" t="str">
        <f>VLOOKUP(C4,Postupy!$A$3:$C$66,3,0)</f>
        <v>A1</v>
      </c>
      <c r="B4" s="306"/>
      <c r="C4" s="307">
        <v>1</v>
      </c>
      <c r="D4" s="308" t="str">
        <f ca="1">VLOOKUP(C4,Postupy!$A$3:$B$66,2,0)</f>
        <v>Carreau Brno - Michálek Ivo</v>
      </c>
      <c r="E4" s="309"/>
      <c r="F4" s="310"/>
      <c r="G4" s="255"/>
      <c r="H4" s="268"/>
      <c r="I4" s="255"/>
      <c r="J4" s="255"/>
      <c r="K4" s="255"/>
      <c r="L4" s="255"/>
      <c r="M4" s="255"/>
      <c r="N4" s="255"/>
      <c r="O4" s="255"/>
      <c r="P4" s="255"/>
      <c r="Q4" s="255"/>
      <c r="R4" s="255"/>
      <c r="S4" s="255"/>
      <c r="T4" s="255"/>
      <c r="U4" s="255"/>
      <c r="V4" s="255"/>
      <c r="W4" s="255"/>
      <c r="X4" s="311"/>
      <c r="Y4" s="255"/>
      <c r="Z4" s="255"/>
      <c r="AA4" s="255"/>
      <c r="AB4" s="255"/>
      <c r="AC4" s="255"/>
      <c r="AD4" s="255"/>
      <c r="AE4" s="255"/>
      <c r="AF4" s="255"/>
      <c r="AG4" s="255"/>
      <c r="AH4" s="255"/>
      <c r="AI4" s="255"/>
      <c r="AJ4" s="255"/>
    </row>
    <row r="5" spans="1:36" ht="18" customHeight="1">
      <c r="A5" s="305" t="str">
        <f>VLOOKUP(C5,Postupy!$A$3:$C$66,3,0)</f>
        <v/>
      </c>
      <c r="B5" s="306"/>
      <c r="C5" s="312">
        <v>64</v>
      </c>
      <c r="D5" s="313" t="str">
        <f>VLOOKUP(C5,Postupy!$A$3:$B$66,2,0)</f>
        <v xml:space="preserve"> - </v>
      </c>
      <c r="E5" s="314"/>
      <c r="F5" s="315"/>
      <c r="G5" s="316"/>
      <c r="H5" s="298" t="s">
        <v>1887</v>
      </c>
      <c r="I5" s="299" t="str">
        <f ca="1">IF(OR(TRIM(H6)="-",TRIM(H7)="-"),"",VLOOKUP(MIN(G6,G7),Hřiště!$B$11:$E$42,4,0))</f>
        <v/>
      </c>
      <c r="J5" s="255"/>
      <c r="K5" s="255"/>
      <c r="L5" s="255"/>
      <c r="M5" s="255"/>
      <c r="N5" s="255"/>
      <c r="O5" s="255"/>
      <c r="P5" s="317"/>
      <c r="Q5" s="255"/>
      <c r="R5" s="255"/>
      <c r="S5" s="255"/>
      <c r="T5" s="255"/>
      <c r="U5" s="255"/>
      <c r="V5" s="255"/>
      <c r="W5" s="255"/>
      <c r="X5" s="311"/>
      <c r="Y5" s="255"/>
      <c r="Z5" s="255"/>
      <c r="AA5" s="255"/>
      <c r="AB5" s="255"/>
      <c r="AC5" s="255"/>
      <c r="AD5" s="255"/>
      <c r="AE5" s="255"/>
      <c r="AF5" s="255"/>
      <c r="AG5" s="255"/>
      <c r="AH5" s="255"/>
      <c r="AI5" s="255"/>
      <c r="AJ5" s="255"/>
    </row>
    <row r="6" spans="1:36" ht="18" customHeight="1">
      <c r="A6" s="318"/>
      <c r="B6" s="319"/>
      <c r="C6" s="319">
        <f>C4+C5</f>
        <v>65</v>
      </c>
      <c r="D6" s="320"/>
      <c r="E6" s="321"/>
      <c r="F6" s="322"/>
      <c r="G6" s="307">
        <v>1</v>
      </c>
      <c r="H6" s="308" t="str">
        <f ca="1">IF(OR(TRIM(D4)="-",TRIM(D5)="-"),IF(TRIM(D4)="-",D5,D4),IF(AND(E4="",E5="")," ",IF(N(E4)=N(E5)," ",IF(N(E4)&gt;N(E5),D4,D5))))</f>
        <v>Carreau Brno - Michálek Ivo</v>
      </c>
      <c r="I6" s="309"/>
      <c r="J6" s="310"/>
      <c r="K6" s="255"/>
      <c r="L6" s="317"/>
      <c r="M6" s="255"/>
      <c r="N6" s="255"/>
      <c r="O6" s="255"/>
      <c r="P6" s="317"/>
      <c r="Q6" s="255"/>
      <c r="R6" s="255"/>
      <c r="S6" s="255"/>
      <c r="T6" s="255"/>
      <c r="U6" s="255"/>
      <c r="V6" s="255"/>
      <c r="W6" s="311"/>
      <c r="X6" s="255"/>
      <c r="Y6" s="255"/>
      <c r="Z6" s="255"/>
      <c r="AA6" s="255"/>
      <c r="AB6" s="255"/>
      <c r="AC6" s="255"/>
      <c r="AD6" s="255"/>
      <c r="AE6" s="255"/>
      <c r="AF6" s="255"/>
      <c r="AG6" s="255"/>
      <c r="AH6" s="255"/>
      <c r="AI6" s="255"/>
      <c r="AJ6" s="255"/>
    </row>
    <row r="7" spans="1:36" ht="18" customHeight="1">
      <c r="A7" s="323"/>
      <c r="B7" s="324"/>
      <c r="C7" s="325"/>
      <c r="D7" s="298" t="s">
        <v>1887</v>
      </c>
      <c r="E7" s="299" t="str">
        <f>IF(OR(TRIM(D8)="-",TRIM(D9)="-"),"",VLOOKUP(MIN(C8,C9),Hřiště!$B$11:$E$42,4,0))</f>
        <v/>
      </c>
      <c r="F7" s="322"/>
      <c r="G7" s="312">
        <v>32</v>
      </c>
      <c r="H7" s="313" t="str">
        <f>IF(OR(TRIM(D8)="-",TRIM(D9)="-"),IF(TRIM(D8)="-",D9,D8),IF(AND(E8="",E9="")," ",IF(N(E8)=N(E9)," ",IF(N(E8)&gt;N(E9),D8,D9))))</f>
        <v xml:space="preserve"> - </v>
      </c>
      <c r="I7" s="314"/>
      <c r="J7" s="315"/>
      <c r="K7" s="326"/>
      <c r="L7" s="327"/>
      <c r="M7" s="293"/>
      <c r="N7" s="255"/>
      <c r="O7" s="255"/>
      <c r="P7" s="317"/>
      <c r="Q7" s="255"/>
      <c r="R7" s="255"/>
      <c r="S7" s="255"/>
      <c r="T7" s="255"/>
      <c r="U7" s="255"/>
      <c r="V7" s="255"/>
      <c r="W7" s="311"/>
      <c r="X7" s="255"/>
      <c r="Y7" s="255"/>
      <c r="Z7" s="255"/>
      <c r="AA7" s="255"/>
      <c r="AB7" s="255"/>
      <c r="AC7" s="255"/>
      <c r="AD7" s="255"/>
      <c r="AE7" s="255"/>
      <c r="AF7" s="255"/>
      <c r="AG7" s="255"/>
      <c r="AH7" s="255"/>
      <c r="AI7" s="255"/>
      <c r="AJ7" s="255"/>
    </row>
    <row r="8" spans="1:36" ht="18" customHeight="1">
      <c r="A8" s="305" t="str">
        <f>VLOOKUP(C8,Postupy!$A$3:$C$66,3,0)</f>
        <v/>
      </c>
      <c r="B8" s="306"/>
      <c r="C8" s="307">
        <v>33</v>
      </c>
      <c r="D8" s="308" t="str">
        <f>VLOOKUP(C8,Postupy!$A$3:$B$66,2,0)</f>
        <v xml:space="preserve"> - </v>
      </c>
      <c r="E8" s="309"/>
      <c r="F8" s="328"/>
      <c r="G8" s="329"/>
      <c r="H8" s="330"/>
      <c r="I8" s="311"/>
      <c r="J8" s="311"/>
      <c r="K8" s="326"/>
      <c r="L8" s="327"/>
      <c r="M8" s="293"/>
      <c r="N8" s="255"/>
      <c r="O8" s="255"/>
      <c r="P8" s="317"/>
      <c r="Q8" s="255"/>
      <c r="R8" s="255"/>
      <c r="S8" s="255"/>
      <c r="T8" s="255"/>
      <c r="U8" s="255"/>
      <c r="V8" s="255"/>
      <c r="W8" s="311"/>
      <c r="X8" s="255"/>
      <c r="Y8" s="255"/>
      <c r="Z8" s="255"/>
      <c r="AA8" s="255"/>
      <c r="AB8" s="255"/>
      <c r="AC8" s="255"/>
      <c r="AD8" s="255"/>
      <c r="AE8" s="255"/>
      <c r="AF8" s="255"/>
      <c r="AG8" s="255"/>
      <c r="AH8" s="255"/>
      <c r="AI8" s="255"/>
      <c r="AJ8" s="255"/>
    </row>
    <row r="9" spans="1:36" ht="18" customHeight="1">
      <c r="A9" s="305" t="str">
        <f>VLOOKUP(C9,Postupy!$A$3:$C$66,3,0)</f>
        <v/>
      </c>
      <c r="B9" s="306"/>
      <c r="C9" s="312">
        <v>32</v>
      </c>
      <c r="D9" s="313" t="str">
        <f>VLOOKUP(C9,Postupy!$A$3:$B$66,2,0)</f>
        <v xml:space="preserve"> - </v>
      </c>
      <c r="E9" s="314"/>
      <c r="F9" s="268"/>
      <c r="G9" s="255"/>
      <c r="H9" s="331"/>
      <c r="I9" s="311"/>
      <c r="J9" s="311"/>
      <c r="K9" s="316"/>
      <c r="L9" s="298" t="s">
        <v>1887</v>
      </c>
      <c r="M9" s="299" t="str">
        <f ca="1">IF(OR(TRIM(L10)="-",TRIM(L11)="-"),"",VLOOKUP(MIN(K10,K11),Hřiště!$B$11:$E$42,4,0))</f>
        <v/>
      </c>
      <c r="N9" s="269"/>
      <c r="O9" s="255"/>
      <c r="P9" s="317"/>
      <c r="Q9" s="255"/>
      <c r="R9" s="255"/>
      <c r="S9" s="255"/>
      <c r="T9" s="255"/>
      <c r="U9" s="255"/>
      <c r="V9" s="255"/>
      <c r="W9" s="311"/>
      <c r="X9" s="255"/>
      <c r="Y9" s="255"/>
      <c r="Z9" s="255"/>
      <c r="AA9" s="255"/>
      <c r="AB9" s="255"/>
      <c r="AC9" s="255"/>
      <c r="AD9" s="255"/>
      <c r="AE9" s="255"/>
      <c r="AF9" s="255"/>
      <c r="AG9" s="255"/>
      <c r="AH9" s="255"/>
      <c r="AI9" s="255"/>
      <c r="AJ9" s="255"/>
    </row>
    <row r="10" spans="1:36" ht="18" customHeight="1">
      <c r="A10" s="318"/>
      <c r="B10" s="319"/>
      <c r="C10" s="319">
        <f>C8+C9</f>
        <v>65</v>
      </c>
      <c r="D10" s="320"/>
      <c r="E10" s="321"/>
      <c r="F10" s="332">
        <f>C6+C10</f>
        <v>130</v>
      </c>
      <c r="G10" s="255"/>
      <c r="H10" s="333"/>
      <c r="I10" s="255"/>
      <c r="J10" s="255"/>
      <c r="K10" s="307">
        <v>1</v>
      </c>
      <c r="L10" s="308" t="str">
        <f ca="1">IF(OR(TRIM(H6)="-",TRIM(H7)="-"),IF(TRIM(H6)="-",H7,H6),IF(AND(I6="",I7="")," ",IF(N(I6)=N(I7)," ",IF(N(I6)&gt;N(I7),H6,H7))))</f>
        <v>Carreau Brno - Michálek Ivo</v>
      </c>
      <c r="M10" s="309"/>
      <c r="N10" s="310"/>
      <c r="O10" s="293"/>
      <c r="P10" s="327"/>
      <c r="Q10" s="293"/>
      <c r="R10" s="255"/>
      <c r="S10" s="255"/>
      <c r="T10" s="255"/>
      <c r="U10" s="255"/>
      <c r="V10" s="255"/>
      <c r="W10" s="311"/>
      <c r="X10" s="255"/>
      <c r="Y10" s="255"/>
      <c r="Z10" s="255"/>
      <c r="AA10" s="255"/>
      <c r="AB10" s="255"/>
      <c r="AC10" s="255"/>
      <c r="AD10" s="293"/>
      <c r="AE10" s="255"/>
      <c r="AF10" s="255"/>
      <c r="AG10" s="255"/>
      <c r="AH10" s="255"/>
      <c r="AI10" s="255"/>
      <c r="AJ10" s="293"/>
    </row>
    <row r="11" spans="1:36" ht="18" customHeight="1">
      <c r="A11" s="323"/>
      <c r="B11" s="324"/>
      <c r="C11" s="325"/>
      <c r="D11" s="298" t="s">
        <v>1887</v>
      </c>
      <c r="E11" s="299" t="str">
        <f>IF(OR(TRIM(D12)="-",TRIM(D13)="-"),"",VLOOKUP(MIN(C12,C13),Hřiště!$B$11:$E$42,4,0))</f>
        <v/>
      </c>
      <c r="F11" s="255"/>
      <c r="G11" s="255"/>
      <c r="H11" s="333"/>
      <c r="I11" s="255"/>
      <c r="J11" s="255"/>
      <c r="K11" s="312">
        <v>16</v>
      </c>
      <c r="L11" s="313" t="str">
        <f ca="1">IF(OR(TRIM(H14)="-",TRIM(H15)="-"),IF(TRIM(H14)="-",H15,H14),IF(AND(I14="",I15="")," ",IF(N(I14)=N(I15)," ",IF(N(I14)&gt;N(I15),H14,H15))))</f>
        <v>UBU Únětice - Kot Pavel</v>
      </c>
      <c r="M11" s="314"/>
      <c r="N11" s="315"/>
      <c r="O11" s="326"/>
      <c r="P11" s="327"/>
      <c r="Q11" s="293"/>
      <c r="R11" s="255"/>
      <c r="S11" s="255"/>
      <c r="T11" s="255"/>
      <c r="U11" s="255"/>
      <c r="V11" s="255"/>
      <c r="W11" s="311"/>
      <c r="X11" s="255"/>
      <c r="Y11" s="255"/>
      <c r="Z11" s="255"/>
      <c r="AA11" s="255"/>
      <c r="AB11" s="255"/>
      <c r="AC11" s="255"/>
      <c r="AD11" s="293"/>
      <c r="AE11" s="255"/>
      <c r="AF11" s="255"/>
      <c r="AG11" s="255"/>
      <c r="AH11" s="255"/>
      <c r="AI11" s="255"/>
      <c r="AJ11" s="293"/>
    </row>
    <row r="12" spans="1:36" ht="18" customHeight="1">
      <c r="A12" s="305" t="str">
        <f>VLOOKUP(C12,Postupy!$A$3:$C$66,3,0)</f>
        <v/>
      </c>
      <c r="B12" s="306"/>
      <c r="C12" s="307">
        <v>17</v>
      </c>
      <c r="D12" s="308" t="str">
        <f>VLOOKUP(C12,Postupy!$A$3:$B$66,2,0)</f>
        <v xml:space="preserve"> - </v>
      </c>
      <c r="E12" s="309"/>
      <c r="F12" s="316"/>
      <c r="G12" s="255"/>
      <c r="H12" s="331"/>
      <c r="I12" s="311"/>
      <c r="J12" s="311"/>
      <c r="K12" s="334"/>
      <c r="L12" s="335"/>
      <c r="M12" s="336"/>
      <c r="N12" s="255"/>
      <c r="O12" s="326"/>
      <c r="P12" s="327"/>
      <c r="Q12" s="293"/>
      <c r="R12" s="255"/>
      <c r="S12" s="255"/>
      <c r="T12" s="255"/>
      <c r="U12" s="255"/>
      <c r="V12" s="255"/>
      <c r="W12" s="311"/>
      <c r="X12" s="255"/>
      <c r="Y12" s="255"/>
      <c r="Z12" s="255"/>
      <c r="AA12" s="255"/>
      <c r="AB12" s="255"/>
      <c r="AC12" s="255"/>
      <c r="AD12" s="293"/>
      <c r="AE12" s="255"/>
      <c r="AF12" s="255"/>
      <c r="AG12" s="255"/>
      <c r="AH12" s="255"/>
      <c r="AI12" s="255"/>
      <c r="AJ12" s="293"/>
    </row>
    <row r="13" spans="1:36" ht="18" customHeight="1">
      <c r="A13" s="305" t="str">
        <f>VLOOKUP(C13,Postupy!$A$3:$C$66,3,0)</f>
        <v/>
      </c>
      <c r="B13" s="306"/>
      <c r="C13" s="312">
        <v>48</v>
      </c>
      <c r="D13" s="313" t="str">
        <f>VLOOKUP(C13,Postupy!$A$3:$B$66,2,0)</f>
        <v xml:space="preserve"> - </v>
      </c>
      <c r="E13" s="314"/>
      <c r="F13" s="337" t="s">
        <v>1690</v>
      </c>
      <c r="G13" s="316"/>
      <c r="H13" s="298" t="s">
        <v>1887</v>
      </c>
      <c r="I13" s="299" t="str">
        <f ca="1">IF(OR(TRIM(H14)="-",TRIM(H15)="-"),"",VLOOKUP(MIN(G14,G15),Hřiště!$B$11:$E$42,4,0))</f>
        <v/>
      </c>
      <c r="J13" s="311"/>
      <c r="K13" s="326"/>
      <c r="L13" s="333"/>
      <c r="M13" s="293"/>
      <c r="N13" s="255"/>
      <c r="O13" s="326"/>
      <c r="P13" s="327"/>
      <c r="Q13" s="293"/>
      <c r="R13" s="255"/>
      <c r="S13" s="255"/>
      <c r="T13" s="255"/>
      <c r="U13" s="255"/>
      <c r="V13" s="255"/>
      <c r="W13" s="311"/>
      <c r="X13" s="255"/>
      <c r="Y13" s="255"/>
      <c r="Z13" s="255"/>
      <c r="AA13" s="255"/>
      <c r="AB13" s="255"/>
      <c r="AC13" s="255"/>
      <c r="AD13" s="293"/>
      <c r="AE13" s="255"/>
      <c r="AF13" s="255"/>
      <c r="AG13" s="255"/>
      <c r="AH13" s="255"/>
      <c r="AI13" s="255"/>
      <c r="AJ13" s="293"/>
    </row>
    <row r="14" spans="1:36" ht="18" customHeight="1">
      <c r="A14" s="318"/>
      <c r="B14" s="319"/>
      <c r="C14" s="319">
        <f>C12+C13</f>
        <v>65</v>
      </c>
      <c r="D14" s="320"/>
      <c r="E14" s="321"/>
      <c r="F14" s="322"/>
      <c r="G14" s="307">
        <v>17</v>
      </c>
      <c r="H14" s="308" t="str">
        <f>IF(OR(TRIM(D12)="-",TRIM(D13)="-"),IF(TRIM(D12)="-",D13,D12),IF(AND(E12="",E13="")," ",IF(N(E12)=N(E13)," ",IF(N(E12)&gt;N(E13),D12,D13))))</f>
        <v xml:space="preserve"> - </v>
      </c>
      <c r="I14" s="309"/>
      <c r="J14" s="328"/>
      <c r="K14" s="326"/>
      <c r="L14" s="333"/>
      <c r="M14" s="293"/>
      <c r="N14" s="255"/>
      <c r="O14" s="326"/>
      <c r="P14" s="327"/>
      <c r="Q14" s="293"/>
      <c r="R14" s="255"/>
      <c r="S14" s="255"/>
      <c r="T14" s="255"/>
      <c r="U14" s="255"/>
      <c r="V14" s="255"/>
      <c r="W14" s="311"/>
      <c r="X14" s="255"/>
      <c r="Y14" s="255"/>
      <c r="Z14" s="255"/>
      <c r="AA14" s="255"/>
      <c r="AB14" s="255"/>
      <c r="AC14" s="255"/>
      <c r="AD14" s="293"/>
      <c r="AE14" s="255"/>
      <c r="AF14" s="255"/>
      <c r="AG14" s="255"/>
      <c r="AH14" s="255"/>
      <c r="AI14" s="255"/>
      <c r="AJ14" s="293"/>
    </row>
    <row r="15" spans="1:36" ht="18" customHeight="1">
      <c r="A15" s="323"/>
      <c r="B15" s="324"/>
      <c r="C15" s="325"/>
      <c r="D15" s="298" t="s">
        <v>1887</v>
      </c>
      <c r="E15" s="299" t="str">
        <f ca="1">IF(OR(TRIM(D16)="-",TRIM(D17)="-"),"",VLOOKUP(MIN(C16,C17),Hřiště!$B$11:$E$42,4,0))</f>
        <v/>
      </c>
      <c r="F15" s="269"/>
      <c r="G15" s="312">
        <v>16</v>
      </c>
      <c r="H15" s="313" t="str">
        <f ca="1">IF(OR(TRIM(D16)="-",TRIM(D17)="-"),IF(TRIM(D16)="-",D17,D16),IF(AND(E16="",E17="")," ",IF(N(E16)=N(E17)," ",IF(N(E16)&gt;N(E17),D16,D17))))</f>
        <v>UBU Únětice - Kot Pavel</v>
      </c>
      <c r="I15" s="314"/>
      <c r="J15" s="268"/>
      <c r="K15" s="255"/>
      <c r="L15" s="333"/>
      <c r="M15" s="255"/>
      <c r="N15" s="255"/>
      <c r="O15" s="326"/>
      <c r="P15" s="327"/>
      <c r="Q15" s="293"/>
      <c r="R15" s="255"/>
      <c r="S15" s="255"/>
      <c r="T15" s="255"/>
      <c r="U15" s="255"/>
      <c r="V15" s="255"/>
      <c r="W15" s="311"/>
      <c r="X15" s="255"/>
      <c r="Y15" s="255"/>
      <c r="Z15" s="255"/>
      <c r="AA15" s="255"/>
      <c r="AB15" s="255"/>
      <c r="AC15" s="255"/>
      <c r="AD15" s="255"/>
      <c r="AE15" s="255"/>
      <c r="AF15" s="255"/>
      <c r="AG15" s="255"/>
      <c r="AH15" s="255"/>
      <c r="AI15" s="255"/>
      <c r="AJ15" s="255"/>
    </row>
    <row r="16" spans="1:36" ht="18" customHeight="1">
      <c r="A16" s="305" t="str">
        <f>VLOOKUP(C16,Postupy!$A$3:$C$66,3,0)</f>
        <v/>
      </c>
      <c r="B16" s="306"/>
      <c r="C16" s="307">
        <v>49</v>
      </c>
      <c r="D16" s="308" t="str">
        <f>VLOOKUP(C16,Postupy!$A$3:$B$66,2,0)</f>
        <v xml:space="preserve"> - </v>
      </c>
      <c r="E16" s="309"/>
      <c r="F16" s="338"/>
      <c r="G16" s="334"/>
      <c r="H16" s="335"/>
      <c r="I16" s="336"/>
      <c r="J16" s="255"/>
      <c r="K16" s="255"/>
      <c r="L16" s="331"/>
      <c r="M16" s="255"/>
      <c r="N16" s="255"/>
      <c r="O16" s="326"/>
      <c r="P16" s="327"/>
      <c r="Q16" s="293"/>
      <c r="R16" s="255"/>
      <c r="S16" s="255"/>
      <c r="T16" s="255"/>
      <c r="U16" s="255"/>
      <c r="V16" s="255"/>
      <c r="W16" s="311"/>
      <c r="X16" s="255"/>
      <c r="Y16" s="255"/>
      <c r="Z16" s="255"/>
      <c r="AA16" s="255"/>
      <c r="AB16" s="255"/>
      <c r="AC16" s="255"/>
      <c r="AD16" s="255"/>
      <c r="AE16" s="255"/>
      <c r="AF16" s="255"/>
      <c r="AG16" s="255"/>
      <c r="AH16" s="255"/>
      <c r="AI16" s="255"/>
      <c r="AJ16" s="255"/>
    </row>
    <row r="17" spans="1:36" ht="18" customHeight="1">
      <c r="A17" s="305" t="str">
        <f>VLOOKUP(C17,Postupy!$A$3:$C$66,3,0)</f>
        <v>B2</v>
      </c>
      <c r="B17" s="306"/>
      <c r="C17" s="312">
        <v>16</v>
      </c>
      <c r="D17" s="313" t="str">
        <f ca="1">VLOOKUP(C17,Postupy!$A$3:$B$66,2,0)</f>
        <v>UBU Únětice - Kot Pavel</v>
      </c>
      <c r="E17" s="314"/>
      <c r="F17" s="339"/>
      <c r="G17" s="255"/>
      <c r="H17" s="331"/>
      <c r="I17" s="255"/>
      <c r="J17" s="255"/>
      <c r="K17" s="255"/>
      <c r="L17" s="340"/>
      <c r="M17" s="311"/>
      <c r="N17" s="311"/>
      <c r="O17" s="316"/>
      <c r="P17" s="298" t="s">
        <v>1887</v>
      </c>
      <c r="Q17" s="299" t="str">
        <f ca="1">IF(OR(TRIM(P18)="-",TRIM(P19)="-"),"",VLOOKUP(MIN(O18,O19),Hřiště!$B$11:$E$42,4,0))</f>
        <v/>
      </c>
      <c r="S17" s="269"/>
      <c r="T17" s="269"/>
      <c r="U17" s="269"/>
      <c r="V17" s="255"/>
      <c r="W17" s="311"/>
      <c r="X17" s="255"/>
      <c r="Y17" s="255"/>
      <c r="Z17" s="255"/>
      <c r="AA17" s="255"/>
      <c r="AB17" s="255"/>
      <c r="AC17" s="255"/>
      <c r="AD17" s="255"/>
      <c r="AE17" s="255"/>
      <c r="AF17" s="255"/>
      <c r="AG17" s="255"/>
      <c r="AH17" s="255"/>
      <c r="AI17" s="255"/>
      <c r="AJ17" s="255"/>
    </row>
    <row r="18" spans="1:36" ht="18" customHeight="1">
      <c r="A18" s="318"/>
      <c r="B18" s="319"/>
      <c r="C18" s="319">
        <f>C16+C17</f>
        <v>65</v>
      </c>
      <c r="D18" s="320"/>
      <c r="E18" s="321"/>
      <c r="F18" s="332">
        <f>C14+C18</f>
        <v>130</v>
      </c>
      <c r="G18" s="255"/>
      <c r="H18" s="333"/>
      <c r="I18" s="255"/>
      <c r="J18" s="255"/>
      <c r="K18" s="255"/>
      <c r="L18" s="341"/>
      <c r="M18" s="311"/>
      <c r="N18" s="311"/>
      <c r="O18" s="307">
        <v>1</v>
      </c>
      <c r="P18" s="308" t="str">
        <f ca="1">IF(OR(TRIM(L10)="-",TRIM(L11)="-"),IF(TRIM(L10)="-",L11,L10),IF(AND(M10="",M11="")," ",IF(N(M10)=N(M11)," ",IF(N(M10)&gt;N(M11),L10,L11))))</f>
        <v xml:space="preserve"> </v>
      </c>
      <c r="Q18" s="309"/>
      <c r="R18" s="311"/>
      <c r="S18" s="255"/>
      <c r="T18" s="255"/>
      <c r="U18" s="255"/>
      <c r="V18" s="255"/>
      <c r="W18" s="311"/>
      <c r="X18" s="255"/>
      <c r="Y18" s="255"/>
      <c r="Z18" s="255"/>
      <c r="AA18" s="255"/>
      <c r="AB18" s="255"/>
      <c r="AC18" s="255"/>
      <c r="AD18" s="255"/>
      <c r="AE18" s="255"/>
      <c r="AF18" s="255"/>
      <c r="AG18" s="255"/>
      <c r="AH18" s="255"/>
      <c r="AI18" s="255"/>
      <c r="AJ18" s="255"/>
    </row>
    <row r="19" spans="1:36" ht="18" customHeight="1">
      <c r="A19" s="323"/>
      <c r="B19" s="324"/>
      <c r="C19" s="325"/>
      <c r="D19" s="298" t="s">
        <v>1887</v>
      </c>
      <c r="E19" s="299" t="str">
        <f ca="1">IF(OR(TRIM(D20)="-",TRIM(D21)="-"),"",VLOOKUP(MIN(C20,C21),Hřiště!$B$11:$E$42,4,0))</f>
        <v/>
      </c>
      <c r="F19" s="255"/>
      <c r="G19" s="255"/>
      <c r="H19" s="333"/>
      <c r="I19" s="255"/>
      <c r="J19" s="255"/>
      <c r="K19" s="255"/>
      <c r="L19" s="341"/>
      <c r="M19" s="311"/>
      <c r="N19" s="322"/>
      <c r="O19" s="312">
        <v>8</v>
      </c>
      <c r="P19" s="313" t="str">
        <f ca="1">IF(OR(TRIM(L26)="-",TRIM(L27)="-"),IF(TRIM(L26)="-",L27,L26),IF(AND(M26="",M27="")," ",IF(N(M26)=N(M27)," ",IF(N(M26)&gt;N(M27),L26,L27))))</f>
        <v xml:space="preserve"> </v>
      </c>
      <c r="Q19" s="314"/>
      <c r="R19" s="315"/>
      <c r="S19" s="342"/>
      <c r="T19" s="255"/>
      <c r="U19" s="255"/>
      <c r="V19" s="255"/>
      <c r="W19" s="311"/>
      <c r="X19" s="255"/>
      <c r="Y19" s="255"/>
      <c r="Z19" s="255"/>
      <c r="AA19" s="255"/>
      <c r="AB19" s="255"/>
      <c r="AC19" s="255"/>
      <c r="AD19" s="255"/>
      <c r="AE19" s="255"/>
      <c r="AF19" s="255"/>
      <c r="AG19" s="255"/>
      <c r="AH19" s="255"/>
      <c r="AI19" s="255"/>
      <c r="AJ19" s="255"/>
    </row>
    <row r="20" spans="1:36" ht="18" customHeight="1">
      <c r="A20" s="305" t="str">
        <f>VLOOKUP(C20,Postupy!$A$3:$C$66,3,0)</f>
        <v>G2</v>
      </c>
      <c r="B20" s="306"/>
      <c r="C20" s="307">
        <v>9</v>
      </c>
      <c r="D20" s="308" t="str">
        <f ca="1">VLOOKUP(C20,Postupy!$A$3:$B$66,2,0)</f>
        <v>Orel Řečkovice - Olbort Tomáš</v>
      </c>
      <c r="E20" s="309"/>
      <c r="F20" s="316"/>
      <c r="G20" s="255"/>
      <c r="H20" s="331"/>
      <c r="I20" s="255"/>
      <c r="J20" s="255"/>
      <c r="K20" s="255"/>
      <c r="L20" s="341"/>
      <c r="M20" s="311"/>
      <c r="N20" s="322"/>
      <c r="O20" s="334"/>
      <c r="P20" s="335"/>
      <c r="Q20" s="293"/>
      <c r="R20" s="311"/>
      <c r="S20" s="342"/>
      <c r="T20" s="343"/>
      <c r="U20" s="311"/>
      <c r="V20" s="255"/>
      <c r="W20" s="311"/>
      <c r="X20" s="255"/>
      <c r="Y20" s="255"/>
      <c r="Z20" s="255"/>
      <c r="AA20" s="255"/>
      <c r="AB20" s="255"/>
      <c r="AC20" s="293"/>
      <c r="AD20" s="255"/>
      <c r="AE20" s="255"/>
      <c r="AF20" s="255"/>
      <c r="AG20" s="255"/>
      <c r="AH20" s="255"/>
      <c r="AI20" s="293"/>
      <c r="AJ20" s="255"/>
    </row>
    <row r="21" spans="1:36" ht="18" customHeight="1">
      <c r="A21" s="305" t="str">
        <f>VLOOKUP(C21,Postupy!$A$3:$C$66,3,0)</f>
        <v/>
      </c>
      <c r="B21" s="306"/>
      <c r="C21" s="312">
        <v>56</v>
      </c>
      <c r="D21" s="313" t="str">
        <f>VLOOKUP(C21,Postupy!$A$3:$B$66,2,0)</f>
        <v xml:space="preserve"> - </v>
      </c>
      <c r="E21" s="314"/>
      <c r="F21" s="344"/>
      <c r="G21" s="316"/>
      <c r="H21" s="298" t="s">
        <v>1887</v>
      </c>
      <c r="I21" s="299" t="str">
        <f ca="1">IF(OR(TRIM(H22)="-",TRIM(H23)="-"),"",VLOOKUP(MIN(G22,G23),Hřiště!$B$11:$E$42,4,0))</f>
        <v/>
      </c>
      <c r="J21" s="255"/>
      <c r="K21" s="255"/>
      <c r="L21" s="341"/>
      <c r="M21" s="311"/>
      <c r="N21" s="322"/>
      <c r="O21" s="293"/>
      <c r="P21" s="333"/>
      <c r="Q21" s="311"/>
      <c r="R21" s="311"/>
      <c r="S21" s="342"/>
      <c r="T21" s="343"/>
      <c r="U21" s="311"/>
      <c r="V21" s="255"/>
      <c r="W21" s="311"/>
      <c r="X21" s="255"/>
      <c r="Y21" s="255"/>
      <c r="Z21" s="255"/>
      <c r="AA21" s="255"/>
      <c r="AB21" s="255"/>
      <c r="AC21" s="293"/>
      <c r="AD21" s="255"/>
      <c r="AE21" s="255"/>
      <c r="AF21" s="255"/>
      <c r="AG21" s="255"/>
      <c r="AH21" s="255"/>
      <c r="AI21" s="293"/>
      <c r="AJ21" s="255"/>
    </row>
    <row r="22" spans="1:36" ht="18" customHeight="1">
      <c r="A22" s="318"/>
      <c r="B22" s="319"/>
      <c r="C22" s="319">
        <f>C20+C21</f>
        <v>65</v>
      </c>
      <c r="D22" s="320"/>
      <c r="E22" s="321"/>
      <c r="F22" s="322"/>
      <c r="G22" s="307">
        <v>9</v>
      </c>
      <c r="H22" s="308" t="str">
        <f ca="1">IF(OR(TRIM(D20)="-",TRIM(D21)="-"),IF(TRIM(D20)="-",D21,D20),IF(AND(E20="",E21="")," ",IF(N(E20)=N(E21)," ",IF(N(E20)&gt;N(E21),D20,D21))))</f>
        <v>Orel Řečkovice - Olbort Tomáš</v>
      </c>
      <c r="I22" s="309"/>
      <c r="J22" s="310"/>
      <c r="K22" s="255"/>
      <c r="L22" s="341"/>
      <c r="M22" s="311"/>
      <c r="N22" s="322"/>
      <c r="O22" s="293"/>
      <c r="P22" s="333"/>
      <c r="Q22" s="311"/>
      <c r="R22" s="311"/>
      <c r="S22" s="342"/>
      <c r="T22" s="343"/>
      <c r="U22" s="311"/>
      <c r="V22" s="255"/>
      <c r="W22" s="311"/>
      <c r="X22" s="255"/>
      <c r="Y22" s="255"/>
      <c r="Z22" s="255"/>
      <c r="AA22" s="255"/>
      <c r="AB22" s="255"/>
      <c r="AC22" s="293"/>
      <c r="AD22" s="255"/>
      <c r="AE22" s="255"/>
      <c r="AF22" s="255"/>
      <c r="AG22" s="255"/>
      <c r="AH22" s="255"/>
      <c r="AI22" s="293"/>
      <c r="AJ22" s="255"/>
    </row>
    <row r="23" spans="1:36" ht="18" customHeight="1">
      <c r="A23" s="323"/>
      <c r="B23" s="324"/>
      <c r="C23" s="325"/>
      <c r="D23" s="298" t="s">
        <v>1887</v>
      </c>
      <c r="E23" s="299" t="str">
        <f>IF(OR(TRIM(D24)="-",TRIM(D25)="-"),"",VLOOKUP(MIN(C24,C25),Hřiště!$B$11:$E$42,4,0))</f>
        <v/>
      </c>
      <c r="F23" s="322"/>
      <c r="G23" s="312">
        <v>24</v>
      </c>
      <c r="H23" s="313" t="str">
        <f>IF(OR(TRIM(D24)="-",TRIM(D25)="-"),IF(TRIM(D24)="-",D25,D24),IF(AND(E24="",E25="")," ",IF(N(E24)=N(E25)," ",IF(N(E24)&gt;N(E25),D24,D25))))</f>
        <v xml:space="preserve"> - </v>
      </c>
      <c r="I23" s="314"/>
      <c r="J23" s="315"/>
      <c r="K23" s="326"/>
      <c r="L23" s="345"/>
      <c r="M23" s="311"/>
      <c r="N23" s="322"/>
      <c r="O23" s="293"/>
      <c r="P23" s="331"/>
      <c r="Q23" s="311"/>
      <c r="R23" s="311"/>
      <c r="S23" s="342"/>
      <c r="T23" s="343"/>
      <c r="U23" s="311"/>
      <c r="V23" s="255"/>
      <c r="W23" s="311"/>
      <c r="X23" s="255"/>
      <c r="Y23" s="255"/>
      <c r="Z23" s="255"/>
      <c r="AA23" s="255"/>
      <c r="AB23" s="255"/>
      <c r="AC23" s="255"/>
      <c r="AD23" s="255"/>
      <c r="AE23" s="255"/>
      <c r="AF23" s="255"/>
      <c r="AG23" s="255"/>
      <c r="AH23" s="255"/>
      <c r="AI23" s="255"/>
      <c r="AJ23" s="255"/>
    </row>
    <row r="24" spans="1:36" ht="18" customHeight="1">
      <c r="A24" s="305" t="str">
        <f>VLOOKUP(C24,Postupy!$A$3:$C$66,3,0)</f>
        <v/>
      </c>
      <c r="B24" s="306"/>
      <c r="C24" s="307">
        <v>41</v>
      </c>
      <c r="D24" s="308" t="str">
        <f>VLOOKUP(C24,Postupy!$A$3:$B$66,2,0)</f>
        <v xml:space="preserve"> - </v>
      </c>
      <c r="E24" s="309"/>
      <c r="F24" s="328"/>
      <c r="G24" s="329"/>
      <c r="H24" s="335"/>
      <c r="I24" s="346"/>
      <c r="J24" s="311"/>
      <c r="K24" s="326"/>
      <c r="L24" s="347"/>
      <c r="M24" s="311"/>
      <c r="N24" s="322"/>
      <c r="O24" s="293"/>
      <c r="P24" s="340"/>
      <c r="Q24" s="311"/>
      <c r="R24" s="311"/>
      <c r="S24" s="342"/>
      <c r="T24" s="343"/>
      <c r="U24" s="311"/>
      <c r="V24" s="255"/>
      <c r="W24" s="311"/>
      <c r="X24" s="255"/>
      <c r="Y24" s="255"/>
      <c r="Z24" s="255"/>
      <c r="AA24" s="255"/>
      <c r="AB24" s="255"/>
      <c r="AC24" s="255"/>
      <c r="AD24" s="255"/>
      <c r="AE24" s="255"/>
      <c r="AF24" s="255"/>
      <c r="AG24" s="255"/>
      <c r="AH24" s="255"/>
      <c r="AI24" s="255"/>
      <c r="AJ24" s="255"/>
    </row>
    <row r="25" spans="1:36" ht="18" customHeight="1">
      <c r="A25" s="305" t="str">
        <f>VLOOKUP(C25,Postupy!$A$3:$C$66,3,0)</f>
        <v/>
      </c>
      <c r="B25" s="306"/>
      <c r="C25" s="312">
        <v>24</v>
      </c>
      <c r="D25" s="313" t="str">
        <f>VLOOKUP(C25,Postupy!$A$3:$B$66,2,0)</f>
        <v xml:space="preserve"> - </v>
      </c>
      <c r="E25" s="314"/>
      <c r="F25" s="268"/>
      <c r="G25" s="255"/>
      <c r="H25" s="331"/>
      <c r="I25" s="311"/>
      <c r="J25" s="311"/>
      <c r="K25" s="316"/>
      <c r="L25" s="298" t="s">
        <v>1887</v>
      </c>
      <c r="M25" s="299" t="str">
        <f ca="1">IF(OR(TRIM(L26)="-",TRIM(L27)="-"),"",VLOOKUP(MIN(K26,K27),Hřiště!$B$11:$E$42,4,0))</f>
        <v/>
      </c>
      <c r="N25" s="348"/>
      <c r="O25" s="293"/>
      <c r="P25" s="345"/>
      <c r="Q25" s="311"/>
      <c r="R25" s="311"/>
      <c r="S25" s="342"/>
      <c r="T25" s="343"/>
      <c r="U25" s="311"/>
      <c r="V25" s="255"/>
      <c r="W25" s="311"/>
      <c r="X25" s="255"/>
      <c r="Y25" s="255"/>
      <c r="Z25" s="255"/>
      <c r="AA25" s="255"/>
      <c r="AB25" s="255"/>
      <c r="AC25" s="255"/>
      <c r="AD25" s="255"/>
      <c r="AE25" s="255"/>
      <c r="AF25" s="255"/>
      <c r="AG25" s="255"/>
      <c r="AH25" s="255"/>
      <c r="AI25" s="255"/>
      <c r="AJ25" s="255"/>
    </row>
    <row r="26" spans="1:36" ht="18" customHeight="1">
      <c r="A26" s="318"/>
      <c r="B26" s="319"/>
      <c r="C26" s="319">
        <f>C24+C25</f>
        <v>65</v>
      </c>
      <c r="D26" s="320"/>
      <c r="E26" s="321"/>
      <c r="F26" s="332">
        <f>C22+C26</f>
        <v>130</v>
      </c>
      <c r="G26" s="255"/>
      <c r="H26" s="333"/>
      <c r="I26" s="255"/>
      <c r="J26" s="255"/>
      <c r="K26" s="307">
        <v>9</v>
      </c>
      <c r="L26" s="308" t="str">
        <f ca="1">IF(OR(TRIM(H22)="-",TRIM(H23)="-"),IF(TRIM(H22)="-",H23,H22),IF(AND(I22="",I23="")," ",IF(N(I22)=N(I23)," ",IF(N(I22)&gt;N(I23),H22,H23))))</f>
        <v>Orel Řečkovice - Olbort Tomáš</v>
      </c>
      <c r="M26" s="309"/>
      <c r="N26" s="328"/>
      <c r="O26" s="255"/>
      <c r="P26" s="341"/>
      <c r="Q26" s="311"/>
      <c r="R26" s="311"/>
      <c r="S26" s="342"/>
      <c r="T26" s="343"/>
      <c r="U26" s="255"/>
      <c r="V26" s="255"/>
      <c r="W26" s="255"/>
      <c r="X26" s="255"/>
      <c r="Y26" s="311"/>
      <c r="Z26" s="255"/>
      <c r="AA26" s="255"/>
      <c r="AB26" s="255"/>
      <c r="AC26" s="311"/>
      <c r="AD26" s="255"/>
      <c r="AE26" s="255"/>
      <c r="AF26" s="255"/>
      <c r="AG26" s="255"/>
      <c r="AH26" s="255"/>
      <c r="AI26" s="311"/>
      <c r="AJ26" s="255"/>
    </row>
    <row r="27" spans="1:36" ht="18" customHeight="1">
      <c r="A27" s="323"/>
      <c r="B27" s="324"/>
      <c r="C27" s="325"/>
      <c r="D27" s="298" t="s">
        <v>1887</v>
      </c>
      <c r="E27" s="299" t="str">
        <f>IF(OR(TRIM(D28)="-",TRIM(D29)="-"),"",VLOOKUP(MIN(C28,C29),Hřiště!$B$11:$E$42,4,0))</f>
        <v/>
      </c>
      <c r="F27" s="255"/>
      <c r="G27" s="255"/>
      <c r="H27" s="333"/>
      <c r="I27" s="255"/>
      <c r="J27" s="255"/>
      <c r="K27" s="312">
        <v>8</v>
      </c>
      <c r="L27" s="313" t="str">
        <f ca="1">IF(OR(TRIM(H30)="-",TRIM(H31)="-"),IF(TRIM(H30)="-",H31,H30),IF(AND(I30="",I31="")," ",IF(N(I30)=N(I31)," ",IF(N(I30)&gt;N(I31),H30,H31))))</f>
        <v>Carreau Brno - Grepl Jiří</v>
      </c>
      <c r="M27" s="314"/>
      <c r="N27" s="268"/>
      <c r="O27" s="255"/>
      <c r="P27" s="341"/>
      <c r="Q27" s="311"/>
      <c r="R27" s="311"/>
      <c r="S27" s="342"/>
      <c r="T27" s="343"/>
      <c r="U27" s="255"/>
      <c r="V27" s="255"/>
      <c r="W27" s="255"/>
      <c r="X27" s="255"/>
      <c r="Y27" s="311"/>
      <c r="Z27" s="255"/>
      <c r="AA27" s="255"/>
      <c r="AB27" s="255"/>
      <c r="AC27" s="311"/>
      <c r="AD27" s="255"/>
      <c r="AE27" s="255"/>
      <c r="AF27" s="255"/>
      <c r="AG27" s="255"/>
      <c r="AH27" s="255"/>
      <c r="AI27" s="311"/>
      <c r="AJ27" s="255"/>
    </row>
    <row r="28" spans="1:36" ht="18" customHeight="1">
      <c r="A28" s="305" t="str">
        <f>VLOOKUP(C28,Postupy!$A$3:$C$66,3,0)</f>
        <v/>
      </c>
      <c r="B28" s="306"/>
      <c r="C28" s="307">
        <v>25</v>
      </c>
      <c r="D28" s="308" t="str">
        <f>VLOOKUP(C28,Postupy!$A$3:$B$66,2,0)</f>
        <v xml:space="preserve"> - </v>
      </c>
      <c r="E28" s="309"/>
      <c r="F28" s="316"/>
      <c r="G28" s="255"/>
      <c r="H28" s="331"/>
      <c r="I28" s="255"/>
      <c r="J28" s="311"/>
      <c r="K28" s="334"/>
      <c r="L28" s="335"/>
      <c r="M28" s="336"/>
      <c r="N28" s="255"/>
      <c r="O28" s="255"/>
      <c r="P28" s="341"/>
      <c r="Q28" s="311"/>
      <c r="R28" s="311"/>
      <c r="S28" s="342"/>
      <c r="T28" s="349"/>
      <c r="U28" s="311"/>
      <c r="V28" s="255"/>
      <c r="W28" s="311"/>
      <c r="X28" s="255"/>
      <c r="Y28" s="255"/>
      <c r="Z28" s="255"/>
      <c r="AA28" s="255"/>
      <c r="AB28" s="255"/>
      <c r="AC28" s="255"/>
      <c r="AD28" s="255"/>
      <c r="AE28" s="255"/>
      <c r="AF28" s="255"/>
      <c r="AG28" s="255"/>
      <c r="AH28" s="255"/>
      <c r="AI28" s="255"/>
      <c r="AJ28" s="255"/>
    </row>
    <row r="29" spans="1:36" ht="18" customHeight="1">
      <c r="A29" s="305" t="str">
        <f>VLOOKUP(C29,Postupy!$A$3:$C$66,3,0)</f>
        <v/>
      </c>
      <c r="B29" s="306"/>
      <c r="C29" s="312">
        <v>40</v>
      </c>
      <c r="D29" s="313" t="str">
        <f>VLOOKUP(C29,Postupy!$A$3:$B$66,2,0)</f>
        <v xml:space="preserve"> - </v>
      </c>
      <c r="E29" s="314"/>
      <c r="F29" s="337" t="s">
        <v>1690</v>
      </c>
      <c r="G29" s="316"/>
      <c r="H29" s="298" t="s">
        <v>1887</v>
      </c>
      <c r="I29" s="299" t="str">
        <f ca="1">IF(OR(TRIM(H30)="-",TRIM(H31)="-"),"",VLOOKUP(MIN(G30,G31),Hřiště!$B$11:$E$42,4,0))</f>
        <v/>
      </c>
      <c r="J29" s="311"/>
      <c r="K29" s="326"/>
      <c r="L29" s="333"/>
      <c r="M29" s="293"/>
      <c r="N29" s="255"/>
      <c r="O29" s="255"/>
      <c r="P29" s="341"/>
      <c r="Q29" s="311"/>
      <c r="R29" s="311"/>
      <c r="S29" s="342"/>
      <c r="T29" s="349"/>
      <c r="U29" s="311"/>
      <c r="V29" s="255"/>
      <c r="W29" s="311"/>
      <c r="X29" s="317"/>
      <c r="Y29" s="255"/>
      <c r="Z29" s="255"/>
      <c r="AA29" s="255"/>
      <c r="AB29" s="255"/>
      <c r="AC29" s="255"/>
      <c r="AD29" s="255"/>
      <c r="AE29" s="255"/>
      <c r="AF29" s="255"/>
      <c r="AG29" s="255"/>
      <c r="AH29" s="255"/>
      <c r="AI29" s="255"/>
      <c r="AJ29" s="255"/>
    </row>
    <row r="30" spans="1:36" ht="18" customHeight="1">
      <c r="A30" s="318"/>
      <c r="B30" s="319"/>
      <c r="C30" s="319">
        <f>C28+C29</f>
        <v>65</v>
      </c>
      <c r="D30" s="320"/>
      <c r="E30" s="321"/>
      <c r="F30" s="321"/>
      <c r="G30" s="307">
        <v>25</v>
      </c>
      <c r="H30" s="308" t="str">
        <f>IF(OR(TRIM(D28)="-",TRIM(D29)="-"),IF(TRIM(D28)="-",D29,D28),IF(AND(E28="",E29="")," ",IF(N(E28)=N(E29)," ",IF(N(E28)&gt;N(E29),D28,D29))))</f>
        <v xml:space="preserve"> - </v>
      </c>
      <c r="I30" s="309"/>
      <c r="J30" s="328"/>
      <c r="K30" s="326"/>
      <c r="L30" s="333"/>
      <c r="M30" s="293"/>
      <c r="N30" s="255"/>
      <c r="O30" s="255"/>
      <c r="P30" s="341"/>
      <c r="Q30" s="311"/>
      <c r="R30" s="311"/>
      <c r="S30" s="342"/>
      <c r="T30" s="349"/>
      <c r="U30" s="311"/>
      <c r="V30" s="255"/>
      <c r="W30" s="311"/>
      <c r="X30" s="317"/>
      <c r="Y30" s="255"/>
      <c r="Z30" s="255"/>
      <c r="AA30" s="255"/>
      <c r="AB30" s="255"/>
      <c r="AC30" s="255"/>
      <c r="AD30" s="255"/>
      <c r="AE30" s="255"/>
      <c r="AF30" s="255"/>
      <c r="AG30" s="255"/>
      <c r="AH30" s="255"/>
      <c r="AI30" s="255"/>
      <c r="AJ30" s="255"/>
    </row>
    <row r="31" spans="1:36" ht="18" customHeight="1">
      <c r="A31" s="323"/>
      <c r="B31" s="324"/>
      <c r="C31" s="325"/>
      <c r="D31" s="298" t="s">
        <v>1887</v>
      </c>
      <c r="E31" s="299" t="str">
        <f ca="1">IF(OR(TRIM(D32)="-",TRIM(D33)="-"),"",VLOOKUP(MIN(C32,C33),Hřiště!$B$11:$E$42,4,0))</f>
        <v/>
      </c>
      <c r="F31" s="269"/>
      <c r="G31" s="312">
        <v>8</v>
      </c>
      <c r="H31" s="313" t="str">
        <f ca="1">IF(OR(TRIM(D32)="-",TRIM(D33)="-"),IF(TRIM(D32)="-",D33,D32),IF(AND(E32="",E33="")," ",IF(N(E32)=N(E33)," ",IF(N(E32)&gt;N(E33),D32,D33))))</f>
        <v>Carreau Brno - Grepl Jiří</v>
      </c>
      <c r="I31" s="314"/>
      <c r="J31" s="268"/>
      <c r="K31" s="255"/>
      <c r="L31" s="333"/>
      <c r="M31" s="255"/>
      <c r="N31" s="255"/>
      <c r="O31" s="255"/>
      <c r="P31" s="341"/>
      <c r="Q31" s="311"/>
      <c r="R31" s="311"/>
      <c r="S31" s="342"/>
      <c r="T31" s="349"/>
      <c r="U31" s="311"/>
      <c r="V31" s="255"/>
      <c r="W31" s="311"/>
      <c r="X31" s="317"/>
      <c r="Y31" s="255"/>
      <c r="Z31" s="255"/>
      <c r="AA31" s="255"/>
      <c r="AB31" s="255"/>
      <c r="AC31" s="255"/>
      <c r="AD31" s="255"/>
      <c r="AE31" s="255"/>
      <c r="AF31" s="255"/>
      <c r="AG31" s="255"/>
      <c r="AH31" s="255"/>
      <c r="AI31" s="255"/>
      <c r="AJ31" s="255"/>
    </row>
    <row r="32" spans="1:36" ht="18" customHeight="1">
      <c r="A32" s="305" t="str">
        <f>VLOOKUP(C32,Postupy!$A$3:$C$66,3,0)</f>
        <v/>
      </c>
      <c r="B32" s="306"/>
      <c r="C32" s="307">
        <v>57</v>
      </c>
      <c r="D32" s="308" t="str">
        <f>VLOOKUP(C32,Postupy!$A$3:$B$66,2,0)</f>
        <v xml:space="preserve"> - </v>
      </c>
      <c r="E32" s="309"/>
      <c r="F32" s="328"/>
      <c r="G32" s="334"/>
      <c r="H32" s="335"/>
      <c r="I32" s="336"/>
      <c r="J32" s="255"/>
      <c r="K32" s="255"/>
      <c r="L32" s="331"/>
      <c r="M32" s="255"/>
      <c r="N32" s="255"/>
      <c r="O32" s="255"/>
      <c r="P32" s="341"/>
      <c r="Q32" s="311"/>
      <c r="R32" s="311"/>
      <c r="S32" s="342"/>
      <c r="T32" s="349"/>
      <c r="U32" s="311"/>
      <c r="V32" s="255"/>
      <c r="W32" s="311"/>
      <c r="X32" s="317"/>
      <c r="Y32" s="255"/>
      <c r="Z32" s="255"/>
      <c r="AA32" s="255"/>
      <c r="AB32" s="255"/>
      <c r="AC32" s="255"/>
      <c r="AD32" s="255"/>
      <c r="AE32" s="255"/>
      <c r="AF32" s="255"/>
      <c r="AG32" s="255"/>
      <c r="AH32" s="255"/>
      <c r="AI32" s="255"/>
      <c r="AJ32" s="255"/>
    </row>
    <row r="33" spans="1:36" ht="18" customHeight="1">
      <c r="A33" s="305" t="str">
        <f>VLOOKUP(C33,Postupy!$A$3:$C$66,3,0)</f>
        <v>H1</v>
      </c>
      <c r="B33" s="306"/>
      <c r="C33" s="312">
        <v>8</v>
      </c>
      <c r="D33" s="313" t="str">
        <f ca="1">VLOOKUP(C33,Postupy!$A$3:$B$66,2,0)</f>
        <v>Carreau Brno - Grepl Jiří</v>
      </c>
      <c r="E33" s="314"/>
      <c r="F33" s="339"/>
      <c r="G33" s="255"/>
      <c r="H33" s="331"/>
      <c r="I33" s="255"/>
      <c r="J33" s="255"/>
      <c r="K33" s="255"/>
      <c r="L33" s="340"/>
      <c r="M33" s="255"/>
      <c r="N33" s="255"/>
      <c r="O33" s="255"/>
      <c r="P33" s="341"/>
      <c r="Q33" s="311"/>
      <c r="R33" s="311"/>
      <c r="S33" s="342"/>
      <c r="T33" s="298" t="s">
        <v>1887</v>
      </c>
      <c r="U33" s="299" t="str">
        <f ca="1">IF(OR(TRIM(T34)="-",TRIM(T35)="-"),"",VLOOKUP(MIN(S34,S35),Hřiště!$B$11:$E$42,4,0))</f>
        <v/>
      </c>
      <c r="V33" s="255"/>
      <c r="W33" s="255"/>
      <c r="X33" s="255"/>
      <c r="Y33" s="255"/>
      <c r="Z33" s="255"/>
      <c r="AA33" s="255"/>
      <c r="AB33" s="255"/>
      <c r="AC33" s="255"/>
      <c r="AD33" s="255"/>
      <c r="AE33" s="255"/>
      <c r="AF33" s="255"/>
      <c r="AG33" s="255"/>
      <c r="AH33" s="255"/>
      <c r="AI33" s="255"/>
      <c r="AJ33" s="255"/>
    </row>
    <row r="34" spans="1:36" ht="18" customHeight="1">
      <c r="A34" s="318"/>
      <c r="B34" s="319"/>
      <c r="C34" s="319">
        <f>C32+C33</f>
        <v>65</v>
      </c>
      <c r="D34" s="320"/>
      <c r="E34" s="321"/>
      <c r="F34" s="332">
        <f>C30+C34</f>
        <v>130</v>
      </c>
      <c r="G34" s="255"/>
      <c r="H34" s="333"/>
      <c r="I34" s="255"/>
      <c r="J34" s="255"/>
      <c r="K34" s="255"/>
      <c r="L34" s="350"/>
      <c r="M34" s="255"/>
      <c r="N34" s="255"/>
      <c r="O34" s="255"/>
      <c r="P34" s="350"/>
      <c r="Q34" s="255"/>
      <c r="R34" s="255"/>
      <c r="S34" s="351">
        <v>1</v>
      </c>
      <c r="T34" s="308" t="str">
        <f ca="1">IF(OR(TRIM(P18)="-",TRIM(P19)="-"),IF(TRIM(P18)="-",P19,P18),IF(AND(Q18="",Q19="")," ",IF(N(Q18)=N(Q19)," ",IF(N(Q18)&gt;N(Q19),P18,P19))))</f>
        <v xml:space="preserve"> </v>
      </c>
      <c r="U34" s="309"/>
      <c r="V34" s="311"/>
      <c r="W34" s="255"/>
      <c r="X34" s="255"/>
      <c r="Y34" s="255"/>
      <c r="Z34" s="255"/>
      <c r="AA34" s="255"/>
      <c r="AB34" s="255"/>
      <c r="AC34" s="255"/>
      <c r="AD34" s="255"/>
      <c r="AE34" s="255"/>
      <c r="AF34" s="255"/>
      <c r="AG34" s="255"/>
      <c r="AH34" s="255"/>
      <c r="AI34" s="255"/>
      <c r="AJ34" s="255"/>
    </row>
    <row r="35" spans="1:36" ht="18" customHeight="1">
      <c r="A35" s="323"/>
      <c r="B35" s="324"/>
      <c r="C35" s="325"/>
      <c r="D35" s="298" t="s">
        <v>1887</v>
      </c>
      <c r="E35" s="299" t="str">
        <f ca="1">IF(OR(TRIM(D36)="-",TRIM(D37)="-"),"",VLOOKUP(MIN(C36,C37),Hřiště!$B$11:$E$42,4,0))</f>
        <v/>
      </c>
      <c r="F35" s="321"/>
      <c r="G35" s="255"/>
      <c r="H35" s="333"/>
      <c r="I35" s="255"/>
      <c r="J35" s="255"/>
      <c r="K35" s="255"/>
      <c r="L35" s="350"/>
      <c r="M35" s="255"/>
      <c r="N35" s="255"/>
      <c r="O35" s="255"/>
      <c r="P35" s="350"/>
      <c r="Q35" s="255"/>
      <c r="R35" s="255"/>
      <c r="S35" s="312">
        <v>4</v>
      </c>
      <c r="T35" s="313" t="str">
        <f ca="1">IF(OR(TRIM(P50)="-",TRIM(P51)="-"),IF(TRIM(P50)="-",P51,P50),IF(AND(Q50="",Q51="")," ",IF(N(Q50)=N(Q51)," ",IF(N(Q50)&gt;N(Q51),P50,P51))))</f>
        <v xml:space="preserve"> </v>
      </c>
      <c r="U35" s="314"/>
      <c r="V35" s="315"/>
      <c r="W35" s="342"/>
      <c r="X35" s="255"/>
      <c r="Y35" s="255"/>
      <c r="Z35" s="255"/>
      <c r="AA35" s="255"/>
      <c r="AB35" s="255"/>
      <c r="AC35" s="255"/>
      <c r="AD35" s="255"/>
      <c r="AE35" s="255"/>
      <c r="AF35" s="255"/>
      <c r="AG35" s="255"/>
      <c r="AH35" s="255"/>
      <c r="AI35" s="255"/>
      <c r="AJ35" s="255"/>
    </row>
    <row r="36" spans="1:36" ht="18" customHeight="1">
      <c r="A36" s="305" t="str">
        <f>VLOOKUP(C36,Postupy!$A$3:$C$66,3,0)</f>
        <v>E1</v>
      </c>
      <c r="B36" s="306"/>
      <c r="C36" s="307">
        <v>5</v>
      </c>
      <c r="D36" s="308" t="str">
        <f ca="1">VLOOKUP(C36,Postupy!$A$3:$B$66,2,0)</f>
        <v>SKP Kulová osma - Krejčín Leoš</v>
      </c>
      <c r="E36" s="309"/>
      <c r="F36" s="316"/>
      <c r="G36" s="255"/>
      <c r="H36" s="331"/>
      <c r="I36" s="255"/>
      <c r="J36" s="255"/>
      <c r="K36" s="255"/>
      <c r="L36" s="350"/>
      <c r="M36" s="255"/>
      <c r="N36" s="255"/>
      <c r="O36" s="255"/>
      <c r="P36" s="341"/>
      <c r="Q36" s="311"/>
      <c r="R36" s="311"/>
      <c r="S36" s="334"/>
      <c r="T36" s="352"/>
      <c r="U36" s="293"/>
      <c r="V36" s="311"/>
      <c r="W36" s="342"/>
      <c r="X36" s="255"/>
      <c r="Y36" s="255"/>
      <c r="Z36" s="255"/>
      <c r="AA36" s="255"/>
      <c r="AB36" s="255"/>
      <c r="AC36" s="255"/>
      <c r="AD36" s="255"/>
      <c r="AE36" s="255"/>
      <c r="AF36" s="255"/>
      <c r="AG36" s="255"/>
      <c r="AH36" s="255"/>
      <c r="AI36" s="255"/>
      <c r="AJ36" s="255"/>
    </row>
    <row r="37" spans="1:36" ht="18" customHeight="1">
      <c r="A37" s="305" t="str">
        <f>VLOOKUP(C37,Postupy!$A$3:$C$66,3,0)</f>
        <v/>
      </c>
      <c r="B37" s="306"/>
      <c r="C37" s="312">
        <v>60</v>
      </c>
      <c r="D37" s="313" t="str">
        <f>VLOOKUP(C37,Postupy!$A$3:$B$66,2,0)</f>
        <v xml:space="preserve"> - </v>
      </c>
      <c r="E37" s="314"/>
      <c r="F37" s="344"/>
      <c r="G37" s="316"/>
      <c r="H37" s="298" t="s">
        <v>1887</v>
      </c>
      <c r="I37" s="299" t="str">
        <f ca="1">IF(OR(TRIM(H38)="-",TRIM(H39)="-"),"",VLOOKUP(MIN(G38,G39),Hřiště!$B$11:$E$42,4,0))</f>
        <v/>
      </c>
      <c r="J37" s="255"/>
      <c r="K37" s="255"/>
      <c r="L37" s="350"/>
      <c r="M37" s="255"/>
      <c r="N37" s="255"/>
      <c r="O37" s="255"/>
      <c r="P37" s="341"/>
      <c r="Q37" s="311"/>
      <c r="R37" s="311"/>
      <c r="S37" s="326"/>
      <c r="T37" s="317"/>
      <c r="U37" s="293"/>
      <c r="V37" s="311"/>
      <c r="W37" s="342"/>
      <c r="X37" s="317"/>
      <c r="Y37" s="255"/>
      <c r="Z37" s="255"/>
      <c r="AA37" s="255"/>
      <c r="AB37" s="255"/>
      <c r="AC37" s="255"/>
      <c r="AD37" s="255"/>
      <c r="AE37" s="255"/>
      <c r="AF37" s="255"/>
      <c r="AG37" s="255"/>
      <c r="AH37" s="255"/>
      <c r="AI37" s="255"/>
      <c r="AJ37" s="255"/>
    </row>
    <row r="38" spans="1:36" ht="18" customHeight="1">
      <c r="A38" s="318"/>
      <c r="B38" s="319"/>
      <c r="C38" s="319">
        <f>C36+C37</f>
        <v>65</v>
      </c>
      <c r="D38" s="320"/>
      <c r="E38" s="321"/>
      <c r="F38" s="322"/>
      <c r="G38" s="307">
        <v>5</v>
      </c>
      <c r="H38" s="308" t="str">
        <f ca="1">IF(OR(TRIM(D36)="-",TRIM(D37)="-"),IF(TRIM(D36)="-",D37,D36),IF(AND(E36="",E37="")," ",IF(N(E36)=N(E37)," ",IF(N(E36)&gt;N(E37),D36,D37))))</f>
        <v>SKP Kulová osma - Krejčín Leoš</v>
      </c>
      <c r="I38" s="309"/>
      <c r="J38" s="310"/>
      <c r="K38" s="255"/>
      <c r="L38" s="350"/>
      <c r="M38" s="255"/>
      <c r="N38" s="255"/>
      <c r="O38" s="255"/>
      <c r="P38" s="341"/>
      <c r="Q38" s="311"/>
      <c r="R38" s="311"/>
      <c r="S38" s="326"/>
      <c r="T38" s="317"/>
      <c r="U38" s="293"/>
      <c r="V38" s="311"/>
      <c r="W38" s="342"/>
      <c r="X38" s="255"/>
      <c r="Y38" s="255"/>
      <c r="Z38" s="255"/>
      <c r="AA38" s="255"/>
      <c r="AB38" s="255"/>
      <c r="AC38" s="255"/>
      <c r="AD38" s="255"/>
      <c r="AE38" s="255"/>
      <c r="AF38" s="255"/>
      <c r="AG38" s="255"/>
      <c r="AH38" s="255"/>
      <c r="AI38" s="255"/>
      <c r="AJ38" s="255"/>
    </row>
    <row r="39" spans="1:36" ht="18" customHeight="1">
      <c r="A39" s="323"/>
      <c r="B39" s="324"/>
      <c r="C39" s="325"/>
      <c r="D39" s="298" t="s">
        <v>1887</v>
      </c>
      <c r="E39" s="299" t="str">
        <f>IF(OR(TRIM(D40)="-",TRIM(D41)="-"),"",VLOOKUP(MIN(C40,C41),Hřiště!$B$11:$E$42,4,0))</f>
        <v/>
      </c>
      <c r="F39" s="322"/>
      <c r="G39" s="312">
        <v>28</v>
      </c>
      <c r="H39" s="313" t="str">
        <f>IF(OR(TRIM(D40)="-",TRIM(D41)="-"),IF(TRIM(D40)="-",D41,D40),IF(AND(E40="",E41="")," ",IF(N(E40)=N(E41)," ",IF(N(E40)&gt;N(E41),D40,D41))))</f>
        <v xml:space="preserve"> - </v>
      </c>
      <c r="I39" s="314"/>
      <c r="J39" s="315"/>
      <c r="K39" s="326"/>
      <c r="L39" s="320"/>
      <c r="M39" s="293"/>
      <c r="N39" s="255"/>
      <c r="O39" s="255"/>
      <c r="P39" s="341"/>
      <c r="Q39" s="311"/>
      <c r="R39" s="311"/>
      <c r="S39" s="326"/>
      <c r="T39" s="317"/>
      <c r="U39" s="293"/>
      <c r="V39" s="311"/>
      <c r="W39" s="342"/>
      <c r="X39" s="255"/>
      <c r="Y39" s="255"/>
      <c r="Z39" s="255"/>
      <c r="AA39" s="255"/>
      <c r="AB39" s="255"/>
      <c r="AC39" s="255"/>
      <c r="AD39" s="255"/>
      <c r="AE39" s="255"/>
      <c r="AF39" s="255"/>
      <c r="AG39" s="255"/>
      <c r="AH39" s="255"/>
      <c r="AI39" s="255"/>
      <c r="AJ39" s="255"/>
    </row>
    <row r="40" spans="1:36" ht="18" customHeight="1">
      <c r="A40" s="305" t="str">
        <f>VLOOKUP(C40,Postupy!$A$3:$C$66,3,0)</f>
        <v/>
      </c>
      <c r="B40" s="306"/>
      <c r="C40" s="307">
        <v>37</v>
      </c>
      <c r="D40" s="308" t="str">
        <f>VLOOKUP(C40,Postupy!$A$3:$B$66,2,0)</f>
        <v xml:space="preserve"> - </v>
      </c>
      <c r="E40" s="309"/>
      <c r="F40" s="328"/>
      <c r="G40" s="334"/>
      <c r="H40" s="335"/>
      <c r="I40" s="336"/>
      <c r="J40" s="311"/>
      <c r="K40" s="326"/>
      <c r="L40" s="347"/>
      <c r="M40" s="293"/>
      <c r="N40" s="255"/>
      <c r="O40" s="255"/>
      <c r="P40" s="341"/>
      <c r="Q40" s="311"/>
      <c r="R40" s="311"/>
      <c r="S40" s="326"/>
      <c r="T40" s="255"/>
      <c r="U40" s="293"/>
      <c r="V40" s="311"/>
      <c r="W40" s="342"/>
      <c r="X40" s="255"/>
      <c r="Y40" s="255"/>
      <c r="Z40" s="255"/>
      <c r="AA40" s="255"/>
      <c r="AB40" s="255"/>
      <c r="AC40" s="255"/>
      <c r="AD40" s="255"/>
      <c r="AE40" s="255"/>
      <c r="AF40" s="255"/>
      <c r="AG40" s="255"/>
      <c r="AH40" s="255"/>
      <c r="AI40" s="255"/>
      <c r="AJ40" s="255"/>
    </row>
    <row r="41" spans="1:36" ht="18" customHeight="1">
      <c r="A41" s="305" t="str">
        <f>VLOOKUP(C41,Postupy!$A$3:$C$66,3,0)</f>
        <v/>
      </c>
      <c r="B41" s="306"/>
      <c r="C41" s="312">
        <v>28</v>
      </c>
      <c r="D41" s="313" t="str">
        <f>VLOOKUP(C41,Postupy!$A$3:$B$66,2,0)</f>
        <v xml:space="preserve"> - </v>
      </c>
      <c r="E41" s="314"/>
      <c r="F41" s="268"/>
      <c r="G41" s="255"/>
      <c r="H41" s="331"/>
      <c r="I41" s="311"/>
      <c r="J41" s="311"/>
      <c r="K41" s="316"/>
      <c r="L41" s="298" t="s">
        <v>1887</v>
      </c>
      <c r="M41" s="299" t="str">
        <f ca="1">IF(OR(TRIM(L42)="-",TRIM(L43)="-"),"",VLOOKUP(MIN(K42,K43),Hřiště!$B$11:$E$42,4,0))</f>
        <v/>
      </c>
      <c r="N41" s="269"/>
      <c r="O41" s="255"/>
      <c r="P41" s="341"/>
      <c r="Q41" s="311"/>
      <c r="R41" s="311"/>
      <c r="S41" s="326"/>
      <c r="T41" s="255"/>
      <c r="U41" s="293"/>
      <c r="V41" s="311"/>
      <c r="W41" s="342"/>
      <c r="X41" s="255"/>
      <c r="Y41" s="255"/>
      <c r="Z41" s="255"/>
      <c r="AA41" s="255"/>
      <c r="AB41" s="255"/>
      <c r="AC41" s="255"/>
      <c r="AD41" s="255"/>
      <c r="AE41" s="255"/>
      <c r="AF41" s="255"/>
      <c r="AG41" s="255"/>
      <c r="AH41" s="255"/>
      <c r="AI41" s="255"/>
      <c r="AJ41" s="255"/>
    </row>
    <row r="42" spans="1:36" ht="18" customHeight="1">
      <c r="A42" s="318"/>
      <c r="B42" s="319"/>
      <c r="C42" s="319">
        <f>C40+C41</f>
        <v>65</v>
      </c>
      <c r="D42" s="320"/>
      <c r="E42" s="321"/>
      <c r="F42" s="332">
        <f>C38+C42</f>
        <v>130</v>
      </c>
      <c r="G42" s="255"/>
      <c r="H42" s="333"/>
      <c r="I42" s="255"/>
      <c r="J42" s="255"/>
      <c r="K42" s="307">
        <v>5</v>
      </c>
      <c r="L42" s="308" t="str">
        <f ca="1">IF(OR(TRIM(H38)="-",TRIM(H39)="-"),IF(TRIM(H38)="-",H39,H38),IF(AND(I38="",I39="")," ",IF(N(I38)=N(I39)," ",IF(N(I38)&gt;N(I39),H38,H39))))</f>
        <v>SKP Kulová osma - Krejčín Leoš</v>
      </c>
      <c r="M42" s="309"/>
      <c r="N42" s="310"/>
      <c r="O42" s="293"/>
      <c r="P42" s="341"/>
      <c r="Q42" s="311"/>
      <c r="R42" s="311"/>
      <c r="S42" s="326"/>
      <c r="T42" s="293"/>
      <c r="U42" s="293"/>
      <c r="V42" s="311"/>
      <c r="W42" s="342"/>
      <c r="X42" s="255"/>
      <c r="Y42" s="255"/>
      <c r="Z42" s="255"/>
      <c r="AA42" s="255"/>
      <c r="AB42" s="311"/>
      <c r="AC42" s="255"/>
      <c r="AD42" s="255"/>
      <c r="AE42" s="255"/>
      <c r="AF42" s="255"/>
      <c r="AG42" s="311"/>
      <c r="AH42" s="311"/>
      <c r="AI42" s="255"/>
      <c r="AJ42" s="255"/>
    </row>
    <row r="43" spans="1:36" ht="18" customHeight="1">
      <c r="A43" s="323"/>
      <c r="B43" s="324"/>
      <c r="C43" s="325"/>
      <c r="D43" s="298" t="s">
        <v>1887</v>
      </c>
      <c r="E43" s="299" t="str">
        <f>IF(OR(TRIM(D44)="-",TRIM(D45)="-"),"",VLOOKUP(MIN(C44,C45),Hřiště!$B$11:$E$42,4,0))</f>
        <v/>
      </c>
      <c r="F43" s="255"/>
      <c r="G43" s="255"/>
      <c r="H43" s="333"/>
      <c r="I43" s="255"/>
      <c r="J43" s="255"/>
      <c r="K43" s="312">
        <v>12</v>
      </c>
      <c r="L43" s="313" t="str">
        <f ca="1">IF(OR(TRIM(H46)="-",TRIM(H47)="-"),IF(TRIM(H46)="-",H47,H46),IF(AND(I46="",I47="")," ",IF(N(I46)=N(I47)," ",IF(N(I46)&gt;N(I47),H46,H47))))</f>
        <v>SKP Hranice VI-Valšovice - Jakeš Zbyněk</v>
      </c>
      <c r="M43" s="314"/>
      <c r="N43" s="315"/>
      <c r="O43" s="326"/>
      <c r="P43" s="341"/>
      <c r="Q43" s="311"/>
      <c r="R43" s="311"/>
      <c r="S43" s="326"/>
      <c r="T43" s="293"/>
      <c r="U43" s="293"/>
      <c r="V43" s="311"/>
      <c r="W43" s="342"/>
      <c r="X43" s="255"/>
      <c r="Y43" s="311"/>
      <c r="Z43" s="255"/>
      <c r="AA43" s="255"/>
      <c r="AB43" s="311"/>
      <c r="AC43" s="255"/>
      <c r="AD43" s="255"/>
      <c r="AE43" s="311"/>
      <c r="AF43" s="311"/>
      <c r="AG43" s="311"/>
      <c r="AH43" s="311"/>
      <c r="AI43" s="255"/>
      <c r="AJ43" s="255"/>
    </row>
    <row r="44" spans="1:36" ht="18" customHeight="1">
      <c r="A44" s="305" t="str">
        <f>VLOOKUP(C44,Postupy!$A$3:$C$66,3,0)</f>
        <v/>
      </c>
      <c r="B44" s="306"/>
      <c r="C44" s="307">
        <v>21</v>
      </c>
      <c r="D44" s="308" t="str">
        <f>VLOOKUP(C44,Postupy!$A$3:$B$66,2,0)</f>
        <v xml:space="preserve"> - </v>
      </c>
      <c r="E44" s="309"/>
      <c r="F44" s="316"/>
      <c r="G44" s="255"/>
      <c r="H44" s="331"/>
      <c r="I44" s="255"/>
      <c r="J44" s="311"/>
      <c r="K44" s="334"/>
      <c r="L44" s="335"/>
      <c r="M44" s="336"/>
      <c r="N44" s="255"/>
      <c r="O44" s="326"/>
      <c r="P44" s="341"/>
      <c r="Q44" s="311"/>
      <c r="R44" s="311"/>
      <c r="S44" s="326"/>
      <c r="T44" s="293"/>
      <c r="U44" s="293"/>
      <c r="V44" s="311"/>
      <c r="W44" s="342"/>
      <c r="X44" s="255"/>
      <c r="Y44" s="255"/>
      <c r="Z44" s="255"/>
      <c r="AA44" s="255"/>
      <c r="AB44" s="255"/>
      <c r="AC44" s="255"/>
      <c r="AD44" s="255"/>
      <c r="AE44" s="255"/>
      <c r="AF44" s="255"/>
      <c r="AG44" s="255"/>
      <c r="AH44" s="255"/>
      <c r="AI44" s="255"/>
      <c r="AJ44" s="255"/>
    </row>
    <row r="45" spans="1:36" ht="18" customHeight="1">
      <c r="A45" s="305" t="str">
        <f>VLOOKUP(C45,Postupy!$A$3:$C$66,3,0)</f>
        <v/>
      </c>
      <c r="B45" s="306"/>
      <c r="C45" s="312">
        <v>44</v>
      </c>
      <c r="D45" s="313" t="str">
        <f>VLOOKUP(C45,Postupy!$A$3:$B$66,2,0)</f>
        <v xml:space="preserve"> - </v>
      </c>
      <c r="E45" s="314"/>
      <c r="F45" s="337" t="s">
        <v>1690</v>
      </c>
      <c r="G45" s="316"/>
      <c r="H45" s="298" t="s">
        <v>1887</v>
      </c>
      <c r="I45" s="299" t="str">
        <f ca="1">IF(OR(TRIM(H46)="-",TRIM(H47)="-"),"",VLOOKUP(MIN(G46,G47),Hřiště!$B$11:$E$42,4,0))</f>
        <v/>
      </c>
      <c r="J45" s="311"/>
      <c r="K45" s="326"/>
      <c r="L45" s="333"/>
      <c r="M45" s="293"/>
      <c r="N45" s="255"/>
      <c r="O45" s="326"/>
      <c r="P45" s="341"/>
      <c r="Q45" s="311"/>
      <c r="R45" s="311"/>
      <c r="S45" s="326"/>
      <c r="T45" s="293"/>
      <c r="U45" s="293"/>
      <c r="V45" s="311"/>
      <c r="W45" s="342"/>
      <c r="X45" s="255"/>
      <c r="Y45" s="255"/>
      <c r="Z45" s="255"/>
      <c r="AA45" s="255"/>
      <c r="AB45" s="255"/>
      <c r="AC45" s="255"/>
      <c r="AD45" s="255"/>
      <c r="AE45" s="255"/>
      <c r="AF45" s="255"/>
      <c r="AG45" s="255"/>
      <c r="AH45" s="255"/>
      <c r="AI45" s="255"/>
      <c r="AJ45" s="255"/>
    </row>
    <row r="46" spans="1:36" ht="18" customHeight="1">
      <c r="A46" s="318"/>
      <c r="B46" s="319"/>
      <c r="C46" s="319">
        <f>C44+C45</f>
        <v>65</v>
      </c>
      <c r="D46" s="320"/>
      <c r="E46" s="321"/>
      <c r="F46" s="322"/>
      <c r="G46" s="307">
        <v>21</v>
      </c>
      <c r="H46" s="308" t="str">
        <f>IF(OR(TRIM(D44)="-",TRIM(D45)="-"),IF(TRIM(D44)="-",D45,D44),IF(AND(E44="",E45="")," ",IF(N(E44)=N(E45)," ",IF(N(E44)&gt;N(E45),D44,D45))))</f>
        <v xml:space="preserve"> - </v>
      </c>
      <c r="I46" s="309"/>
      <c r="J46" s="328"/>
      <c r="K46" s="326"/>
      <c r="L46" s="333"/>
      <c r="M46" s="293"/>
      <c r="N46" s="255"/>
      <c r="O46" s="326"/>
      <c r="P46" s="341"/>
      <c r="Q46" s="311"/>
      <c r="R46" s="311"/>
      <c r="S46" s="326"/>
      <c r="T46" s="293"/>
      <c r="U46" s="293"/>
      <c r="V46" s="311"/>
      <c r="W46" s="342"/>
      <c r="X46" s="255"/>
      <c r="Y46" s="255"/>
      <c r="Z46" s="255"/>
      <c r="AA46" s="255"/>
      <c r="AB46" s="255"/>
      <c r="AC46" s="255"/>
      <c r="AD46" s="255"/>
      <c r="AE46" s="255"/>
      <c r="AF46" s="255"/>
      <c r="AG46" s="255"/>
      <c r="AH46" s="255"/>
      <c r="AI46" s="255"/>
      <c r="AJ46" s="255"/>
    </row>
    <row r="47" spans="1:36" ht="18" customHeight="1">
      <c r="A47" s="323"/>
      <c r="B47" s="324"/>
      <c r="C47" s="325"/>
      <c r="D47" s="298" t="s">
        <v>1887</v>
      </c>
      <c r="E47" s="299" t="str">
        <f ca="1">IF(OR(TRIM(D48)="-",TRIM(D49)="-"),"",VLOOKUP(MIN(C48,C49),Hřiště!$B$11:$E$42,4,0))</f>
        <v/>
      </c>
      <c r="F47" s="269"/>
      <c r="G47" s="312">
        <v>12</v>
      </c>
      <c r="H47" s="313" t="str">
        <f ca="1">IF(OR(TRIM(D48)="-",TRIM(D49)="-"),IF(TRIM(D48)="-",D49,D48),IF(AND(E48="",E49="")," ",IF(N(E48)=N(E49)," ",IF(N(E48)&gt;N(E49),D48,D49))))</f>
        <v>SKP Hranice VI-Valšovice - Jakeš Zbyněk</v>
      </c>
      <c r="I47" s="314"/>
      <c r="J47" s="268"/>
      <c r="K47" s="255"/>
      <c r="L47" s="333"/>
      <c r="M47" s="255"/>
      <c r="N47" s="255"/>
      <c r="O47" s="326"/>
      <c r="P47" s="341"/>
      <c r="Q47" s="311"/>
      <c r="R47" s="311"/>
      <c r="S47" s="326"/>
      <c r="T47" s="293"/>
      <c r="U47" s="293"/>
      <c r="V47" s="311"/>
      <c r="W47" s="342"/>
      <c r="X47" s="255"/>
      <c r="Y47" s="255"/>
      <c r="Z47" s="255"/>
      <c r="AA47" s="255"/>
      <c r="AB47" s="255"/>
      <c r="AC47" s="255"/>
      <c r="AD47" s="255"/>
      <c r="AE47" s="255"/>
      <c r="AF47" s="255"/>
      <c r="AG47" s="255"/>
      <c r="AH47" s="255"/>
      <c r="AI47" s="255"/>
      <c r="AJ47" s="255"/>
    </row>
    <row r="48" spans="1:36" ht="18" customHeight="1">
      <c r="A48" s="305" t="str">
        <f>VLOOKUP(C48,Postupy!$A$3:$C$66,3,0)</f>
        <v/>
      </c>
      <c r="B48" s="306"/>
      <c r="C48" s="307">
        <v>53</v>
      </c>
      <c r="D48" s="308" t="str">
        <f>VLOOKUP(C48,Postupy!$A$3:$B$66,2,0)</f>
        <v xml:space="preserve"> - </v>
      </c>
      <c r="E48" s="309"/>
      <c r="F48" s="338"/>
      <c r="G48" s="334"/>
      <c r="H48" s="335"/>
      <c r="I48" s="336"/>
      <c r="J48" s="255"/>
      <c r="K48" s="255"/>
      <c r="L48" s="331"/>
      <c r="M48" s="255"/>
      <c r="N48" s="255"/>
      <c r="O48" s="326"/>
      <c r="P48" s="347"/>
      <c r="Q48" s="311"/>
      <c r="R48" s="311"/>
      <c r="S48" s="326"/>
      <c r="T48" s="293"/>
      <c r="U48" s="293"/>
      <c r="V48" s="311"/>
      <c r="W48" s="342"/>
      <c r="X48" s="255"/>
      <c r="Y48" s="255"/>
      <c r="Z48" s="255"/>
      <c r="AA48" s="255"/>
      <c r="AB48" s="255"/>
      <c r="AC48" s="255"/>
      <c r="AD48" s="255"/>
      <c r="AE48" s="255"/>
      <c r="AF48" s="255"/>
      <c r="AG48" s="255"/>
      <c r="AH48" s="255"/>
      <c r="AI48" s="255"/>
      <c r="AJ48" s="255"/>
    </row>
    <row r="49" spans="1:36" ht="18" customHeight="1">
      <c r="A49" s="305" t="str">
        <f>VLOOKUP(C49,Postupy!$A$3:$C$66,3,0)</f>
        <v>F2</v>
      </c>
      <c r="B49" s="306"/>
      <c r="C49" s="312">
        <v>12</v>
      </c>
      <c r="D49" s="313" t="str">
        <f ca="1">VLOOKUP(C49,Postupy!$A$3:$B$66,2,0)</f>
        <v>SKP Hranice VI-Valšovice - Jakeš Zbyněk</v>
      </c>
      <c r="E49" s="314"/>
      <c r="F49" s="339"/>
      <c r="G49" s="255"/>
      <c r="H49" s="331"/>
      <c r="I49" s="255"/>
      <c r="J49" s="255"/>
      <c r="K49" s="255"/>
      <c r="L49" s="340"/>
      <c r="M49" s="311"/>
      <c r="N49" s="311"/>
      <c r="O49" s="326"/>
      <c r="P49" s="298" t="s">
        <v>1887</v>
      </c>
      <c r="Q49" s="299" t="str">
        <f ca="1">IF(OR(TRIM(P50)="-",TRIM(P51)="-"),"",VLOOKUP(MIN(O50,O51),Hřiště!$B$11:$E$42,4,0))</f>
        <v/>
      </c>
      <c r="R49" s="311"/>
      <c r="S49" s="326"/>
      <c r="T49" s="293"/>
      <c r="U49" s="293"/>
      <c r="V49" s="311"/>
      <c r="W49" s="342"/>
      <c r="X49" s="255"/>
      <c r="Y49" s="255"/>
      <c r="Z49" s="255"/>
      <c r="AA49" s="255"/>
      <c r="AB49" s="255"/>
      <c r="AC49" s="255"/>
      <c r="AD49" s="255"/>
      <c r="AE49" s="255"/>
      <c r="AF49" s="255"/>
      <c r="AG49" s="255"/>
      <c r="AH49" s="255"/>
      <c r="AI49" s="255"/>
      <c r="AJ49" s="255"/>
    </row>
    <row r="50" spans="1:36" ht="18" customHeight="1">
      <c r="A50" s="318"/>
      <c r="B50" s="319"/>
      <c r="C50" s="319">
        <f>C48+C49</f>
        <v>65</v>
      </c>
      <c r="D50" s="320"/>
      <c r="E50" s="321"/>
      <c r="F50" s="332">
        <f>C46+C50</f>
        <v>130</v>
      </c>
      <c r="G50" s="255"/>
      <c r="H50" s="333"/>
      <c r="I50" s="255"/>
      <c r="J50" s="255"/>
      <c r="K50" s="255"/>
      <c r="L50" s="341"/>
      <c r="M50" s="311"/>
      <c r="N50" s="311"/>
      <c r="O50" s="307">
        <v>5</v>
      </c>
      <c r="P50" s="308" t="str">
        <f ca="1">IF(OR(TRIM(L42)="-",TRIM(L43)="-"),IF(TRIM(L42)="-",L43,L42),IF(AND(M42="",M43="")," ",IF(N(M42)=N(M43)," ",IF(N(M42)&gt;N(M43),L42,L43))))</f>
        <v xml:space="preserve"> </v>
      </c>
      <c r="Q50" s="309"/>
      <c r="R50" s="328"/>
      <c r="S50" s="326"/>
      <c r="T50" s="293"/>
      <c r="U50" s="293"/>
      <c r="V50" s="311"/>
      <c r="W50" s="342"/>
      <c r="X50" s="255"/>
      <c r="Y50" s="255"/>
      <c r="Z50" s="255"/>
      <c r="AA50" s="255"/>
      <c r="AB50" s="255"/>
      <c r="AC50" s="255"/>
      <c r="AD50" s="255"/>
      <c r="AE50" s="255"/>
      <c r="AF50" s="255"/>
      <c r="AG50" s="255"/>
      <c r="AH50" s="255"/>
      <c r="AI50" s="255"/>
      <c r="AJ50" s="255"/>
    </row>
    <row r="51" spans="1:36" ht="18" customHeight="1">
      <c r="A51" s="323"/>
      <c r="B51" s="324"/>
      <c r="C51" s="325"/>
      <c r="D51" s="298" t="s">
        <v>1887</v>
      </c>
      <c r="E51" s="299" t="str">
        <f ca="1">IF(OR(TRIM(D52)="-",TRIM(D53)="-"),"",VLOOKUP(MIN(C52,C53),Hřiště!$B$11:$E$42,4,0))</f>
        <v/>
      </c>
      <c r="F51" s="255"/>
      <c r="G51" s="255"/>
      <c r="H51" s="333"/>
      <c r="I51" s="255"/>
      <c r="J51" s="255"/>
      <c r="K51" s="255"/>
      <c r="L51" s="341"/>
      <c r="M51" s="311"/>
      <c r="N51" s="311"/>
      <c r="O51" s="312">
        <v>4</v>
      </c>
      <c r="P51" s="313" t="str">
        <f ca="1">IF(OR(TRIM(L58)="-",TRIM(L59)="-"),IF(TRIM(L58)="-",L59,L58),IF(AND(M58="",M59="")," ",IF(N(M58)=N(M59)," ",IF(N(M58)&gt;N(M59),L58,L59))))</f>
        <v xml:space="preserve"> </v>
      </c>
      <c r="Q51" s="314"/>
      <c r="R51" s="268"/>
      <c r="S51" s="255"/>
      <c r="T51" s="293"/>
      <c r="U51" s="255"/>
      <c r="V51" s="311"/>
      <c r="W51" s="342"/>
      <c r="X51" s="255"/>
      <c r="Y51" s="255"/>
      <c r="Z51" s="255"/>
      <c r="AA51" s="255"/>
      <c r="AB51" s="255"/>
      <c r="AC51" s="255"/>
      <c r="AD51" s="255"/>
      <c r="AE51" s="255"/>
      <c r="AF51" s="255"/>
      <c r="AG51" s="255"/>
      <c r="AH51" s="255"/>
      <c r="AI51" s="255"/>
      <c r="AJ51" s="255"/>
    </row>
    <row r="52" spans="1:36" ht="18" customHeight="1">
      <c r="A52" s="305" t="str">
        <f>VLOOKUP(C52,Postupy!$A$3:$C$66,3,0)</f>
        <v>C2</v>
      </c>
      <c r="B52" s="306"/>
      <c r="C52" s="307">
        <v>13</v>
      </c>
      <c r="D52" s="308" t="str">
        <f ca="1">VLOOKUP(C52,Postupy!$A$3:$B$66,2,0)</f>
        <v>Kulový blesk Olomouc - Hildenbrand Benjamin</v>
      </c>
      <c r="E52" s="309"/>
      <c r="F52" s="316"/>
      <c r="G52" s="255"/>
      <c r="H52" s="331"/>
      <c r="I52" s="255"/>
      <c r="J52" s="255"/>
      <c r="K52" s="255"/>
      <c r="L52" s="341"/>
      <c r="M52" s="311"/>
      <c r="N52" s="322"/>
      <c r="O52" s="334"/>
      <c r="P52" s="352"/>
      <c r="Q52" s="293"/>
      <c r="R52" s="255"/>
      <c r="S52" s="255"/>
      <c r="T52" s="293"/>
      <c r="U52" s="255"/>
      <c r="V52" s="311"/>
      <c r="W52" s="342"/>
      <c r="X52" s="255"/>
      <c r="Y52" s="255"/>
      <c r="Z52" s="255"/>
      <c r="AA52" s="255"/>
      <c r="AB52" s="255"/>
      <c r="AC52" s="255"/>
      <c r="AD52" s="255"/>
      <c r="AE52" s="255"/>
      <c r="AF52" s="255"/>
      <c r="AG52" s="255"/>
      <c r="AH52" s="255"/>
      <c r="AI52" s="255"/>
      <c r="AJ52" s="255"/>
    </row>
    <row r="53" spans="1:36" ht="18" customHeight="1">
      <c r="A53" s="305" t="str">
        <f>VLOOKUP(C53,Postupy!$A$3:$C$66,3,0)</f>
        <v/>
      </c>
      <c r="B53" s="306"/>
      <c r="C53" s="312">
        <v>52</v>
      </c>
      <c r="D53" s="313" t="str">
        <f>VLOOKUP(C53,Postupy!$A$3:$B$66,2,0)</f>
        <v xml:space="preserve"> - </v>
      </c>
      <c r="E53" s="314"/>
      <c r="F53" s="344"/>
      <c r="G53" s="316"/>
      <c r="H53" s="298" t="s">
        <v>1887</v>
      </c>
      <c r="I53" s="299" t="str">
        <f ca="1">IF(OR(TRIM(H54)="-",TRIM(H55)="-"),"",VLOOKUP(MIN(G54,G55),Hřiště!$B$11:$E$42,4,0))</f>
        <v/>
      </c>
      <c r="J53" s="255"/>
      <c r="K53" s="255"/>
      <c r="L53" s="341"/>
      <c r="M53" s="311"/>
      <c r="N53" s="322"/>
      <c r="O53" s="293"/>
      <c r="P53" s="317"/>
      <c r="Q53" s="293"/>
      <c r="R53" s="255"/>
      <c r="S53" s="255"/>
      <c r="T53" s="293"/>
      <c r="U53" s="255"/>
      <c r="V53" s="311"/>
      <c r="W53" s="342"/>
      <c r="X53" s="255"/>
      <c r="Y53" s="255"/>
      <c r="Z53" s="255"/>
      <c r="AA53" s="255"/>
      <c r="AB53" s="255"/>
      <c r="AC53" s="255"/>
      <c r="AD53" s="255"/>
      <c r="AE53" s="255"/>
      <c r="AF53" s="255"/>
      <c r="AG53" s="255"/>
      <c r="AH53" s="255"/>
      <c r="AI53" s="255"/>
      <c r="AJ53" s="255"/>
    </row>
    <row r="54" spans="1:36" ht="18" customHeight="1">
      <c r="A54" s="318"/>
      <c r="B54" s="319"/>
      <c r="C54" s="319">
        <f>C52+C53</f>
        <v>65</v>
      </c>
      <c r="D54" s="320"/>
      <c r="E54" s="321"/>
      <c r="F54" s="322"/>
      <c r="G54" s="307">
        <v>13</v>
      </c>
      <c r="H54" s="308" t="str">
        <f ca="1">IF(OR(TRIM(D52)="-",TRIM(D53)="-"),IF(TRIM(D52)="-",D53,D52),IF(AND(E52="",E53="")," ",IF(N(E52)=N(E53)," ",IF(N(E52)&gt;N(E53),D52,D53))))</f>
        <v>Kulový blesk Olomouc - Hildenbrand Benjamin</v>
      </c>
      <c r="I54" s="309"/>
      <c r="J54" s="310"/>
      <c r="K54" s="255"/>
      <c r="L54" s="341"/>
      <c r="M54" s="311"/>
      <c r="N54" s="322"/>
      <c r="O54" s="293"/>
      <c r="P54" s="317"/>
      <c r="Q54" s="293"/>
      <c r="R54" s="255"/>
      <c r="S54" s="255"/>
      <c r="T54" s="255"/>
      <c r="U54" s="255"/>
      <c r="V54" s="311"/>
      <c r="W54" s="342"/>
      <c r="X54" s="255"/>
      <c r="Y54" s="255"/>
      <c r="Z54" s="255"/>
      <c r="AA54" s="255"/>
      <c r="AB54" s="255"/>
      <c r="AC54" s="255"/>
      <c r="AD54" s="255"/>
      <c r="AE54" s="255"/>
      <c r="AF54" s="255"/>
      <c r="AG54" s="255"/>
      <c r="AH54" s="255"/>
      <c r="AI54" s="255"/>
      <c r="AJ54" s="255"/>
    </row>
    <row r="55" spans="1:36" ht="18" customHeight="1">
      <c r="A55" s="323"/>
      <c r="B55" s="324"/>
      <c r="C55" s="325"/>
      <c r="D55" s="298" t="s">
        <v>1887</v>
      </c>
      <c r="E55" s="299" t="str">
        <f>IF(OR(TRIM(D56)="-",TRIM(D57)="-"),"",VLOOKUP(MIN(C56,C57),Hřiště!$B$11:$E$42,4,0))</f>
        <v/>
      </c>
      <c r="F55" s="322"/>
      <c r="G55" s="312">
        <v>20</v>
      </c>
      <c r="H55" s="313" t="str">
        <f>IF(OR(TRIM(D56)="-",TRIM(D57)="-"),IF(TRIM(D56)="-",D57,D56),IF(AND(E56="",E57="")," ",IF(N(E56)=N(E57)," ",IF(N(E56)&gt;N(E57),D56,D57))))</f>
        <v xml:space="preserve"> - </v>
      </c>
      <c r="I55" s="314"/>
      <c r="J55" s="315"/>
      <c r="K55" s="326"/>
      <c r="L55" s="341"/>
      <c r="M55" s="311"/>
      <c r="N55" s="322"/>
      <c r="O55" s="293"/>
      <c r="P55" s="317"/>
      <c r="Q55" s="293"/>
      <c r="R55" s="255"/>
      <c r="S55" s="255"/>
      <c r="T55" s="255"/>
      <c r="U55" s="255"/>
      <c r="V55" s="311"/>
      <c r="W55" s="342"/>
      <c r="X55" s="255"/>
      <c r="Y55" s="255"/>
      <c r="Z55" s="255"/>
      <c r="AA55" s="255"/>
      <c r="AB55" s="255"/>
      <c r="AC55" s="255"/>
      <c r="AD55" s="255"/>
      <c r="AE55" s="255"/>
      <c r="AF55" s="255"/>
      <c r="AG55" s="255"/>
      <c r="AH55" s="255"/>
      <c r="AI55" s="255"/>
      <c r="AJ55" s="255"/>
    </row>
    <row r="56" spans="1:36" ht="18" customHeight="1">
      <c r="A56" s="305" t="str">
        <f>VLOOKUP(C56,Postupy!$A$3:$C$66,3,0)</f>
        <v/>
      </c>
      <c r="B56" s="306"/>
      <c r="C56" s="307">
        <v>45</v>
      </c>
      <c r="D56" s="308" t="str">
        <f>VLOOKUP(C56,Postupy!$A$3:$B$66,2,0)</f>
        <v xml:space="preserve"> - </v>
      </c>
      <c r="E56" s="309"/>
      <c r="F56" s="328"/>
      <c r="G56" s="334"/>
      <c r="H56" s="335"/>
      <c r="I56" s="336"/>
      <c r="J56" s="311"/>
      <c r="K56" s="326"/>
      <c r="L56" s="347"/>
      <c r="M56" s="311"/>
      <c r="N56" s="322"/>
      <c r="O56" s="293"/>
      <c r="P56" s="317"/>
      <c r="Q56" s="293"/>
      <c r="R56" s="255"/>
      <c r="S56" s="255"/>
      <c r="T56" s="255"/>
      <c r="U56" s="255"/>
      <c r="V56" s="311"/>
      <c r="W56" s="342"/>
      <c r="X56" s="255"/>
      <c r="Y56" s="255"/>
      <c r="Z56" s="255"/>
      <c r="AA56" s="255"/>
      <c r="AB56" s="255"/>
      <c r="AC56" s="255"/>
      <c r="AD56" s="255"/>
      <c r="AE56" s="255"/>
      <c r="AF56" s="255"/>
      <c r="AG56" s="255"/>
      <c r="AH56" s="255"/>
      <c r="AI56" s="255"/>
      <c r="AJ56" s="255"/>
    </row>
    <row r="57" spans="1:36" ht="18" customHeight="1">
      <c r="A57" s="305" t="str">
        <f>VLOOKUP(C57,Postupy!$A$3:$C$66,3,0)</f>
        <v/>
      </c>
      <c r="B57" s="306"/>
      <c r="C57" s="312">
        <v>20</v>
      </c>
      <c r="D57" s="313" t="str">
        <f>VLOOKUP(C57,Postupy!$A$3:$B$66,2,0)</f>
        <v xml:space="preserve"> - </v>
      </c>
      <c r="E57" s="314"/>
      <c r="F57" s="268"/>
      <c r="G57" s="255"/>
      <c r="H57" s="331"/>
      <c r="I57" s="255"/>
      <c r="J57" s="311"/>
      <c r="K57" s="316"/>
      <c r="L57" s="298" t="s">
        <v>1887</v>
      </c>
      <c r="M57" s="299" t="str">
        <f ca="1">IF(OR(TRIM(L58)="-",TRIM(L59)="-"),"",VLOOKUP(MIN(K58,K59),Hřiště!$B$11:$E$42,4,0))</f>
        <v/>
      </c>
      <c r="N57" s="348"/>
      <c r="O57" s="293"/>
      <c r="P57" s="317"/>
      <c r="Q57" s="293"/>
      <c r="R57" s="255"/>
      <c r="S57" s="255"/>
      <c r="T57" s="255"/>
      <c r="U57" s="255"/>
      <c r="V57" s="311"/>
      <c r="W57" s="342"/>
      <c r="X57" s="255"/>
      <c r="Y57" s="255"/>
      <c r="Z57" s="255"/>
      <c r="AA57" s="255"/>
      <c r="AB57" s="255"/>
      <c r="AC57" s="255"/>
      <c r="AD57" s="255"/>
      <c r="AE57" s="255"/>
      <c r="AF57" s="255"/>
      <c r="AG57" s="255"/>
      <c r="AH57" s="255"/>
      <c r="AI57" s="255"/>
      <c r="AJ57" s="255"/>
    </row>
    <row r="58" spans="1:36" ht="18" customHeight="1">
      <c r="A58" s="318"/>
      <c r="B58" s="319"/>
      <c r="C58" s="319">
        <f>C56+C57</f>
        <v>65</v>
      </c>
      <c r="D58" s="320"/>
      <c r="E58" s="321"/>
      <c r="F58" s="332">
        <f>C54+C58</f>
        <v>130</v>
      </c>
      <c r="G58" s="255"/>
      <c r="H58" s="333"/>
      <c r="I58" s="255"/>
      <c r="J58" s="255"/>
      <c r="K58" s="307">
        <v>13</v>
      </c>
      <c r="L58" s="308" t="str">
        <f ca="1">IF(OR(TRIM(H54)="-",TRIM(H55)="-"),IF(TRIM(H54)="-",H55,H54),IF(AND(I54="",I55="")," ",IF(N(I54)=N(I55)," ",IF(N(I54)&gt;N(I55),H54,H55))))</f>
        <v>Kulový blesk Olomouc - Hildenbrand Benjamin</v>
      </c>
      <c r="M58" s="309"/>
      <c r="N58" s="328"/>
      <c r="O58" s="255"/>
      <c r="P58" s="317"/>
      <c r="Q58" s="255"/>
      <c r="R58" s="255"/>
      <c r="S58" s="255"/>
      <c r="T58" s="255"/>
      <c r="U58" s="255"/>
      <c r="V58" s="311"/>
      <c r="W58" s="342"/>
      <c r="X58" s="255"/>
      <c r="Y58" s="255"/>
      <c r="Z58" s="255"/>
      <c r="AA58" s="255"/>
      <c r="AB58" s="255"/>
      <c r="AC58" s="255"/>
      <c r="AD58" s="255"/>
      <c r="AE58" s="255"/>
      <c r="AF58" s="255"/>
      <c r="AG58" s="255"/>
      <c r="AH58" s="255"/>
      <c r="AI58" s="255"/>
      <c r="AJ58" s="255"/>
    </row>
    <row r="59" spans="1:36" ht="18" customHeight="1">
      <c r="A59" s="323"/>
      <c r="B59" s="324"/>
      <c r="C59" s="325"/>
      <c r="D59" s="298" t="s">
        <v>1887</v>
      </c>
      <c r="E59" s="299" t="str">
        <f>IF(OR(TRIM(D60)="-",TRIM(D61)="-"),"",VLOOKUP(MIN(C60,C61),Hřiště!$B$11:$E$42,4,0))</f>
        <v/>
      </c>
      <c r="F59" s="255"/>
      <c r="G59" s="255"/>
      <c r="H59" s="333"/>
      <c r="I59" s="255"/>
      <c r="J59" s="255"/>
      <c r="K59" s="312">
        <v>4</v>
      </c>
      <c r="L59" s="313" t="str">
        <f ca="1">IF(OR(TRIM(H62)="-",TRIM(H63)="-"),IF(TRIM(H62)="-",H63,H62),IF(AND(I62="",I63="")," ",IF(N(I62)=N(I63)," ",IF(N(I62)&gt;N(I63),H62,H63))))</f>
        <v>P.C.B.D. - Hejl ml. Pavel</v>
      </c>
      <c r="M59" s="314"/>
      <c r="N59" s="268"/>
      <c r="O59" s="255"/>
      <c r="P59" s="317"/>
      <c r="Q59" s="255"/>
      <c r="R59" s="255"/>
      <c r="S59" s="255"/>
      <c r="T59" s="255"/>
      <c r="U59" s="255"/>
      <c r="V59" s="311"/>
      <c r="W59" s="342"/>
      <c r="X59" s="255"/>
      <c r="Y59" s="255"/>
      <c r="Z59" s="255"/>
      <c r="AA59" s="255"/>
      <c r="AB59" s="255"/>
      <c r="AC59" s="255"/>
      <c r="AD59" s="255"/>
      <c r="AE59" s="255"/>
      <c r="AF59" s="255"/>
      <c r="AG59" s="255"/>
      <c r="AH59" s="255"/>
      <c r="AI59" s="255"/>
      <c r="AJ59" s="255"/>
    </row>
    <row r="60" spans="1:36" ht="18" customHeight="1">
      <c r="A60" s="305" t="str">
        <f>VLOOKUP(C60,Postupy!$A$3:$C$66,3,0)</f>
        <v/>
      </c>
      <c r="B60" s="306"/>
      <c r="C60" s="307">
        <v>29</v>
      </c>
      <c r="D60" s="308" t="str">
        <f>VLOOKUP(C60,Postupy!$A$3:$B$66,2,0)</f>
        <v xml:space="preserve"> - </v>
      </c>
      <c r="E60" s="309"/>
      <c r="F60" s="316"/>
      <c r="G60" s="255"/>
      <c r="H60" s="331"/>
      <c r="I60" s="311"/>
      <c r="J60" s="311"/>
      <c r="K60" s="334"/>
      <c r="L60" s="352"/>
      <c r="M60" s="336"/>
      <c r="N60" s="255"/>
      <c r="O60" s="255"/>
      <c r="P60" s="255"/>
      <c r="Q60" s="255"/>
      <c r="R60" s="255"/>
      <c r="S60" s="255"/>
      <c r="T60" s="255"/>
      <c r="U60" s="255"/>
      <c r="V60" s="311"/>
      <c r="W60" s="342"/>
      <c r="X60" s="255"/>
      <c r="Y60" s="255"/>
      <c r="Z60" s="255"/>
      <c r="AA60" s="255"/>
      <c r="AB60" s="255"/>
      <c r="AC60" s="255"/>
      <c r="AD60" s="255"/>
      <c r="AE60" s="255"/>
      <c r="AF60" s="255"/>
      <c r="AG60" s="255"/>
      <c r="AH60" s="255"/>
      <c r="AI60" s="255"/>
      <c r="AJ60" s="255"/>
    </row>
    <row r="61" spans="1:36" ht="18" customHeight="1">
      <c r="A61" s="305" t="str">
        <f>VLOOKUP(C61,Postupy!$A$3:$C$66,3,0)</f>
        <v/>
      </c>
      <c r="B61" s="306"/>
      <c r="C61" s="312">
        <v>36</v>
      </c>
      <c r="D61" s="313" t="str">
        <f>VLOOKUP(C61,Postupy!$A$3:$B$66,2,0)</f>
        <v xml:space="preserve"> - </v>
      </c>
      <c r="E61" s="314"/>
      <c r="F61" s="337" t="s">
        <v>1690</v>
      </c>
      <c r="G61" s="316"/>
      <c r="H61" s="298" t="s">
        <v>1887</v>
      </c>
      <c r="I61" s="299" t="str">
        <f ca="1">IF(OR(TRIM(H62)="-",TRIM(H63)="-"),"",VLOOKUP(MIN(G62,G63),Hřiště!$B$11:$E$42,4,0))</f>
        <v/>
      </c>
      <c r="J61" s="311"/>
      <c r="K61" s="326"/>
      <c r="L61" s="317"/>
      <c r="M61" s="293"/>
      <c r="N61" s="255"/>
      <c r="O61" s="255"/>
      <c r="P61" s="255"/>
      <c r="Q61" s="255"/>
      <c r="R61" s="255"/>
      <c r="S61" s="255"/>
      <c r="T61" s="255"/>
      <c r="U61" s="255"/>
      <c r="V61" s="311"/>
      <c r="W61" s="342"/>
      <c r="X61" s="255"/>
      <c r="Y61" s="255"/>
      <c r="Z61" s="255"/>
      <c r="AA61" s="255"/>
      <c r="AB61" s="255"/>
      <c r="AC61" s="255"/>
      <c r="AD61" s="255"/>
      <c r="AE61" s="255"/>
      <c r="AF61" s="255"/>
      <c r="AG61" s="255"/>
      <c r="AH61" s="255"/>
      <c r="AI61" s="255"/>
      <c r="AJ61" s="255"/>
    </row>
    <row r="62" spans="1:36" ht="18" customHeight="1">
      <c r="A62" s="318"/>
      <c r="B62" s="319"/>
      <c r="C62" s="319">
        <f>C60+C61</f>
        <v>65</v>
      </c>
      <c r="D62" s="320"/>
      <c r="E62" s="321"/>
      <c r="F62" s="321"/>
      <c r="G62" s="307">
        <v>29</v>
      </c>
      <c r="H62" s="308" t="str">
        <f>IF(OR(TRIM(D60)="-",TRIM(D61)="-"),IF(TRIM(D60)="-",D61,D60),IF(AND(E60="",E61="")," ",IF(N(E60)=N(E61)," ",IF(N(E60)&gt;N(E61),D60,D61))))</f>
        <v xml:space="preserve"> - </v>
      </c>
      <c r="I62" s="309"/>
      <c r="J62" s="328"/>
      <c r="K62" s="326"/>
      <c r="L62" s="317"/>
      <c r="M62" s="293"/>
      <c r="N62" s="255"/>
      <c r="O62" s="255"/>
      <c r="P62" s="255"/>
      <c r="Q62" s="255"/>
      <c r="R62" s="255"/>
      <c r="S62" s="255"/>
      <c r="T62" s="255"/>
      <c r="U62" s="255"/>
      <c r="V62" s="311"/>
      <c r="W62" s="342"/>
      <c r="X62" s="255"/>
      <c r="Y62" s="255"/>
      <c r="Z62" s="255"/>
      <c r="AA62" s="255"/>
      <c r="AB62" s="255"/>
      <c r="AC62" s="255"/>
      <c r="AD62" s="255"/>
      <c r="AE62" s="255"/>
      <c r="AF62" s="255"/>
      <c r="AG62" s="255"/>
      <c r="AH62" s="255"/>
      <c r="AI62" s="255"/>
      <c r="AJ62" s="255"/>
    </row>
    <row r="63" spans="1:36" ht="18" customHeight="1">
      <c r="A63" s="323"/>
      <c r="B63" s="324"/>
      <c r="C63" s="325"/>
      <c r="D63" s="298" t="s">
        <v>1887</v>
      </c>
      <c r="E63" s="299" t="str">
        <f ca="1">IF(OR(TRIM(D64)="-",TRIM(D65)="-"),"",VLOOKUP(MIN(C64,C65),Hřiště!$B$11:$E$42,4,0))</f>
        <v/>
      </c>
      <c r="F63" s="269"/>
      <c r="G63" s="312">
        <v>4</v>
      </c>
      <c r="H63" s="313" t="str">
        <f ca="1">IF(OR(TRIM(D64)="-",TRIM(D65)="-"),IF(TRIM(D64)="-",D65,D64),IF(AND(E64="",E65="")," ",IF(N(E64)=N(E65)," ",IF(N(E64)&gt;N(E65),D64,D65))))</f>
        <v>P.C.B.D. - Hejl ml. Pavel</v>
      </c>
      <c r="I63" s="314"/>
      <c r="J63" s="268"/>
      <c r="K63" s="255"/>
      <c r="L63" s="317"/>
      <c r="M63" s="255"/>
      <c r="N63" s="255"/>
      <c r="O63" s="255"/>
      <c r="P63" s="255"/>
      <c r="Q63" s="255"/>
      <c r="R63" s="255"/>
      <c r="S63" s="255"/>
      <c r="T63" s="255"/>
      <c r="U63" s="255"/>
      <c r="V63" s="311"/>
      <c r="W63" s="342"/>
      <c r="X63" s="255"/>
      <c r="Y63" s="255"/>
      <c r="Z63" s="255"/>
      <c r="AA63" s="255"/>
      <c r="AB63" s="255"/>
      <c r="AC63" s="255"/>
      <c r="AD63" s="255"/>
      <c r="AE63" s="255"/>
      <c r="AF63" s="255"/>
      <c r="AG63" s="255"/>
      <c r="AH63" s="255"/>
      <c r="AI63" s="255"/>
      <c r="AJ63" s="255"/>
    </row>
    <row r="64" spans="1:36" ht="19.5" customHeight="1">
      <c r="A64" s="305" t="str">
        <f>VLOOKUP(C64,Postupy!$A$3:$C$66,3,0)</f>
        <v/>
      </c>
      <c r="B64" s="306"/>
      <c r="C64" s="307">
        <v>61</v>
      </c>
      <c r="D64" s="308" t="str">
        <f>VLOOKUP(C64,Postupy!$A$3:$B$66,2,0)</f>
        <v xml:space="preserve"> - </v>
      </c>
      <c r="E64" s="309"/>
      <c r="F64" s="338"/>
      <c r="G64" s="334"/>
      <c r="H64" s="353"/>
      <c r="I64" s="336"/>
      <c r="J64" s="255"/>
      <c r="K64" s="255"/>
      <c r="L64" s="354"/>
      <c r="M64" s="255"/>
      <c r="N64" s="255"/>
      <c r="O64" s="255"/>
      <c r="P64" s="255"/>
      <c r="Q64" s="255"/>
      <c r="R64" s="255"/>
      <c r="S64" s="255"/>
      <c r="T64" s="255"/>
      <c r="U64" s="255"/>
      <c r="V64" s="311"/>
      <c r="W64" s="342"/>
      <c r="X64" s="355" t="s">
        <v>1885</v>
      </c>
      <c r="Y64" s="255"/>
      <c r="Z64" s="255"/>
      <c r="AA64" s="255"/>
      <c r="AB64" s="255"/>
      <c r="AC64" s="255"/>
      <c r="AD64" s="255"/>
      <c r="AE64" s="255"/>
      <c r="AF64" s="255"/>
      <c r="AG64" s="255"/>
      <c r="AH64" s="255"/>
      <c r="AI64" s="255"/>
      <c r="AJ64" s="255"/>
    </row>
    <row r="65" spans="1:36" ht="18" customHeight="1">
      <c r="A65" s="305" t="str">
        <f>VLOOKUP(C65,Postupy!$A$3:$C$66,3,0)</f>
        <v>D1</v>
      </c>
      <c r="B65" s="306"/>
      <c r="C65" s="312">
        <v>4</v>
      </c>
      <c r="D65" s="313" t="str">
        <f ca="1">VLOOKUP(C65,Postupy!$A$3:$B$66,2,0)</f>
        <v>P.C.B.D. - Hejl ml. Pavel</v>
      </c>
      <c r="E65" s="314"/>
      <c r="F65" s="339"/>
      <c r="G65" s="255"/>
      <c r="H65" s="311"/>
      <c r="I65" s="255"/>
      <c r="J65" s="255"/>
      <c r="K65" s="255"/>
      <c r="L65" s="356"/>
      <c r="M65" s="255"/>
      <c r="N65" s="255"/>
      <c r="O65" s="255"/>
      <c r="P65" s="255"/>
      <c r="Q65" s="255"/>
      <c r="R65" s="255"/>
      <c r="S65" s="255"/>
      <c r="T65" s="255"/>
      <c r="U65" s="255"/>
      <c r="V65" s="311"/>
      <c r="W65" s="342"/>
      <c r="X65" s="298" t="s">
        <v>1887</v>
      </c>
      <c r="Y65" s="299" t="str">
        <f ca="1">IF(OR(TRIM(X66)="-",TRIM(X67)="-"),"",VLOOKUP(MIN(W66,W67),Hřiště!$B$11:$E$42,4,0))</f>
        <v/>
      </c>
      <c r="Z65" s="255"/>
      <c r="AA65" s="255"/>
      <c r="AB65" s="255"/>
      <c r="AC65" s="255"/>
      <c r="AD65" s="255"/>
      <c r="AE65" s="255"/>
      <c r="AF65" s="255"/>
      <c r="AG65" s="255"/>
      <c r="AH65" s="255"/>
      <c r="AI65" s="255"/>
      <c r="AJ65" s="255"/>
    </row>
    <row r="66" spans="1:36" ht="18" customHeight="1">
      <c r="A66" s="357"/>
      <c r="B66" s="358"/>
      <c r="C66" s="359">
        <f>C64+C65</f>
        <v>65</v>
      </c>
      <c r="D66" s="360"/>
      <c r="E66" s="361"/>
      <c r="F66" s="332">
        <f>C62+C66</f>
        <v>130</v>
      </c>
      <c r="G66" s="362"/>
      <c r="H66" s="362"/>
      <c r="I66" s="362"/>
      <c r="J66" s="362"/>
      <c r="K66" s="362"/>
      <c r="L66" s="362"/>
      <c r="M66" s="362"/>
      <c r="N66" s="362"/>
      <c r="O66" s="362"/>
      <c r="P66" s="362"/>
      <c r="Q66" s="362"/>
      <c r="R66" s="362"/>
      <c r="S66" s="362"/>
      <c r="T66" s="362"/>
      <c r="U66" s="362"/>
      <c r="V66" s="311"/>
      <c r="W66" s="351">
        <v>1</v>
      </c>
      <c r="X66" s="308" t="str">
        <f ca="1">IF(OR(TRIM(T34)="-",TRIM(T35)="-"),IF(TRIM(T34)="-",T35,T34),IF(AND(U34="",U35="")," ",IF(N(U34)=N(U35)," ",IF(N(U34)&gt;N(U35),T34,T35))))</f>
        <v xml:space="preserve"> </v>
      </c>
      <c r="Y66" s="309"/>
      <c r="Z66" s="328"/>
      <c r="AA66" s="351">
        <v>1</v>
      </c>
      <c r="AB66" s="363" t="str">
        <f>IF(AND(Y66="",Y67="")," ",IF(N(Y66)=N(Y67)," ",IF(N(Y66)&gt;N(Y67),X66,X67)))</f>
        <v xml:space="preserve"> </v>
      </c>
      <c r="AC66" s="364">
        <v>1</v>
      </c>
      <c r="AD66" s="255"/>
      <c r="AE66" s="255"/>
      <c r="AF66" s="255"/>
      <c r="AG66" s="255"/>
      <c r="AH66" s="255"/>
      <c r="AI66" s="255"/>
      <c r="AJ66" s="255"/>
    </row>
    <row r="67" spans="1:36" ht="18" customHeight="1">
      <c r="A67" s="318"/>
      <c r="B67" s="365"/>
      <c r="C67" s="366"/>
      <c r="D67" s="298" t="s">
        <v>1887</v>
      </c>
      <c r="E67" s="299" t="str">
        <f ca="1">IF(OR(TRIM(D68)="-",TRIM(D69)="-"),"",VLOOKUP(MIN(C68,C69),Hřiště!$B$11:$E$42,4,0))</f>
        <v/>
      </c>
      <c r="F67" s="365"/>
      <c r="G67" s="336"/>
      <c r="H67" s="268"/>
      <c r="I67" s="336"/>
      <c r="J67" s="268"/>
      <c r="K67" s="268"/>
      <c r="L67" s="268"/>
      <c r="M67" s="268"/>
      <c r="N67" s="268"/>
      <c r="O67" s="268"/>
      <c r="P67" s="268"/>
      <c r="Q67" s="268"/>
      <c r="R67" s="268"/>
      <c r="S67" s="268"/>
      <c r="T67" s="268"/>
      <c r="U67" s="268"/>
      <c r="V67" s="311"/>
      <c r="W67" s="312">
        <v>2</v>
      </c>
      <c r="X67" s="313" t="str">
        <f ca="1">IF(OR(TRIM(T98)="-",TRIM(T99)="-"),IF(TRIM(T98)="-",T99,T98),IF(AND(U98="",U99="")," ",IF(N(U98)=N(U99)," ",IF(N(U98)&gt;N(U99),T98,T99))))</f>
        <v xml:space="preserve"> </v>
      </c>
      <c r="Y67" s="314"/>
      <c r="Z67" s="255"/>
      <c r="AA67" s="351">
        <v>2</v>
      </c>
      <c r="AB67" s="367" t="str">
        <f>IF(AND(Y66="",Y67="")," ",IF(N(Y67)=N(Y66)," ",IF(N(Y67)&gt;N(Y66),X66,X67)))</f>
        <v xml:space="preserve"> </v>
      </c>
      <c r="AC67" s="368">
        <v>2</v>
      </c>
      <c r="AD67" s="255"/>
      <c r="AE67" s="255"/>
      <c r="AF67" s="255"/>
      <c r="AG67" s="255"/>
      <c r="AH67" s="255"/>
      <c r="AI67" s="255"/>
      <c r="AJ67" s="255"/>
    </row>
    <row r="68" spans="1:36" ht="18" customHeight="1">
      <c r="A68" s="305" t="str">
        <f>VLOOKUP(C68,Postupy!$A$3:$C$66,3,0)</f>
        <v>C1</v>
      </c>
      <c r="B68" s="306"/>
      <c r="C68" s="307">
        <v>3</v>
      </c>
      <c r="D68" s="308" t="str">
        <f ca="1">VLOOKUP(C68,Postupy!$A$3:$B$66,2,0)</f>
        <v>SKP Hranice VI-Valšovice - Kutá Miloslava</v>
      </c>
      <c r="E68" s="309"/>
      <c r="F68" s="310"/>
      <c r="G68" s="255"/>
      <c r="H68" s="268"/>
      <c r="I68" s="255"/>
      <c r="J68" s="255"/>
      <c r="K68" s="255"/>
      <c r="L68" s="255"/>
      <c r="M68" s="255"/>
      <c r="N68" s="255"/>
      <c r="O68" s="255"/>
      <c r="P68" s="293"/>
      <c r="Q68" s="293"/>
      <c r="R68" s="293"/>
      <c r="S68" s="255"/>
      <c r="T68" s="255"/>
      <c r="U68" s="255"/>
      <c r="V68" s="322"/>
      <c r="W68" s="334"/>
      <c r="X68" s="311"/>
      <c r="Y68" s="255"/>
      <c r="Z68" s="255"/>
      <c r="AA68" s="255"/>
      <c r="AB68" s="255"/>
      <c r="AC68" s="255"/>
      <c r="AD68" s="255"/>
      <c r="AE68" s="255"/>
      <c r="AF68" s="255"/>
      <c r="AG68" s="255"/>
      <c r="AH68" s="255"/>
      <c r="AI68" s="255"/>
      <c r="AJ68" s="255"/>
    </row>
    <row r="69" spans="1:36" ht="18" customHeight="1">
      <c r="A69" s="305" t="str">
        <f>VLOOKUP(C69,Postupy!$A$3:$C$66,3,0)</f>
        <v/>
      </c>
      <c r="B69" s="306"/>
      <c r="C69" s="312">
        <v>62</v>
      </c>
      <c r="D69" s="313" t="str">
        <f>VLOOKUP(C69,Postupy!$A$3:$B$66,2,0)</f>
        <v xml:space="preserve"> - </v>
      </c>
      <c r="E69" s="314"/>
      <c r="F69" s="315"/>
      <c r="G69" s="316"/>
      <c r="H69" s="298" t="s">
        <v>1887</v>
      </c>
      <c r="I69" s="299" t="str">
        <f ca="1">IF(OR(TRIM(H70)="-",TRIM(H71)="-"),"",VLOOKUP(MIN(G70,G71),Hřiště!$B$11:$E$42,4,0))</f>
        <v/>
      </c>
      <c r="J69" s="255"/>
      <c r="K69" s="255"/>
      <c r="L69" s="255"/>
      <c r="M69" s="255"/>
      <c r="N69" s="255"/>
      <c r="O69" s="311"/>
      <c r="P69" s="255"/>
      <c r="Q69" s="255"/>
      <c r="R69" s="255"/>
      <c r="S69" s="255"/>
      <c r="T69" s="255"/>
      <c r="U69" s="255"/>
      <c r="V69" s="322"/>
      <c r="W69" s="293"/>
      <c r="X69" s="311"/>
      <c r="Y69" s="255"/>
      <c r="Z69" s="255"/>
      <c r="AA69" s="255"/>
      <c r="AB69" s="255"/>
      <c r="AC69" s="255"/>
      <c r="AD69" s="255"/>
      <c r="AE69" s="255"/>
      <c r="AF69" s="255"/>
      <c r="AG69" s="255"/>
      <c r="AH69" s="255"/>
      <c r="AI69" s="255"/>
      <c r="AJ69" s="255"/>
    </row>
    <row r="70" spans="1:36" ht="18" customHeight="1">
      <c r="A70" s="318"/>
      <c r="B70" s="319"/>
      <c r="C70" s="319">
        <f>C68+C69</f>
        <v>65</v>
      </c>
      <c r="D70" s="320"/>
      <c r="E70" s="321"/>
      <c r="F70" s="322"/>
      <c r="G70" s="307">
        <v>3</v>
      </c>
      <c r="H70" s="308" t="str">
        <f ca="1">IF(OR(TRIM(D68)="-",TRIM(D69)="-"),IF(TRIM(D68)="-",D69,D68),IF(AND(E68="",E69="")," ",IF(N(E68)=N(E69)," ",IF(N(E68)&gt;N(E69),D68,D69))))</f>
        <v>SKP Hranice VI-Valšovice - Kutá Miloslava</v>
      </c>
      <c r="I70" s="309"/>
      <c r="J70" s="310"/>
      <c r="K70" s="255"/>
      <c r="L70" s="317"/>
      <c r="M70" s="255"/>
      <c r="N70" s="255"/>
      <c r="O70" s="255"/>
      <c r="P70" s="317"/>
      <c r="Q70" s="255"/>
      <c r="R70" s="255"/>
      <c r="S70" s="255"/>
      <c r="T70" s="255"/>
      <c r="U70" s="255"/>
      <c r="V70" s="322"/>
      <c r="W70" s="293"/>
      <c r="X70" s="255"/>
      <c r="Y70" s="255"/>
      <c r="Z70" s="255"/>
      <c r="AA70" s="255"/>
      <c r="AB70" s="255"/>
      <c r="AC70" s="255"/>
      <c r="AD70" s="255"/>
      <c r="AE70" s="255"/>
      <c r="AF70" s="255"/>
      <c r="AG70" s="255"/>
      <c r="AH70" s="255"/>
      <c r="AI70" s="255"/>
      <c r="AJ70" s="255"/>
    </row>
    <row r="71" spans="1:36" ht="18" customHeight="1">
      <c r="A71" s="323"/>
      <c r="B71" s="324"/>
      <c r="C71" s="325"/>
      <c r="D71" s="298" t="s">
        <v>1887</v>
      </c>
      <c r="E71" s="299" t="str">
        <f>IF(OR(TRIM(D72)="-",TRIM(D73)="-"),"",VLOOKUP(MIN(C72,C73),Hřiště!$B$11:$E$42,4,0))</f>
        <v/>
      </c>
      <c r="F71" s="322"/>
      <c r="G71" s="312">
        <v>30</v>
      </c>
      <c r="H71" s="313" t="str">
        <f>IF(OR(TRIM(D72)="-",TRIM(D73)="-"),IF(TRIM(D72)="-",D73,D72),IF(AND(E72="",E73="")," ",IF(N(E72)=N(E73)," ",IF(N(E72)&gt;N(E73),D72,D73))))</f>
        <v xml:space="preserve"> - </v>
      </c>
      <c r="I71" s="314"/>
      <c r="J71" s="315"/>
      <c r="K71" s="326"/>
      <c r="L71" s="327"/>
      <c r="M71" s="293"/>
      <c r="N71" s="255"/>
      <c r="O71" s="255"/>
      <c r="P71" s="317"/>
      <c r="Q71" s="255"/>
      <c r="R71" s="255"/>
      <c r="S71" s="255"/>
      <c r="T71" s="255"/>
      <c r="U71" s="255"/>
      <c r="V71" s="322"/>
      <c r="W71" s="293"/>
      <c r="X71" s="255"/>
      <c r="Y71" s="255"/>
      <c r="Z71" s="255"/>
      <c r="AA71" s="255"/>
      <c r="AB71" s="255"/>
      <c r="AC71" s="255"/>
      <c r="AD71" s="255"/>
      <c r="AE71" s="255"/>
      <c r="AF71" s="255"/>
      <c r="AG71" s="255"/>
      <c r="AH71" s="255"/>
      <c r="AI71" s="255"/>
      <c r="AJ71" s="255"/>
    </row>
    <row r="72" spans="1:36" ht="18" customHeight="1">
      <c r="A72" s="305" t="str">
        <f>VLOOKUP(C72,Postupy!$A$3:$C$66,3,0)</f>
        <v/>
      </c>
      <c r="B72" s="306"/>
      <c r="C72" s="307">
        <v>35</v>
      </c>
      <c r="D72" s="308" t="str">
        <f>VLOOKUP(C72,Postupy!$A$3:$B$66,2,0)</f>
        <v xml:space="preserve"> - </v>
      </c>
      <c r="E72" s="309"/>
      <c r="F72" s="328"/>
      <c r="G72" s="329"/>
      <c r="H72" s="330"/>
      <c r="I72" s="311"/>
      <c r="J72" s="311"/>
      <c r="K72" s="326"/>
      <c r="L72" s="327"/>
      <c r="M72" s="293"/>
      <c r="N72" s="255"/>
      <c r="O72" s="255"/>
      <c r="P72" s="317"/>
      <c r="Q72" s="255"/>
      <c r="R72" s="255"/>
      <c r="S72" s="255"/>
      <c r="T72" s="255"/>
      <c r="U72" s="255"/>
      <c r="V72" s="322"/>
      <c r="W72" s="293"/>
      <c r="X72" s="255"/>
      <c r="Y72" s="255"/>
      <c r="Z72" s="255"/>
      <c r="AA72" s="255"/>
      <c r="AB72" s="255"/>
      <c r="AC72" s="255"/>
      <c r="AD72" s="255"/>
      <c r="AE72" s="255"/>
      <c r="AF72" s="255"/>
      <c r="AG72" s="255"/>
      <c r="AH72" s="255"/>
      <c r="AI72" s="255"/>
      <c r="AJ72" s="255"/>
    </row>
    <row r="73" spans="1:36" ht="18" customHeight="1">
      <c r="A73" s="305" t="str">
        <f>VLOOKUP(C73,Postupy!$A$3:$C$66,3,0)</f>
        <v/>
      </c>
      <c r="B73" s="306"/>
      <c r="C73" s="312">
        <v>30</v>
      </c>
      <c r="D73" s="313" t="str">
        <f>VLOOKUP(C73,Postupy!$A$3:$B$66,2,0)</f>
        <v xml:space="preserve"> - </v>
      </c>
      <c r="E73" s="314"/>
      <c r="F73" s="268"/>
      <c r="G73" s="255"/>
      <c r="H73" s="331"/>
      <c r="I73" s="311"/>
      <c r="J73" s="311"/>
      <c r="K73" s="316"/>
      <c r="L73" s="298" t="s">
        <v>1887</v>
      </c>
      <c r="M73" s="299" t="str">
        <f ca="1">IF(OR(TRIM(L74)="-",TRIM(L75)="-"),"",VLOOKUP(MIN(K74,K75),Hřiště!$B$11:$E$42,4,0))</f>
        <v/>
      </c>
      <c r="N73" s="269"/>
      <c r="O73" s="255"/>
      <c r="P73" s="317"/>
      <c r="Q73" s="255"/>
      <c r="R73" s="255"/>
      <c r="S73" s="255"/>
      <c r="T73" s="255"/>
      <c r="U73" s="255"/>
      <c r="V73" s="255"/>
      <c r="W73" s="326"/>
      <c r="X73" s="255"/>
      <c r="Y73" s="255"/>
      <c r="Z73" s="255"/>
      <c r="AA73" s="255"/>
      <c r="AB73" s="255"/>
      <c r="AC73" s="255"/>
      <c r="AD73" s="255"/>
      <c r="AE73" s="255"/>
      <c r="AF73" s="255"/>
      <c r="AG73" s="255"/>
      <c r="AH73" s="255"/>
      <c r="AI73" s="255"/>
      <c r="AJ73" s="255"/>
    </row>
    <row r="74" spans="1:36" ht="18" customHeight="1">
      <c r="A74" s="318"/>
      <c r="B74" s="319"/>
      <c r="C74" s="319">
        <f>C72+C73</f>
        <v>65</v>
      </c>
      <c r="D74" s="320"/>
      <c r="E74" s="321"/>
      <c r="F74" s="332">
        <f>C70+C74</f>
        <v>130</v>
      </c>
      <c r="G74" s="255"/>
      <c r="H74" s="333"/>
      <c r="I74" s="255"/>
      <c r="J74" s="255"/>
      <c r="K74" s="307">
        <v>3</v>
      </c>
      <c r="L74" s="308" t="str">
        <f ca="1">IF(OR(TRIM(H70)="-",TRIM(H71)="-"),IF(TRIM(H70)="-",H71,H70),IF(AND(I70="",I71="")," ",IF(N(I70)=N(I71)," ",IF(N(I70)&gt;N(I71),H70,H71))))</f>
        <v>SKP Hranice VI-Valšovice - Kutá Miloslava</v>
      </c>
      <c r="M74" s="309"/>
      <c r="N74" s="310"/>
      <c r="O74" s="293"/>
      <c r="P74" s="327"/>
      <c r="Q74" s="293"/>
      <c r="R74" s="255"/>
      <c r="S74" s="255"/>
      <c r="T74" s="255"/>
      <c r="U74" s="255"/>
      <c r="V74" s="255"/>
      <c r="W74" s="326"/>
      <c r="X74" s="255"/>
      <c r="Y74" s="255"/>
      <c r="Z74" s="255"/>
      <c r="AA74" s="255"/>
      <c r="AB74" s="255"/>
      <c r="AC74" s="293"/>
      <c r="AD74" s="255"/>
      <c r="AE74" s="255"/>
      <c r="AF74" s="255"/>
      <c r="AG74" s="255"/>
      <c r="AH74" s="255"/>
      <c r="AI74" s="255"/>
      <c r="AJ74" s="293"/>
    </row>
    <row r="75" spans="1:36" ht="18" customHeight="1">
      <c r="A75" s="323"/>
      <c r="B75" s="324"/>
      <c r="C75" s="325"/>
      <c r="D75" s="298" t="s">
        <v>1887</v>
      </c>
      <c r="E75" s="299" t="str">
        <f>IF(OR(TRIM(D76)="-",TRIM(D77)="-"),"",VLOOKUP(MIN(C76,C77),Hřiště!$B$11:$E$42,4,0))</f>
        <v/>
      </c>
      <c r="F75" s="255"/>
      <c r="G75" s="255"/>
      <c r="H75" s="333"/>
      <c r="I75" s="255"/>
      <c r="J75" s="255"/>
      <c r="K75" s="312">
        <v>14</v>
      </c>
      <c r="L75" s="313" t="str">
        <f ca="1">IF(OR(TRIM(H78)="-",TRIM(H79)="-"),IF(TRIM(H78)="-",H79,H78),IF(AND(I78="",I79="")," ",IF(N(I78)=N(I79)," ",IF(N(I78)&gt;N(I79),H78,H79))))</f>
        <v>PAK Albrechtice - Valík Václav</v>
      </c>
      <c r="M75" s="314"/>
      <c r="N75" s="315"/>
      <c r="O75" s="326"/>
      <c r="P75" s="327"/>
      <c r="Q75" s="293"/>
      <c r="R75" s="255"/>
      <c r="S75" s="255"/>
      <c r="T75" s="255"/>
      <c r="U75" s="255"/>
      <c r="V75" s="255"/>
      <c r="W75" s="326"/>
      <c r="X75" s="255"/>
      <c r="Y75" s="255"/>
      <c r="Z75" s="255"/>
      <c r="AA75" s="255"/>
      <c r="AB75" s="255"/>
      <c r="AC75" s="293"/>
      <c r="AD75" s="255"/>
      <c r="AE75" s="255"/>
      <c r="AF75" s="255"/>
      <c r="AG75" s="255"/>
      <c r="AH75" s="255"/>
      <c r="AI75" s="255"/>
      <c r="AJ75" s="293"/>
    </row>
    <row r="76" spans="1:36" ht="18" customHeight="1">
      <c r="A76" s="305" t="str">
        <f>VLOOKUP(C76,Postupy!$A$3:$C$66,3,0)</f>
        <v/>
      </c>
      <c r="B76" s="306"/>
      <c r="C76" s="307">
        <v>46</v>
      </c>
      <c r="D76" s="308" t="str">
        <f>VLOOKUP(C76,Postupy!$A$3:$B$66,2,0)</f>
        <v xml:space="preserve"> - </v>
      </c>
      <c r="E76" s="309"/>
      <c r="F76" s="316"/>
      <c r="G76" s="255"/>
      <c r="H76" s="331"/>
      <c r="I76" s="311"/>
      <c r="J76" s="311"/>
      <c r="K76" s="334"/>
      <c r="L76" s="335"/>
      <c r="M76" s="336"/>
      <c r="N76" s="255"/>
      <c r="O76" s="326"/>
      <c r="P76" s="327"/>
      <c r="Q76" s="293"/>
      <c r="R76" s="255"/>
      <c r="S76" s="255"/>
      <c r="T76" s="255"/>
      <c r="U76" s="255"/>
      <c r="V76" s="255"/>
      <c r="W76" s="326"/>
      <c r="X76" s="255"/>
      <c r="Y76" s="255"/>
      <c r="Z76" s="255"/>
      <c r="AA76" s="255"/>
      <c r="AB76" s="255"/>
      <c r="AC76" s="293"/>
      <c r="AD76" s="255"/>
      <c r="AE76" s="255"/>
      <c r="AF76" s="255"/>
      <c r="AG76" s="255"/>
      <c r="AH76" s="255"/>
      <c r="AI76" s="255"/>
      <c r="AJ76" s="293"/>
    </row>
    <row r="77" spans="1:36" ht="18" customHeight="1">
      <c r="A77" s="305" t="str">
        <f>VLOOKUP(C77,Postupy!$A$3:$C$66,3,0)</f>
        <v/>
      </c>
      <c r="B77" s="306"/>
      <c r="C77" s="312">
        <v>19</v>
      </c>
      <c r="D77" s="313" t="str">
        <f>VLOOKUP(C77,Postupy!$A$3:$B$66,2,0)</f>
        <v xml:space="preserve"> - </v>
      </c>
      <c r="E77" s="314"/>
      <c r="F77" s="337" t="s">
        <v>1690</v>
      </c>
      <c r="G77" s="316"/>
      <c r="H77" s="298" t="s">
        <v>1887</v>
      </c>
      <c r="I77" s="299" t="str">
        <f ca="1">IF(OR(TRIM(H78)="-",TRIM(H79)="-"),"",VLOOKUP(MIN(G78,G79),Hřiště!$B$11:$E$42,4,0))</f>
        <v/>
      </c>
      <c r="J77" s="311"/>
      <c r="K77" s="326"/>
      <c r="L77" s="333"/>
      <c r="M77" s="293"/>
      <c r="N77" s="255"/>
      <c r="O77" s="326"/>
      <c r="P77" s="327"/>
      <c r="Q77" s="293"/>
      <c r="R77" s="255"/>
      <c r="S77" s="255"/>
      <c r="T77" s="255"/>
      <c r="U77" s="255"/>
      <c r="V77" s="255"/>
      <c r="W77" s="326"/>
      <c r="X77" s="255"/>
      <c r="Y77" s="255"/>
      <c r="Z77" s="255"/>
      <c r="AA77" s="255"/>
      <c r="AB77" s="255"/>
      <c r="AC77" s="255"/>
      <c r="AD77" s="255"/>
      <c r="AE77" s="255"/>
      <c r="AF77" s="255"/>
      <c r="AG77" s="255"/>
      <c r="AH77" s="255"/>
      <c r="AI77" s="255"/>
      <c r="AJ77" s="293"/>
    </row>
    <row r="78" spans="1:36" ht="18" customHeight="1">
      <c r="A78" s="318"/>
      <c r="B78" s="319"/>
      <c r="C78" s="319">
        <f>C76+C77</f>
        <v>65</v>
      </c>
      <c r="D78" s="320"/>
      <c r="E78" s="321"/>
      <c r="F78" s="322"/>
      <c r="G78" s="307">
        <v>19</v>
      </c>
      <c r="H78" s="308" t="str">
        <f>IF(OR(TRIM(D76)="-",TRIM(D77)="-"),IF(TRIM(D76)="-",D77,D76),IF(AND(E76="",E77="")," ",IF(N(E76)=N(E77)," ",IF(N(E76)&gt;N(E77),D76,D77))))</f>
        <v xml:space="preserve"> - </v>
      </c>
      <c r="I78" s="309"/>
      <c r="J78" s="328"/>
      <c r="K78" s="326"/>
      <c r="L78" s="333"/>
      <c r="M78" s="293"/>
      <c r="N78" s="255"/>
      <c r="O78" s="326"/>
      <c r="P78" s="327"/>
      <c r="Q78" s="293"/>
      <c r="R78" s="255"/>
      <c r="S78" s="255"/>
      <c r="T78" s="255"/>
      <c r="U78" s="255"/>
      <c r="V78" s="255"/>
      <c r="W78" s="326"/>
      <c r="X78" s="255"/>
      <c r="Y78" s="255"/>
      <c r="Z78" s="255"/>
      <c r="AA78" s="255"/>
      <c r="AB78" s="255"/>
      <c r="AC78" s="255"/>
      <c r="AD78" s="255"/>
      <c r="AE78" s="255"/>
      <c r="AF78" s="255"/>
      <c r="AG78" s="255"/>
      <c r="AH78" s="255"/>
      <c r="AI78" s="255"/>
      <c r="AJ78" s="293"/>
    </row>
    <row r="79" spans="1:36" ht="18" customHeight="1">
      <c r="A79" s="323"/>
      <c r="B79" s="324"/>
      <c r="C79" s="325"/>
      <c r="D79" s="298" t="s">
        <v>1887</v>
      </c>
      <c r="E79" s="299" t="str">
        <f ca="1">IF(OR(TRIM(D80)="-",TRIM(D81)="-"),"",VLOOKUP(MIN(C80,C81),Hřiště!$B$11:$E$42,4,0))</f>
        <v/>
      </c>
      <c r="F79" s="269"/>
      <c r="G79" s="312">
        <v>14</v>
      </c>
      <c r="H79" s="313" t="str">
        <f ca="1">IF(OR(TRIM(D80)="-",TRIM(D81)="-"),IF(TRIM(D80)="-",D81,D80),IF(AND(E80="",E81="")," ",IF(N(E80)=N(E81)," ",IF(N(E80)&gt;N(E81),D80,D81))))</f>
        <v>PAK Albrechtice - Valík Václav</v>
      </c>
      <c r="I79" s="314"/>
      <c r="J79" s="268"/>
      <c r="K79" s="255"/>
      <c r="L79" s="333"/>
      <c r="M79" s="255"/>
      <c r="N79" s="255"/>
      <c r="O79" s="326"/>
      <c r="P79" s="327"/>
      <c r="Q79" s="293"/>
      <c r="R79" s="255"/>
      <c r="S79" s="255"/>
      <c r="T79" s="255"/>
      <c r="U79" s="255"/>
      <c r="V79" s="255"/>
      <c r="W79" s="326"/>
      <c r="X79" s="255"/>
      <c r="Y79" s="255"/>
      <c r="Z79" s="255"/>
      <c r="AA79" s="255"/>
      <c r="AB79" s="255"/>
      <c r="AC79" s="255"/>
      <c r="AD79" s="255"/>
      <c r="AE79" s="255"/>
      <c r="AF79" s="255"/>
      <c r="AG79" s="255"/>
      <c r="AH79" s="255"/>
      <c r="AI79" s="255"/>
      <c r="AJ79" s="255"/>
    </row>
    <row r="80" spans="1:36" ht="18" customHeight="1">
      <c r="A80" s="305" t="str">
        <f>VLOOKUP(C80,Postupy!$A$3:$C$66,3,0)</f>
        <v/>
      </c>
      <c r="B80" s="306"/>
      <c r="C80" s="307">
        <v>51</v>
      </c>
      <c r="D80" s="308" t="str">
        <f>VLOOKUP(C80,Postupy!$A$3:$B$66,2,0)</f>
        <v xml:space="preserve"> - </v>
      </c>
      <c r="E80" s="309"/>
      <c r="F80" s="338"/>
      <c r="G80" s="334"/>
      <c r="H80" s="335"/>
      <c r="I80" s="336"/>
      <c r="J80" s="255"/>
      <c r="K80" s="255"/>
      <c r="L80" s="331"/>
      <c r="M80" s="255"/>
      <c r="N80" s="255"/>
      <c r="O80" s="326"/>
      <c r="P80" s="327"/>
      <c r="Q80" s="293"/>
      <c r="R80" s="255"/>
      <c r="S80" s="255"/>
      <c r="T80" s="255"/>
      <c r="U80" s="255"/>
      <c r="V80" s="255"/>
      <c r="W80" s="326"/>
      <c r="X80" s="255"/>
      <c r="Y80" s="311"/>
      <c r="Z80" s="255"/>
      <c r="AA80" s="255"/>
      <c r="AB80" s="255"/>
      <c r="AC80" s="311"/>
      <c r="AD80" s="255"/>
      <c r="AE80" s="255"/>
      <c r="AF80" s="255"/>
      <c r="AG80" s="255"/>
      <c r="AH80" s="255"/>
      <c r="AI80" s="255"/>
      <c r="AJ80" s="255"/>
    </row>
    <row r="81" spans="1:36" ht="18" customHeight="1">
      <c r="A81" s="305" t="str">
        <f>VLOOKUP(C81,Postupy!$A$3:$C$66,3,0)</f>
        <v>D2</v>
      </c>
      <c r="B81" s="306"/>
      <c r="C81" s="312">
        <v>14</v>
      </c>
      <c r="D81" s="313" t="str">
        <f ca="1">VLOOKUP(C81,Postupy!$A$3:$B$66,2,0)</f>
        <v>PAK Albrechtice - Valík Václav</v>
      </c>
      <c r="E81" s="314"/>
      <c r="F81" s="339"/>
      <c r="G81" s="255"/>
      <c r="H81" s="331"/>
      <c r="I81" s="255"/>
      <c r="J81" s="255"/>
      <c r="K81" s="255"/>
      <c r="L81" s="340"/>
      <c r="M81" s="311"/>
      <c r="N81" s="311"/>
      <c r="O81" s="369"/>
      <c r="P81" s="298" t="s">
        <v>1887</v>
      </c>
      <c r="Q81" s="299" t="str">
        <f ca="1">IF(OR(TRIM(P82)="-",TRIM(P83)="-"),"",VLOOKUP(MIN(O82,O83),Hřiště!$B$11:$E$42,4,0))</f>
        <v/>
      </c>
      <c r="S81" s="269"/>
      <c r="T81" s="269"/>
      <c r="U81" s="269"/>
      <c r="V81" s="255"/>
      <c r="W81" s="326"/>
      <c r="X81" s="255"/>
      <c r="Y81" s="255"/>
      <c r="Z81" s="255"/>
      <c r="AA81" s="255"/>
      <c r="AB81" s="255"/>
      <c r="AC81" s="255"/>
      <c r="AD81" s="255"/>
      <c r="AE81" s="255"/>
      <c r="AF81" s="255"/>
      <c r="AG81" s="255"/>
      <c r="AH81" s="255"/>
      <c r="AI81" s="255"/>
      <c r="AJ81" s="255"/>
    </row>
    <row r="82" spans="1:36" ht="18" customHeight="1">
      <c r="A82" s="318"/>
      <c r="B82" s="319"/>
      <c r="C82" s="319">
        <f>C80+C81</f>
        <v>65</v>
      </c>
      <c r="D82" s="320"/>
      <c r="E82" s="321"/>
      <c r="F82" s="332">
        <f>C78+C82</f>
        <v>130</v>
      </c>
      <c r="G82" s="255"/>
      <c r="H82" s="333"/>
      <c r="I82" s="255"/>
      <c r="J82" s="255"/>
      <c r="K82" s="255"/>
      <c r="L82" s="341"/>
      <c r="M82" s="311"/>
      <c r="N82" s="311"/>
      <c r="O82" s="307">
        <v>3</v>
      </c>
      <c r="P82" s="308" t="str">
        <f ca="1">IF(OR(TRIM(L74)="-",TRIM(L75)="-"),IF(TRIM(L74)="-",L75,L74),IF(AND(M74="",M75="")," ",IF(N(M74)=N(M75)," ",IF(N(M74)&gt;N(M75),L74,L75))))</f>
        <v xml:space="preserve"> </v>
      </c>
      <c r="Q82" s="309"/>
      <c r="R82" s="311"/>
      <c r="S82" s="255"/>
      <c r="T82" s="255"/>
      <c r="U82" s="255"/>
      <c r="V82" s="255"/>
      <c r="W82" s="326"/>
      <c r="X82" s="255"/>
      <c r="Y82" s="255"/>
      <c r="Z82" s="255"/>
      <c r="AA82" s="255"/>
      <c r="AB82" s="255"/>
      <c r="AC82" s="255"/>
      <c r="AD82" s="255"/>
      <c r="AE82" s="255"/>
      <c r="AF82" s="255"/>
      <c r="AG82" s="255"/>
      <c r="AH82" s="255"/>
      <c r="AI82" s="255"/>
      <c r="AJ82" s="255"/>
    </row>
    <row r="83" spans="1:36" ht="18" customHeight="1">
      <c r="A83" s="323"/>
      <c r="B83" s="324"/>
      <c r="C83" s="325"/>
      <c r="D83" s="298" t="s">
        <v>1887</v>
      </c>
      <c r="E83" s="299" t="str">
        <f ca="1">IF(OR(TRIM(D84)="-",TRIM(D85)="-"),"",VLOOKUP(MIN(C84,C85),Hřiště!$B$11:$E$42,4,0))</f>
        <v/>
      </c>
      <c r="F83" s="255"/>
      <c r="G83" s="255"/>
      <c r="H83" s="333"/>
      <c r="I83" s="255"/>
      <c r="J83" s="255"/>
      <c r="K83" s="255"/>
      <c r="L83" s="341"/>
      <c r="M83" s="311"/>
      <c r="N83" s="322"/>
      <c r="O83" s="312">
        <v>6</v>
      </c>
      <c r="P83" s="313" t="str">
        <f ca="1">IF(OR(TRIM(L90)="-",TRIM(L91)="-"),IF(TRIM(L90)="-",L91,L90),IF(AND(M90="",M91="")," ",IF(N(M90)=N(M91)," ",IF(N(M90)&gt;N(M91),L90,L91))))</f>
        <v xml:space="preserve"> </v>
      </c>
      <c r="Q83" s="314"/>
      <c r="R83" s="315"/>
      <c r="S83" s="342"/>
      <c r="T83" s="255"/>
      <c r="U83" s="255"/>
      <c r="V83" s="255"/>
      <c r="W83" s="326"/>
      <c r="X83" s="255"/>
      <c r="Y83" s="255"/>
      <c r="Z83" s="255"/>
      <c r="AA83" s="255"/>
      <c r="AB83" s="255"/>
      <c r="AC83" s="255"/>
      <c r="AD83" s="255"/>
      <c r="AE83" s="255"/>
      <c r="AF83" s="255"/>
      <c r="AG83" s="255"/>
      <c r="AH83" s="255"/>
      <c r="AI83" s="255"/>
      <c r="AJ83" s="255"/>
    </row>
    <row r="84" spans="1:36" ht="18" customHeight="1">
      <c r="A84" s="305" t="str">
        <f>VLOOKUP(C84,Postupy!$A$3:$C$66,3,0)</f>
        <v>E2</v>
      </c>
      <c r="B84" s="306"/>
      <c r="C84" s="307">
        <v>11</v>
      </c>
      <c r="D84" s="308" t="str">
        <f ca="1">VLOOKUP(C84,Postupy!$A$3:$B$66,2,0)</f>
        <v>HRODE KRUMSÍN - Krpec Miroslav</v>
      </c>
      <c r="E84" s="309"/>
      <c r="F84" s="316"/>
      <c r="G84" s="255"/>
      <c r="H84" s="331"/>
      <c r="I84" s="255"/>
      <c r="J84" s="255"/>
      <c r="K84" s="255"/>
      <c r="L84" s="341"/>
      <c r="M84" s="311"/>
      <c r="N84" s="322"/>
      <c r="O84" s="334"/>
      <c r="P84" s="335"/>
      <c r="Q84" s="293"/>
      <c r="R84" s="311"/>
      <c r="S84" s="342"/>
      <c r="T84" s="343"/>
      <c r="U84" s="311"/>
      <c r="V84" s="255"/>
      <c r="W84" s="326"/>
      <c r="X84" s="255"/>
      <c r="Y84" s="255"/>
      <c r="Z84" s="255"/>
      <c r="AA84" s="255"/>
      <c r="AB84" s="255"/>
      <c r="AC84" s="293"/>
      <c r="AD84" s="255"/>
      <c r="AE84" s="255"/>
      <c r="AF84" s="255"/>
      <c r="AG84" s="255"/>
      <c r="AH84" s="255"/>
      <c r="AI84" s="293"/>
      <c r="AJ84" s="255"/>
    </row>
    <row r="85" spans="1:36" ht="18" customHeight="1">
      <c r="A85" s="305" t="str">
        <f>VLOOKUP(C85,Postupy!$A$3:$C$66,3,0)</f>
        <v/>
      </c>
      <c r="B85" s="306"/>
      <c r="C85" s="312">
        <v>54</v>
      </c>
      <c r="D85" s="313" t="str">
        <f>VLOOKUP(C85,Postupy!$A$3:$B$66,2,0)</f>
        <v xml:space="preserve"> - </v>
      </c>
      <c r="E85" s="314"/>
      <c r="F85" s="344"/>
      <c r="G85" s="316"/>
      <c r="H85" s="298" t="s">
        <v>1887</v>
      </c>
      <c r="I85" s="299" t="str">
        <f ca="1">IF(OR(TRIM(H86)="-",TRIM(H87)="-"),"",VLOOKUP(MIN(G86,G87),Hřiště!$B$11:$E$42,4,0))</f>
        <v/>
      </c>
      <c r="J85" s="255"/>
      <c r="K85" s="255"/>
      <c r="L85" s="341"/>
      <c r="M85" s="311"/>
      <c r="N85" s="322"/>
      <c r="O85" s="293"/>
      <c r="P85" s="333"/>
      <c r="Q85" s="311"/>
      <c r="R85" s="311"/>
      <c r="S85" s="342"/>
      <c r="T85" s="343"/>
      <c r="U85" s="311"/>
      <c r="V85" s="255"/>
      <c r="W85" s="326"/>
      <c r="X85" s="255"/>
      <c r="Y85" s="255"/>
      <c r="Z85" s="255"/>
      <c r="AA85" s="255"/>
      <c r="AB85" s="255"/>
      <c r="AC85" s="293"/>
      <c r="AD85" s="255"/>
      <c r="AE85" s="255"/>
      <c r="AF85" s="255"/>
      <c r="AG85" s="255"/>
      <c r="AH85" s="255"/>
      <c r="AI85" s="293"/>
      <c r="AJ85" s="255"/>
    </row>
    <row r="86" spans="1:36" ht="18" customHeight="1">
      <c r="A86" s="318"/>
      <c r="B86" s="319"/>
      <c r="C86" s="319">
        <f>C84+C85</f>
        <v>65</v>
      </c>
      <c r="D86" s="320"/>
      <c r="E86" s="321"/>
      <c r="F86" s="322"/>
      <c r="G86" s="307">
        <v>11</v>
      </c>
      <c r="H86" s="308" t="str">
        <f ca="1">IF(OR(TRIM(D84)="-",TRIM(D85)="-"),IF(TRIM(D84)="-",D85,D84),IF(AND(E84="",E85="")," ",IF(N(E84)=N(E85)," ",IF(N(E84)&gt;N(E85),D84,D85))))</f>
        <v>HRODE KRUMSÍN - Krpec Miroslav</v>
      </c>
      <c r="I86" s="309"/>
      <c r="J86" s="310"/>
      <c r="K86" s="255"/>
      <c r="L86" s="341"/>
      <c r="M86" s="311"/>
      <c r="N86" s="322"/>
      <c r="O86" s="293"/>
      <c r="P86" s="333"/>
      <c r="Q86" s="311"/>
      <c r="R86" s="311"/>
      <c r="S86" s="342"/>
      <c r="T86" s="343"/>
      <c r="U86" s="311"/>
      <c r="V86" s="255"/>
      <c r="W86" s="326"/>
      <c r="X86" s="255"/>
      <c r="Y86" s="255"/>
      <c r="Z86" s="255"/>
      <c r="AA86" s="255"/>
      <c r="AB86" s="255"/>
      <c r="AC86" s="293"/>
      <c r="AD86" s="255"/>
      <c r="AE86" s="255"/>
      <c r="AF86" s="255"/>
      <c r="AG86" s="255"/>
      <c r="AH86" s="255"/>
      <c r="AI86" s="293"/>
      <c r="AJ86" s="255"/>
    </row>
    <row r="87" spans="1:36" ht="18" customHeight="1">
      <c r="A87" s="323"/>
      <c r="B87" s="324"/>
      <c r="C87" s="325"/>
      <c r="D87" s="298" t="s">
        <v>1887</v>
      </c>
      <c r="E87" s="299" t="str">
        <f>IF(OR(TRIM(D88)="-",TRIM(D89)="-"),"",VLOOKUP(MIN(C88,C89),Hřiště!$B$11:$E$42,4,0))</f>
        <v/>
      </c>
      <c r="F87" s="322"/>
      <c r="G87" s="312">
        <v>22</v>
      </c>
      <c r="H87" s="313" t="str">
        <f>IF(OR(TRIM(D88)="-",TRIM(D89)="-"),IF(TRIM(D88)="-",D89,D88),IF(AND(E88="",E89="")," ",IF(N(E88)=N(E89)," ",IF(N(E88)&gt;N(E89),D88,D89))))</f>
        <v xml:space="preserve"> - </v>
      </c>
      <c r="I87" s="314"/>
      <c r="J87" s="315"/>
      <c r="K87" s="326"/>
      <c r="L87" s="345"/>
      <c r="M87" s="311"/>
      <c r="N87" s="322"/>
      <c r="O87" s="293"/>
      <c r="P87" s="331"/>
      <c r="Q87" s="311"/>
      <c r="R87" s="311"/>
      <c r="S87" s="342"/>
      <c r="T87" s="343"/>
      <c r="U87" s="311"/>
      <c r="V87" s="255"/>
      <c r="W87" s="326"/>
      <c r="X87" s="255"/>
      <c r="Y87" s="255"/>
      <c r="Z87" s="255"/>
      <c r="AA87" s="255"/>
      <c r="AB87" s="255"/>
      <c r="AC87" s="255"/>
      <c r="AD87" s="255"/>
      <c r="AE87" s="255"/>
      <c r="AF87" s="255"/>
      <c r="AG87" s="255"/>
      <c r="AH87" s="255"/>
      <c r="AI87" s="255"/>
      <c r="AJ87" s="255"/>
    </row>
    <row r="88" spans="1:36" ht="18" customHeight="1">
      <c r="A88" s="305" t="str">
        <f>VLOOKUP(C88,Postupy!$A$3:$C$66,3,0)</f>
        <v/>
      </c>
      <c r="B88" s="306"/>
      <c r="C88" s="307">
        <v>43</v>
      </c>
      <c r="D88" s="308" t="str">
        <f>VLOOKUP(C88,Postupy!$A$3:$B$66,2,0)</f>
        <v xml:space="preserve"> - </v>
      </c>
      <c r="E88" s="309"/>
      <c r="F88" s="328"/>
      <c r="G88" s="329"/>
      <c r="H88" s="335"/>
      <c r="I88" s="346"/>
      <c r="J88" s="311"/>
      <c r="K88" s="326"/>
      <c r="L88" s="347"/>
      <c r="M88" s="311"/>
      <c r="N88" s="322"/>
      <c r="O88" s="293"/>
      <c r="P88" s="340"/>
      <c r="Q88" s="311"/>
      <c r="R88" s="311"/>
      <c r="S88" s="342"/>
      <c r="T88" s="343"/>
      <c r="U88" s="311"/>
      <c r="V88" s="255"/>
      <c r="W88" s="326"/>
      <c r="X88" s="255"/>
      <c r="Y88" s="255"/>
      <c r="Z88" s="255"/>
      <c r="AA88" s="255"/>
      <c r="AB88" s="255"/>
      <c r="AC88" s="255"/>
      <c r="AD88" s="255"/>
      <c r="AE88" s="255"/>
      <c r="AF88" s="255"/>
      <c r="AG88" s="255"/>
      <c r="AH88" s="255"/>
      <c r="AI88" s="255"/>
      <c r="AJ88" s="255"/>
    </row>
    <row r="89" spans="1:36" ht="18" customHeight="1">
      <c r="A89" s="305" t="str">
        <f>VLOOKUP(C89,Postupy!$A$3:$C$66,3,0)</f>
        <v/>
      </c>
      <c r="B89" s="306"/>
      <c r="C89" s="312">
        <v>22</v>
      </c>
      <c r="D89" s="313" t="str">
        <f>VLOOKUP(C89,Postupy!$A$3:$B$66,2,0)</f>
        <v xml:space="preserve"> - </v>
      </c>
      <c r="E89" s="314"/>
      <c r="F89" s="268"/>
      <c r="G89" s="255"/>
      <c r="H89" s="331"/>
      <c r="I89" s="311"/>
      <c r="J89" s="311"/>
      <c r="K89" s="316"/>
      <c r="L89" s="298" t="s">
        <v>1887</v>
      </c>
      <c r="M89" s="299" t="str">
        <f ca="1">IF(OR(TRIM(L90)="-",TRIM(L91)="-"),"",VLOOKUP(MIN(K90,K91),Hřiště!$B$11:$E$42,4,0))</f>
        <v/>
      </c>
      <c r="N89" s="348"/>
      <c r="O89" s="293"/>
      <c r="P89" s="345"/>
      <c r="Q89" s="311"/>
      <c r="R89" s="311"/>
      <c r="S89" s="342"/>
      <c r="T89" s="343"/>
      <c r="U89" s="311"/>
      <c r="V89" s="255"/>
      <c r="W89" s="326"/>
      <c r="X89" s="255"/>
      <c r="Y89" s="255"/>
      <c r="Z89" s="255"/>
      <c r="AA89" s="255"/>
      <c r="AB89" s="255"/>
      <c r="AC89" s="255"/>
      <c r="AD89" s="255"/>
      <c r="AE89" s="255"/>
      <c r="AF89" s="255"/>
      <c r="AG89" s="255"/>
      <c r="AH89" s="255"/>
      <c r="AI89" s="255"/>
      <c r="AJ89" s="255"/>
    </row>
    <row r="90" spans="1:36" ht="18" customHeight="1">
      <c r="A90" s="318"/>
      <c r="B90" s="319"/>
      <c r="C90" s="319">
        <f>C88+C89</f>
        <v>65</v>
      </c>
      <c r="D90" s="320"/>
      <c r="E90" s="321"/>
      <c r="F90" s="332">
        <f>C86+C90</f>
        <v>130</v>
      </c>
      <c r="G90" s="255"/>
      <c r="H90" s="333"/>
      <c r="I90" s="255"/>
      <c r="J90" s="255"/>
      <c r="K90" s="307">
        <v>11</v>
      </c>
      <c r="L90" s="308" t="str">
        <f ca="1">IF(OR(TRIM(H86)="-",TRIM(H87)="-"),IF(TRIM(H86)="-",H87,H86),IF(AND(I86="",I87="")," ",IF(N(I86)=N(I87)," ",IF(N(I86)&gt;N(I87),H86,H87))))</f>
        <v>HRODE KRUMSÍN - Krpec Miroslav</v>
      </c>
      <c r="M90" s="309"/>
      <c r="N90" s="328"/>
      <c r="O90" s="255"/>
      <c r="P90" s="341"/>
      <c r="Q90" s="311"/>
      <c r="R90" s="311"/>
      <c r="S90" s="342"/>
      <c r="T90" s="343"/>
      <c r="U90" s="255"/>
      <c r="V90" s="255"/>
      <c r="W90" s="326"/>
      <c r="X90" s="255"/>
      <c r="Y90" s="311"/>
      <c r="Z90" s="255"/>
      <c r="AA90" s="255"/>
      <c r="AB90" s="255"/>
      <c r="AC90" s="311"/>
      <c r="AD90" s="255"/>
      <c r="AE90" s="255"/>
      <c r="AF90" s="255"/>
      <c r="AG90" s="255"/>
      <c r="AH90" s="255"/>
      <c r="AI90" s="311"/>
      <c r="AJ90" s="255"/>
    </row>
    <row r="91" spans="1:36" ht="18" customHeight="1">
      <c r="A91" s="323"/>
      <c r="B91" s="324"/>
      <c r="C91" s="325"/>
      <c r="D91" s="298" t="s">
        <v>1887</v>
      </c>
      <c r="E91" s="299" t="str">
        <f>IF(OR(TRIM(D92)="-",TRIM(D93)="-"),"",VLOOKUP(MIN(C92,C93),Hřiště!$B$11:$E$42,4,0))</f>
        <v/>
      </c>
      <c r="F91" s="255"/>
      <c r="G91" s="255"/>
      <c r="H91" s="333"/>
      <c r="I91" s="255"/>
      <c r="J91" s="255"/>
      <c r="K91" s="312">
        <v>6</v>
      </c>
      <c r="L91" s="313" t="str">
        <f ca="1">IF(OR(TRIM(H94)="-",TRIM(H95)="-"),IF(TRIM(H94)="-",H95,H94),IF(AND(I94="",I95="")," ",IF(N(I94)=N(I95)," ",IF(N(I94)&gt;N(I95),H94,H95))))</f>
        <v>TOP - ORLOVÁ - Bačo David</v>
      </c>
      <c r="M91" s="314"/>
      <c r="N91" s="268"/>
      <c r="O91" s="255"/>
      <c r="P91" s="341"/>
      <c r="Q91" s="311"/>
      <c r="R91" s="311"/>
      <c r="S91" s="342"/>
      <c r="T91" s="343"/>
      <c r="U91" s="255"/>
      <c r="V91" s="255"/>
      <c r="W91" s="326"/>
      <c r="X91" s="255"/>
      <c r="Y91" s="311"/>
      <c r="Z91" s="255"/>
      <c r="AA91" s="255"/>
      <c r="AB91" s="255"/>
      <c r="AC91" s="311"/>
      <c r="AD91" s="255"/>
      <c r="AE91" s="255"/>
      <c r="AF91" s="255"/>
      <c r="AG91" s="255"/>
      <c r="AH91" s="255"/>
      <c r="AI91" s="311"/>
      <c r="AJ91" s="255"/>
    </row>
    <row r="92" spans="1:36" ht="18" customHeight="1">
      <c r="A92" s="305" t="str">
        <f>VLOOKUP(C92,Postupy!$A$3:$C$66,3,0)</f>
        <v/>
      </c>
      <c r="B92" s="306"/>
      <c r="C92" s="307">
        <v>27</v>
      </c>
      <c r="D92" s="308" t="str">
        <f>VLOOKUP(C92,Postupy!$A$3:$B$66,2,0)</f>
        <v xml:space="preserve"> - </v>
      </c>
      <c r="E92" s="309"/>
      <c r="F92" s="316"/>
      <c r="G92" s="255"/>
      <c r="H92" s="331"/>
      <c r="I92" s="255"/>
      <c r="J92" s="311"/>
      <c r="K92" s="334"/>
      <c r="L92" s="335"/>
      <c r="M92" s="336"/>
      <c r="N92" s="255"/>
      <c r="O92" s="255"/>
      <c r="P92" s="341"/>
      <c r="Q92" s="311"/>
      <c r="R92" s="311"/>
      <c r="S92" s="342"/>
      <c r="T92" s="349"/>
      <c r="U92" s="311"/>
      <c r="V92" s="255"/>
      <c r="W92" s="326"/>
      <c r="X92" s="255"/>
      <c r="Y92" s="255"/>
      <c r="Z92" s="255"/>
      <c r="AA92" s="255"/>
      <c r="AB92" s="255"/>
      <c r="AC92" s="255"/>
      <c r="AD92" s="255"/>
      <c r="AE92" s="255"/>
      <c r="AF92" s="255"/>
      <c r="AG92" s="255"/>
      <c r="AH92" s="255"/>
      <c r="AI92" s="255"/>
      <c r="AJ92" s="255"/>
    </row>
    <row r="93" spans="1:36" ht="18" customHeight="1">
      <c r="A93" s="305" t="str">
        <f>VLOOKUP(C93,Postupy!$A$3:$C$66,3,0)</f>
        <v/>
      </c>
      <c r="B93" s="306"/>
      <c r="C93" s="312">
        <v>38</v>
      </c>
      <c r="D93" s="313" t="str">
        <f>VLOOKUP(C93,Postupy!$A$3:$B$66,2,0)</f>
        <v xml:space="preserve"> - </v>
      </c>
      <c r="E93" s="314"/>
      <c r="F93" s="337" t="s">
        <v>1690</v>
      </c>
      <c r="G93" s="316"/>
      <c r="H93" s="298" t="s">
        <v>1887</v>
      </c>
      <c r="I93" s="299" t="str">
        <f ca="1">IF(OR(TRIM(H94)="-",TRIM(H95)="-"),"",VLOOKUP(MIN(G94,G95),Hřiště!$B$11:$E$42,4,0))</f>
        <v/>
      </c>
      <c r="J93" s="311"/>
      <c r="K93" s="326"/>
      <c r="L93" s="333"/>
      <c r="M93" s="293"/>
      <c r="N93" s="255"/>
      <c r="O93" s="255"/>
      <c r="P93" s="341"/>
      <c r="Q93" s="311"/>
      <c r="R93" s="311"/>
      <c r="S93" s="342"/>
      <c r="T93" s="349"/>
      <c r="U93" s="311"/>
      <c r="V93" s="255"/>
      <c r="W93" s="326"/>
      <c r="X93" s="317"/>
      <c r="Y93" s="255"/>
      <c r="Z93" s="255"/>
      <c r="AA93" s="255"/>
      <c r="AB93" s="255"/>
      <c r="AC93" s="255"/>
      <c r="AD93" s="255"/>
      <c r="AE93" s="255"/>
      <c r="AF93" s="255"/>
      <c r="AG93" s="255"/>
      <c r="AH93" s="255"/>
      <c r="AI93" s="255"/>
      <c r="AJ93" s="255"/>
    </row>
    <row r="94" spans="1:36" ht="18" customHeight="1">
      <c r="A94" s="318"/>
      <c r="B94" s="319"/>
      <c r="C94" s="319">
        <f>C92+C93</f>
        <v>65</v>
      </c>
      <c r="D94" s="320"/>
      <c r="E94" s="321"/>
      <c r="F94" s="321"/>
      <c r="G94" s="307">
        <v>27</v>
      </c>
      <c r="H94" s="308" t="str">
        <f>IF(OR(TRIM(D92)="-",TRIM(D93)="-"),IF(TRIM(D92)="-",D93,D92),IF(AND(E92="",E93="")," ",IF(N(E92)=N(E93)," ",IF(N(E92)&gt;N(E93),D92,D93))))</f>
        <v xml:space="preserve"> - </v>
      </c>
      <c r="I94" s="309"/>
      <c r="J94" s="328"/>
      <c r="K94" s="326"/>
      <c r="L94" s="333"/>
      <c r="M94" s="293"/>
      <c r="N94" s="255"/>
      <c r="O94" s="255"/>
      <c r="P94" s="341"/>
      <c r="Q94" s="311"/>
      <c r="R94" s="311"/>
      <c r="S94" s="342"/>
      <c r="T94" s="349"/>
      <c r="U94" s="311"/>
      <c r="V94" s="255"/>
      <c r="W94" s="326"/>
      <c r="X94" s="317"/>
      <c r="Y94" s="255"/>
      <c r="Z94" s="255"/>
      <c r="AA94" s="255"/>
      <c r="AB94" s="255"/>
      <c r="AC94" s="255"/>
      <c r="AD94" s="255"/>
      <c r="AE94" s="255"/>
      <c r="AF94" s="255"/>
      <c r="AG94" s="255"/>
      <c r="AH94" s="255"/>
      <c r="AI94" s="255"/>
      <c r="AJ94" s="255"/>
    </row>
    <row r="95" spans="1:36" ht="18" customHeight="1">
      <c r="A95" s="323"/>
      <c r="B95" s="324"/>
      <c r="C95" s="325"/>
      <c r="D95" s="298" t="s">
        <v>1887</v>
      </c>
      <c r="E95" s="299" t="str">
        <f ca="1">IF(OR(TRIM(D96)="-",TRIM(D97)="-"),"",VLOOKUP(MIN(C96,C97),Hřiště!$B$11:$E$42,4,0))</f>
        <v/>
      </c>
      <c r="F95" s="269"/>
      <c r="G95" s="312">
        <v>6</v>
      </c>
      <c r="H95" s="313" t="str">
        <f ca="1">IF(OR(TRIM(D96)="-",TRIM(D97)="-"),IF(TRIM(D96)="-",D97,D96),IF(AND(E96="",E97="")," ",IF(N(E96)=N(E97)," ",IF(N(E96)&gt;N(E97),D96,D97))))</f>
        <v>TOP - ORLOVÁ - Bačo David</v>
      </c>
      <c r="I95" s="314"/>
      <c r="J95" s="268"/>
      <c r="K95" s="255"/>
      <c r="L95" s="333"/>
      <c r="M95" s="255"/>
      <c r="N95" s="255"/>
      <c r="O95" s="255"/>
      <c r="P95" s="341"/>
      <c r="Q95" s="311"/>
      <c r="R95" s="311"/>
      <c r="S95" s="342"/>
      <c r="T95" s="349"/>
      <c r="U95" s="311"/>
      <c r="V95" s="255"/>
      <c r="W95" s="326"/>
      <c r="X95" s="317"/>
      <c r="Y95" s="255"/>
      <c r="Z95" s="255"/>
      <c r="AA95" s="255"/>
      <c r="AB95" s="255"/>
      <c r="AC95" s="255"/>
      <c r="AD95" s="255"/>
      <c r="AE95" s="255"/>
      <c r="AF95" s="255"/>
      <c r="AG95" s="255"/>
      <c r="AH95" s="255"/>
      <c r="AI95" s="255"/>
      <c r="AJ95" s="255"/>
    </row>
    <row r="96" spans="1:36" ht="18" customHeight="1">
      <c r="A96" s="305" t="str">
        <f>VLOOKUP(C96,Postupy!$A$3:$C$66,3,0)</f>
        <v/>
      </c>
      <c r="B96" s="306"/>
      <c r="C96" s="307">
        <v>59</v>
      </c>
      <c r="D96" s="308" t="str">
        <f>VLOOKUP(C96,Postupy!$A$3:$B$66,2,0)</f>
        <v xml:space="preserve"> - </v>
      </c>
      <c r="E96" s="309"/>
      <c r="F96" s="338"/>
      <c r="G96" s="334"/>
      <c r="H96" s="335"/>
      <c r="I96" s="336"/>
      <c r="J96" s="255"/>
      <c r="K96" s="255"/>
      <c r="L96" s="331"/>
      <c r="M96" s="255"/>
      <c r="N96" s="255"/>
      <c r="O96" s="255"/>
      <c r="P96" s="341"/>
      <c r="Q96" s="311"/>
      <c r="R96" s="311"/>
      <c r="S96" s="342"/>
      <c r="T96" s="349"/>
      <c r="U96" s="311"/>
      <c r="V96" s="255"/>
      <c r="W96" s="326"/>
      <c r="X96" s="317"/>
      <c r="Y96" s="255"/>
      <c r="Z96" s="255"/>
      <c r="AA96" s="255"/>
      <c r="AB96" s="255"/>
      <c r="AC96" s="255"/>
      <c r="AD96" s="255"/>
      <c r="AE96" s="255"/>
      <c r="AF96" s="255"/>
      <c r="AG96" s="255"/>
      <c r="AH96" s="255"/>
      <c r="AI96" s="255"/>
      <c r="AJ96" s="255"/>
    </row>
    <row r="97" spans="1:36" ht="18" customHeight="1">
      <c r="A97" s="305" t="str">
        <f>VLOOKUP(C97,Postupy!$A$3:$C$66,3,0)</f>
        <v>F1</v>
      </c>
      <c r="B97" s="306"/>
      <c r="C97" s="312">
        <v>6</v>
      </c>
      <c r="D97" s="313" t="str">
        <f ca="1">VLOOKUP(C97,Postupy!$A$3:$B$66,2,0)</f>
        <v>TOP - ORLOVÁ - Bačo David</v>
      </c>
      <c r="E97" s="314"/>
      <c r="F97" s="339"/>
      <c r="G97" s="255"/>
      <c r="H97" s="331"/>
      <c r="I97" s="255"/>
      <c r="J97" s="255"/>
      <c r="K97" s="255"/>
      <c r="L97" s="340"/>
      <c r="M97" s="255"/>
      <c r="N97" s="255"/>
      <c r="O97" s="255"/>
      <c r="P97" s="341"/>
      <c r="Q97" s="311"/>
      <c r="R97" s="311"/>
      <c r="S97" s="342"/>
      <c r="T97" s="298" t="s">
        <v>1887</v>
      </c>
      <c r="U97" s="299" t="str">
        <f ca="1">IF(OR(TRIM(T98)="-",TRIM(T99)="-"),"",VLOOKUP(MIN(S98,S99),Hřiště!$B$11:$E$42,4,0))</f>
        <v/>
      </c>
      <c r="V97" s="255"/>
      <c r="W97" s="326"/>
      <c r="X97" s="255"/>
      <c r="Y97" s="255"/>
      <c r="Z97" s="255"/>
      <c r="AA97" s="255"/>
      <c r="AB97" s="255"/>
      <c r="AC97" s="255"/>
      <c r="AD97" s="255"/>
      <c r="AE97" s="255"/>
      <c r="AF97" s="255"/>
      <c r="AG97" s="255"/>
      <c r="AH97" s="255"/>
      <c r="AI97" s="255"/>
      <c r="AJ97" s="255"/>
    </row>
    <row r="98" spans="1:36" ht="18" customHeight="1">
      <c r="A98" s="318"/>
      <c r="B98" s="319"/>
      <c r="C98" s="319">
        <f>C96+C97</f>
        <v>65</v>
      </c>
      <c r="D98" s="320"/>
      <c r="E98" s="321"/>
      <c r="F98" s="332">
        <f>C94+C98</f>
        <v>130</v>
      </c>
      <c r="G98" s="255"/>
      <c r="H98" s="333"/>
      <c r="I98" s="255"/>
      <c r="J98" s="255"/>
      <c r="K98" s="255"/>
      <c r="L98" s="350"/>
      <c r="M98" s="255"/>
      <c r="N98" s="255"/>
      <c r="O98" s="255"/>
      <c r="P98" s="350"/>
      <c r="Q98" s="255"/>
      <c r="R98" s="255"/>
      <c r="S98" s="351">
        <v>3</v>
      </c>
      <c r="T98" s="308" t="str">
        <f ca="1">IF(OR(TRIM(P82)="-",TRIM(P83)="-"),IF(TRIM(P82)="-",P83,P82),IF(AND(Q82="",Q83="")," ",IF(N(Q82)=N(Q83)," ",IF(N(Q82)&gt;N(Q83),P82,P83))))</f>
        <v xml:space="preserve"> </v>
      </c>
      <c r="U98" s="309"/>
      <c r="V98" s="328"/>
      <c r="W98" s="255"/>
      <c r="X98" s="255"/>
      <c r="Y98" s="255"/>
      <c r="Z98" s="255"/>
      <c r="AA98" s="255"/>
      <c r="AB98" s="255"/>
      <c r="AC98" s="255"/>
      <c r="AD98" s="255"/>
      <c r="AE98" s="255"/>
      <c r="AF98" s="255"/>
      <c r="AG98" s="255"/>
      <c r="AH98" s="255"/>
      <c r="AI98" s="255"/>
      <c r="AJ98" s="255"/>
    </row>
    <row r="99" spans="1:36" ht="18" customHeight="1">
      <c r="A99" s="323"/>
      <c r="B99" s="324"/>
      <c r="C99" s="325"/>
      <c r="D99" s="298" t="s">
        <v>1887</v>
      </c>
      <c r="E99" s="299" t="str">
        <f ca="1">IF(OR(TRIM(D100)="-",TRIM(D101)="-"),"",VLOOKUP(MIN(C100,C101),Hřiště!$B$11:$E$42,4,0))</f>
        <v/>
      </c>
      <c r="F99" s="321"/>
      <c r="G99" s="255"/>
      <c r="H99" s="333"/>
      <c r="I99" s="255"/>
      <c r="J99" s="255"/>
      <c r="K99" s="255"/>
      <c r="L99" s="350"/>
      <c r="M99" s="255"/>
      <c r="N99" s="255"/>
      <c r="O99" s="255"/>
      <c r="P99" s="350"/>
      <c r="Q99" s="255"/>
      <c r="R99" s="255"/>
      <c r="S99" s="312">
        <v>2</v>
      </c>
      <c r="T99" s="313" t="str">
        <f ca="1">IF(OR(TRIM(P114)="-",TRIM(P115)="-"),IF(TRIM(P114)="-",P115,P114),IF(AND(Q114="",Q115="")," ",IF(N(Q114)=N(Q115)," ",IF(N(Q114)&gt;N(Q115),P114,P115))))</f>
        <v xml:space="preserve"> </v>
      </c>
      <c r="U99" s="314"/>
      <c r="V99" s="268"/>
      <c r="W99" s="255"/>
      <c r="X99" s="255"/>
      <c r="Y99" s="311"/>
      <c r="Z99" s="255"/>
      <c r="AA99" s="255"/>
      <c r="AB99" s="255"/>
      <c r="AC99" s="255"/>
      <c r="AD99" s="255"/>
      <c r="AE99" s="255"/>
      <c r="AF99" s="255"/>
      <c r="AG99" s="255"/>
      <c r="AH99" s="255"/>
      <c r="AI99" s="255"/>
      <c r="AJ99" s="255"/>
    </row>
    <row r="100" spans="1:36" ht="18" customHeight="1">
      <c r="A100" s="305" t="str">
        <f>VLOOKUP(C100,Postupy!$A$3:$C$66,3,0)</f>
        <v>G1</v>
      </c>
      <c r="B100" s="306"/>
      <c r="C100" s="307">
        <v>7</v>
      </c>
      <c r="D100" s="308" t="str">
        <f ca="1">VLOOKUP(C100,Postupy!$A$3:$B$66,2,0)</f>
        <v>Carreau Brno - Hodboď Pavel</v>
      </c>
      <c r="E100" s="309"/>
      <c r="F100" s="316"/>
      <c r="G100" s="255"/>
      <c r="H100" s="331"/>
      <c r="I100" s="255"/>
      <c r="J100" s="255"/>
      <c r="K100" s="255"/>
      <c r="L100" s="350"/>
      <c r="M100" s="255"/>
      <c r="N100" s="255"/>
      <c r="O100" s="255"/>
      <c r="P100" s="341"/>
      <c r="Q100" s="311"/>
      <c r="R100" s="311"/>
      <c r="S100" s="334"/>
      <c r="T100" s="352"/>
      <c r="U100" s="336"/>
      <c r="V100" s="255"/>
      <c r="W100" s="255"/>
      <c r="X100" s="255"/>
      <c r="Y100" s="311"/>
      <c r="Z100" s="255"/>
      <c r="AA100" s="255"/>
      <c r="AB100" s="255"/>
      <c r="AC100" s="255"/>
      <c r="AD100" s="255"/>
      <c r="AE100" s="255"/>
      <c r="AF100" s="255"/>
      <c r="AG100" s="255"/>
      <c r="AH100" s="255"/>
      <c r="AI100" s="255"/>
      <c r="AJ100" s="255"/>
    </row>
    <row r="101" spans="1:36" ht="18" customHeight="1">
      <c r="A101" s="305" t="str">
        <f>VLOOKUP(C101,Postupy!$A$3:$C$66,3,0)</f>
        <v/>
      </c>
      <c r="B101" s="306"/>
      <c r="C101" s="312">
        <v>58</v>
      </c>
      <c r="D101" s="313" t="str">
        <f>VLOOKUP(C101,Postupy!$A$3:$B$66,2,0)</f>
        <v xml:space="preserve"> - </v>
      </c>
      <c r="E101" s="314"/>
      <c r="F101" s="344"/>
      <c r="G101" s="316"/>
      <c r="H101" s="298" t="s">
        <v>1887</v>
      </c>
      <c r="I101" s="299" t="str">
        <f ca="1">IF(OR(TRIM(H102)="-",TRIM(H103)="-"),"",VLOOKUP(MIN(G102,G103),Hřiště!$B$11:$E$42,4,0))</f>
        <v/>
      </c>
      <c r="J101" s="255"/>
      <c r="K101" s="255"/>
      <c r="L101" s="350"/>
      <c r="M101" s="255"/>
      <c r="N101" s="255"/>
      <c r="O101" s="255"/>
      <c r="P101" s="341"/>
      <c r="Q101" s="311"/>
      <c r="R101" s="311"/>
      <c r="S101" s="326"/>
      <c r="T101" s="317"/>
      <c r="U101" s="293"/>
      <c r="V101" s="255"/>
      <c r="W101" s="255"/>
      <c r="X101" s="317"/>
      <c r="Y101" s="255"/>
      <c r="Z101" s="255"/>
      <c r="AA101" s="255"/>
      <c r="AB101" s="255"/>
      <c r="AC101" s="255"/>
      <c r="AD101" s="255"/>
      <c r="AE101" s="255"/>
      <c r="AF101" s="255"/>
      <c r="AG101" s="255"/>
      <c r="AH101" s="255"/>
      <c r="AI101" s="255"/>
      <c r="AJ101" s="255"/>
    </row>
    <row r="102" spans="1:36" ht="18" customHeight="1">
      <c r="A102" s="318"/>
      <c r="B102" s="319"/>
      <c r="C102" s="319">
        <f>C100+C101</f>
        <v>65</v>
      </c>
      <c r="D102" s="320"/>
      <c r="E102" s="321"/>
      <c r="F102" s="322"/>
      <c r="G102" s="307">
        <v>7</v>
      </c>
      <c r="H102" s="308" t="str">
        <f ca="1">IF(OR(TRIM(D100)="-",TRIM(D101)="-"),IF(TRIM(D100)="-",D101,D100),IF(AND(E100="",E101="")," ",IF(N(E100)=N(E101)," ",IF(N(E100)&gt;N(E101),D100,D101))))</f>
        <v>Carreau Brno - Hodboď Pavel</v>
      </c>
      <c r="I102" s="309"/>
      <c r="J102" s="310"/>
      <c r="K102" s="255"/>
      <c r="L102" s="350"/>
      <c r="M102" s="255"/>
      <c r="N102" s="255"/>
      <c r="O102" s="255"/>
      <c r="P102" s="341"/>
      <c r="Q102" s="311"/>
      <c r="R102" s="311"/>
      <c r="S102" s="326"/>
      <c r="T102" s="317"/>
      <c r="U102" s="293"/>
      <c r="V102" s="255"/>
      <c r="W102" s="255"/>
      <c r="X102" s="317"/>
      <c r="Y102" s="255"/>
      <c r="Z102" s="255"/>
      <c r="AA102" s="255"/>
      <c r="AB102" s="255"/>
      <c r="AC102" s="255"/>
      <c r="AD102" s="255"/>
      <c r="AE102" s="255"/>
      <c r="AF102" s="255"/>
      <c r="AG102" s="255"/>
      <c r="AH102" s="255"/>
      <c r="AI102" s="255"/>
      <c r="AJ102" s="255"/>
    </row>
    <row r="103" spans="1:36" ht="18" customHeight="1">
      <c r="A103" s="323"/>
      <c r="B103" s="324"/>
      <c r="C103" s="325"/>
      <c r="D103" s="298" t="s">
        <v>1887</v>
      </c>
      <c r="E103" s="299" t="str">
        <f>IF(OR(TRIM(D104)="-",TRIM(D105)="-"),"",VLOOKUP(MIN(C104,C105),Hřiště!$B$11:$E$42,4,0))</f>
        <v/>
      </c>
      <c r="F103" s="322"/>
      <c r="G103" s="312">
        <v>26</v>
      </c>
      <c r="H103" s="313" t="str">
        <f>IF(OR(TRIM(D104)="-",TRIM(D105)="-"),IF(TRIM(D104)="-",D105,D104),IF(AND(E104="",E105="")," ",IF(N(E104)=N(E105)," ",IF(N(E104)&gt;N(E105),D104,D105))))</f>
        <v xml:space="preserve"> - </v>
      </c>
      <c r="I103" s="314"/>
      <c r="J103" s="315"/>
      <c r="K103" s="326"/>
      <c r="L103" s="320"/>
      <c r="M103" s="293"/>
      <c r="N103" s="255"/>
      <c r="O103" s="255"/>
      <c r="P103" s="341"/>
      <c r="Q103" s="311"/>
      <c r="R103" s="311"/>
      <c r="S103" s="326"/>
      <c r="T103" s="317"/>
      <c r="U103" s="293"/>
      <c r="V103" s="255"/>
      <c r="W103" s="255"/>
      <c r="X103" s="370" t="s">
        <v>1888</v>
      </c>
      <c r="Y103" s="255"/>
      <c r="Z103" s="255"/>
      <c r="AA103" s="255"/>
      <c r="AB103" s="255"/>
      <c r="AC103" s="255"/>
      <c r="AD103" s="255"/>
      <c r="AE103" s="255"/>
      <c r="AF103" s="255"/>
      <c r="AG103" s="255"/>
      <c r="AH103" s="255"/>
      <c r="AI103" s="255"/>
      <c r="AJ103" s="255"/>
    </row>
    <row r="104" spans="1:36" ht="18" customHeight="1">
      <c r="A104" s="305" t="str">
        <f>VLOOKUP(C104,Postupy!$A$3:$C$66,3,0)</f>
        <v/>
      </c>
      <c r="B104" s="306"/>
      <c r="C104" s="307">
        <v>39</v>
      </c>
      <c r="D104" s="308" t="str">
        <f>VLOOKUP(C104,Postupy!$A$3:$B$66,2,0)</f>
        <v xml:space="preserve"> - </v>
      </c>
      <c r="E104" s="309"/>
      <c r="F104" s="328"/>
      <c r="G104" s="334"/>
      <c r="H104" s="335"/>
      <c r="I104" s="336"/>
      <c r="J104" s="311"/>
      <c r="K104" s="326"/>
      <c r="L104" s="347"/>
      <c r="M104" s="293"/>
      <c r="N104" s="255"/>
      <c r="O104" s="255"/>
      <c r="P104" s="341"/>
      <c r="Q104" s="311"/>
      <c r="R104" s="311"/>
      <c r="S104" s="326"/>
      <c r="T104" s="255"/>
      <c r="U104" s="293"/>
      <c r="V104" s="255"/>
      <c r="W104" s="255"/>
      <c r="X104" s="371" t="s">
        <v>1889</v>
      </c>
      <c r="Y104" s="255"/>
      <c r="Z104" s="255"/>
      <c r="AA104" s="255"/>
      <c r="AB104" s="255"/>
      <c r="AC104" s="255"/>
      <c r="AD104" s="255"/>
      <c r="AE104" s="255"/>
      <c r="AF104" s="255"/>
      <c r="AG104" s="255"/>
      <c r="AH104" s="255"/>
      <c r="AI104" s="255"/>
      <c r="AJ104" s="255"/>
    </row>
    <row r="105" spans="1:36" ht="18" customHeight="1">
      <c r="A105" s="305" t="str">
        <f>VLOOKUP(C105,Postupy!$A$3:$C$66,3,0)</f>
        <v/>
      </c>
      <c r="B105" s="306"/>
      <c r="C105" s="312">
        <v>26</v>
      </c>
      <c r="D105" s="313" t="str">
        <f>VLOOKUP(C105,Postupy!$A$3:$B$66,2,0)</f>
        <v xml:space="preserve"> - </v>
      </c>
      <c r="E105" s="314"/>
      <c r="F105" s="268"/>
      <c r="G105" s="255"/>
      <c r="H105" s="331"/>
      <c r="I105" s="311"/>
      <c r="J105" s="311"/>
      <c r="K105" s="316"/>
      <c r="L105" s="298" t="s">
        <v>1887</v>
      </c>
      <c r="M105" s="299" t="str">
        <f ca="1">IF(OR(TRIM(L106)="-",TRIM(L107)="-"),"",VLOOKUP(MIN(K106,K107),Hřiště!$B$11:$E$42,4,0))</f>
        <v/>
      </c>
      <c r="N105" s="269"/>
      <c r="O105" s="255"/>
      <c r="P105" s="341"/>
      <c r="Q105" s="311"/>
      <c r="R105" s="311"/>
      <c r="S105" s="326"/>
      <c r="T105" s="255"/>
      <c r="U105" s="293"/>
      <c r="V105" s="255"/>
      <c r="W105" s="255"/>
      <c r="X105" s="298" t="s">
        <v>1887</v>
      </c>
      <c r="Y105" s="299" t="str">
        <f ca="1">IF(OR(TRIM(X106)="-",TRIM(X107)="-"),"",VLOOKUP(MIN(W106,W107),Hřiště!$B$11:$E$42,4,0))</f>
        <v/>
      </c>
      <c r="Z105" s="255"/>
      <c r="AA105" s="255"/>
      <c r="AB105" s="255"/>
      <c r="AC105" s="255"/>
      <c r="AD105" s="255"/>
      <c r="AE105" s="255"/>
      <c r="AF105" s="255"/>
      <c r="AG105" s="255"/>
      <c r="AH105" s="255"/>
      <c r="AI105" s="255"/>
      <c r="AJ105" s="255"/>
    </row>
    <row r="106" spans="1:36" ht="18" customHeight="1">
      <c r="A106" s="318"/>
      <c r="B106" s="319"/>
      <c r="C106" s="319">
        <f>C104+C105</f>
        <v>65</v>
      </c>
      <c r="D106" s="320"/>
      <c r="E106" s="321"/>
      <c r="F106" s="332">
        <f>C102+C106</f>
        <v>130</v>
      </c>
      <c r="G106" s="255"/>
      <c r="H106" s="333"/>
      <c r="I106" s="255"/>
      <c r="J106" s="255"/>
      <c r="K106" s="307">
        <v>7</v>
      </c>
      <c r="L106" s="308" t="str">
        <f ca="1">IF(OR(TRIM(H102)="-",TRIM(H103)="-"),IF(TRIM(H102)="-",H103,H102),IF(AND(I102="",I103="")," ",IF(N(I102)=N(I103)," ",IF(N(I102)&gt;N(I103),H102,H103))))</f>
        <v>Carreau Brno - Hodboď Pavel</v>
      </c>
      <c r="M106" s="309"/>
      <c r="N106" s="310"/>
      <c r="O106" s="293"/>
      <c r="P106" s="341"/>
      <c r="Q106" s="311"/>
      <c r="R106" s="311"/>
      <c r="S106" s="326"/>
      <c r="T106" s="293"/>
      <c r="U106" s="293"/>
      <c r="V106" s="255"/>
      <c r="W106" s="307">
        <v>4</v>
      </c>
      <c r="X106" s="308" t="str">
        <f ca="1">IF(OR(TRIM(T34)="-",TRIM(T35)="-"),IF(TRIM(T34)="-",T34,T35),IF(AND(U34="",U35="")," ",IF(N(U34)=N(U35)," ",IF(N(U34)&gt;N(U35),T35,T34))))</f>
        <v xml:space="preserve"> </v>
      </c>
      <c r="Y106" s="309"/>
      <c r="Z106" s="328"/>
      <c r="AA106" s="351">
        <v>3</v>
      </c>
      <c r="AB106" s="367" t="str">
        <f>IF(AND(Y106="",Y107="")," ",IF(N(Y106)=N(Y107)," ",IF(N(Y106)&gt;N(Y107),X106,X107)))</f>
        <v xml:space="preserve"> </v>
      </c>
      <c r="AC106" s="368">
        <v>3</v>
      </c>
      <c r="AD106" s="255"/>
      <c r="AE106" s="255"/>
      <c r="AF106" s="255"/>
      <c r="AG106" s="311"/>
      <c r="AH106" s="311"/>
      <c r="AI106" s="255"/>
      <c r="AJ106" s="255"/>
    </row>
    <row r="107" spans="1:36" ht="18" customHeight="1">
      <c r="A107" s="323"/>
      <c r="B107" s="324"/>
      <c r="C107" s="325"/>
      <c r="D107" s="298" t="s">
        <v>1887</v>
      </c>
      <c r="E107" s="299" t="str">
        <f>IF(OR(TRIM(D108)="-",TRIM(D109)="-"),"",VLOOKUP(MIN(C108,C109),Hřiště!$B$11:$E$42,4,0))</f>
        <v/>
      </c>
      <c r="F107" s="255"/>
      <c r="G107" s="255"/>
      <c r="H107" s="333"/>
      <c r="I107" s="255"/>
      <c r="J107" s="255"/>
      <c r="K107" s="312">
        <v>10</v>
      </c>
      <c r="L107" s="313" t="str">
        <f ca="1">IF(OR(TRIM(H110)="-",TRIM(H111)="-"),IF(TRIM(H110)="-",H111,H110),IF(AND(I110="",I111="")," ",IF(N(I110)=N(I111)," ",IF(N(I110)&gt;N(I111),H110,H111))))</f>
        <v>SOKOL Staříč - Šimíček Ladislav</v>
      </c>
      <c r="M107" s="314"/>
      <c r="N107" s="315"/>
      <c r="O107" s="326"/>
      <c r="P107" s="341"/>
      <c r="Q107" s="311"/>
      <c r="R107" s="311"/>
      <c r="S107" s="326"/>
      <c r="T107" s="293"/>
      <c r="U107" s="293"/>
      <c r="V107" s="255"/>
      <c r="W107" s="312">
        <v>3</v>
      </c>
      <c r="X107" s="313" t="str">
        <f ca="1">IF(OR(TRIM(T98)="-",TRIM(T99)="-"),IF(TRIM(T98)="-",T98,T99),IF(AND(U98="",U99="")," ",IF(N(U98)=N(U99)," ",IF(N(U98)&gt;N(U99),T99,T98))))</f>
        <v xml:space="preserve"> </v>
      </c>
      <c r="Y107" s="314"/>
      <c r="Z107" s="315"/>
      <c r="AA107" s="351">
        <v>4</v>
      </c>
      <c r="AB107" s="367" t="str">
        <f>IF(AND(Y106="",Y107="")," ",IF(N(Y107)=N(Y106)," ",IF(N(Y107)&gt;N(Y106),X106,X107)))</f>
        <v xml:space="preserve"> </v>
      </c>
      <c r="AC107" s="368">
        <v>4</v>
      </c>
      <c r="AD107" s="255"/>
      <c r="AE107" s="311"/>
      <c r="AF107" s="311"/>
      <c r="AG107" s="311"/>
      <c r="AH107" s="311"/>
      <c r="AI107" s="255"/>
      <c r="AJ107" s="255"/>
    </row>
    <row r="108" spans="1:36" ht="18" customHeight="1">
      <c r="A108" s="305" t="str">
        <f>VLOOKUP(C108,Postupy!$A$3:$C$66,3,0)</f>
        <v/>
      </c>
      <c r="B108" s="306"/>
      <c r="C108" s="307">
        <v>23</v>
      </c>
      <c r="D108" s="308" t="str">
        <f>VLOOKUP(C108,Postupy!$A$3:$B$66,2,0)</f>
        <v xml:space="preserve"> - </v>
      </c>
      <c r="E108" s="309"/>
      <c r="F108" s="316"/>
      <c r="G108" s="255"/>
      <c r="H108" s="331"/>
      <c r="I108" s="255"/>
      <c r="J108" s="311"/>
      <c r="K108" s="334"/>
      <c r="L108" s="335"/>
      <c r="M108" s="336"/>
      <c r="N108" s="255"/>
      <c r="O108" s="326"/>
      <c r="P108" s="341"/>
      <c r="Q108" s="311"/>
      <c r="R108" s="311"/>
      <c r="S108" s="326"/>
      <c r="T108" s="293"/>
      <c r="U108" s="293"/>
      <c r="V108" s="255"/>
      <c r="W108" s="255"/>
      <c r="X108" s="293"/>
      <c r="Y108" s="293"/>
      <c r="Z108" s="293"/>
      <c r="AA108" s="255"/>
      <c r="AB108" s="255"/>
      <c r="AC108" s="255"/>
      <c r="AD108" s="255"/>
      <c r="AE108" s="255"/>
      <c r="AF108" s="255"/>
      <c r="AG108" s="255"/>
      <c r="AH108" s="255"/>
      <c r="AI108" s="255"/>
      <c r="AJ108" s="255"/>
    </row>
    <row r="109" spans="1:36" ht="18" customHeight="1">
      <c r="A109" s="305" t="str">
        <f>VLOOKUP(C109,Postupy!$A$3:$C$66,3,0)</f>
        <v/>
      </c>
      <c r="B109" s="306"/>
      <c r="C109" s="312">
        <v>42</v>
      </c>
      <c r="D109" s="313" t="str">
        <f>VLOOKUP(C109,Postupy!$A$3:$B$66,2,0)</f>
        <v xml:space="preserve"> - </v>
      </c>
      <c r="E109" s="314"/>
      <c r="F109" s="337" t="s">
        <v>1690</v>
      </c>
      <c r="G109" s="316"/>
      <c r="H109" s="298" t="s">
        <v>1887</v>
      </c>
      <c r="I109" s="299" t="str">
        <f ca="1">IF(OR(TRIM(H110)="-",TRIM(H111)="-"),"",VLOOKUP(MIN(G110,G111),Hřiště!$B$11:$E$42,4,0))</f>
        <v/>
      </c>
      <c r="J109" s="311"/>
      <c r="K109" s="326"/>
      <c r="L109" s="333"/>
      <c r="M109" s="293"/>
      <c r="N109" s="255"/>
      <c r="O109" s="326"/>
      <c r="P109" s="341"/>
      <c r="Q109" s="311"/>
      <c r="R109" s="311"/>
      <c r="S109" s="326"/>
      <c r="T109" s="293"/>
      <c r="U109" s="293"/>
      <c r="V109" s="255"/>
      <c r="W109" s="255"/>
      <c r="X109" s="255"/>
      <c r="Y109" s="255"/>
      <c r="Z109" s="255"/>
      <c r="AA109" s="255"/>
      <c r="AB109" s="255"/>
      <c r="AC109" s="255"/>
      <c r="AD109" s="255"/>
      <c r="AE109" s="255"/>
      <c r="AF109" s="255"/>
      <c r="AG109" s="255"/>
      <c r="AH109" s="255"/>
      <c r="AI109" s="255"/>
      <c r="AJ109" s="255"/>
    </row>
    <row r="110" spans="1:36" ht="18" customHeight="1">
      <c r="A110" s="318"/>
      <c r="B110" s="319"/>
      <c r="C110" s="319">
        <f>C108+C109</f>
        <v>65</v>
      </c>
      <c r="D110" s="320"/>
      <c r="E110" s="321"/>
      <c r="F110" s="322"/>
      <c r="G110" s="307">
        <v>23</v>
      </c>
      <c r="H110" s="308" t="str">
        <f>IF(OR(TRIM(D108)="-",TRIM(D109)="-"),IF(TRIM(D108)="-",D109,D108),IF(AND(E108="",E109="")," ",IF(N(E108)=N(E109)," ",IF(N(E108)&gt;N(E109),D108,D109))))</f>
        <v xml:space="preserve"> - </v>
      </c>
      <c r="I110" s="309"/>
      <c r="J110" s="328"/>
      <c r="K110" s="326"/>
      <c r="L110" s="333"/>
      <c r="M110" s="293"/>
      <c r="N110" s="255"/>
      <c r="O110" s="326"/>
      <c r="P110" s="341"/>
      <c r="Q110" s="311"/>
      <c r="R110" s="311"/>
      <c r="S110" s="326"/>
      <c r="T110" s="293"/>
      <c r="U110" s="293"/>
      <c r="V110" s="255"/>
      <c r="W110" s="255"/>
      <c r="X110" s="255"/>
      <c r="Y110" s="255"/>
      <c r="Z110" s="255"/>
      <c r="AA110" s="255"/>
      <c r="AB110" s="255"/>
      <c r="AC110" s="255"/>
      <c r="AD110" s="255"/>
      <c r="AE110" s="255"/>
      <c r="AF110" s="255"/>
      <c r="AG110" s="255"/>
      <c r="AH110" s="255"/>
      <c r="AI110" s="255"/>
      <c r="AJ110" s="255"/>
    </row>
    <row r="111" spans="1:36" ht="18" customHeight="1">
      <c r="A111" s="323"/>
      <c r="B111" s="324"/>
      <c r="C111" s="325"/>
      <c r="D111" s="298" t="s">
        <v>1887</v>
      </c>
      <c r="E111" s="299" t="str">
        <f ca="1">IF(OR(TRIM(D112)="-",TRIM(D113)="-"),"",VLOOKUP(MIN(C112,C113),Hřiště!$B$11:$E$42,4,0))</f>
        <v/>
      </c>
      <c r="F111" s="269"/>
      <c r="G111" s="312">
        <v>10</v>
      </c>
      <c r="H111" s="313" t="str">
        <f ca="1">IF(OR(TRIM(D112)="-",TRIM(D113)="-"),IF(TRIM(D112)="-",D113,D112),IF(AND(E112="",E113="")," ",IF(N(E112)=N(E113)," ",IF(N(E112)&gt;N(E113),D112,D113))))</f>
        <v>SOKOL Staříč - Šimíček Ladislav</v>
      </c>
      <c r="I111" s="314"/>
      <c r="J111" s="268"/>
      <c r="K111" s="255"/>
      <c r="L111" s="333"/>
      <c r="M111" s="255"/>
      <c r="N111" s="255"/>
      <c r="O111" s="326"/>
      <c r="P111" s="341"/>
      <c r="Q111" s="311"/>
      <c r="R111" s="311"/>
      <c r="S111" s="326"/>
      <c r="T111" s="293"/>
      <c r="U111" s="293"/>
      <c r="V111" s="255"/>
      <c r="W111" s="255"/>
      <c r="X111" s="255"/>
      <c r="Y111" s="255"/>
      <c r="Z111" s="255"/>
      <c r="AA111" s="255"/>
      <c r="AB111" s="255"/>
      <c r="AC111" s="255"/>
      <c r="AD111" s="255"/>
      <c r="AE111" s="255"/>
      <c r="AF111" s="255"/>
      <c r="AG111" s="255"/>
      <c r="AH111" s="255"/>
      <c r="AI111" s="255"/>
      <c r="AJ111" s="255"/>
    </row>
    <row r="112" spans="1:36" ht="18" customHeight="1">
      <c r="A112" s="305" t="str">
        <f>VLOOKUP(C112,Postupy!$A$3:$C$66,3,0)</f>
        <v/>
      </c>
      <c r="B112" s="306"/>
      <c r="C112" s="307">
        <v>55</v>
      </c>
      <c r="D112" s="308" t="str">
        <f>VLOOKUP(C112,Postupy!$A$3:$B$66,2,0)</f>
        <v xml:space="preserve"> - </v>
      </c>
      <c r="E112" s="309"/>
      <c r="F112" s="338"/>
      <c r="G112" s="334"/>
      <c r="H112" s="335"/>
      <c r="I112" s="336"/>
      <c r="J112" s="255"/>
      <c r="K112" s="255"/>
      <c r="L112" s="331"/>
      <c r="M112" s="255"/>
      <c r="N112" s="255"/>
      <c r="O112" s="326"/>
      <c r="P112" s="347"/>
      <c r="Q112" s="311"/>
      <c r="R112" s="311"/>
      <c r="S112" s="326"/>
      <c r="T112" s="293"/>
      <c r="U112" s="293"/>
      <c r="V112" s="255"/>
      <c r="W112" s="311"/>
      <c r="X112" s="255"/>
      <c r="Y112" s="255"/>
      <c r="Z112" s="255"/>
      <c r="AA112" s="255"/>
      <c r="AB112" s="255"/>
      <c r="AC112" s="255"/>
      <c r="AD112" s="255"/>
      <c r="AE112" s="255"/>
      <c r="AF112" s="255"/>
      <c r="AG112" s="255"/>
      <c r="AH112" s="255"/>
      <c r="AI112" s="255"/>
      <c r="AJ112" s="255"/>
    </row>
    <row r="113" spans="1:36" ht="18" customHeight="1">
      <c r="A113" s="305" t="str">
        <f>VLOOKUP(C113,Postupy!$A$3:$C$66,3,0)</f>
        <v>H2</v>
      </c>
      <c r="B113" s="306"/>
      <c r="C113" s="312">
        <v>10</v>
      </c>
      <c r="D113" s="313" t="str">
        <f ca="1">VLOOKUP(C113,Postupy!$A$3:$B$66,2,0)</f>
        <v>SOKOL Staříč - Šimíček Ladislav</v>
      </c>
      <c r="E113" s="314"/>
      <c r="F113" s="339"/>
      <c r="G113" s="255"/>
      <c r="H113" s="331"/>
      <c r="I113" s="255"/>
      <c r="J113" s="255"/>
      <c r="K113" s="255"/>
      <c r="L113" s="340"/>
      <c r="M113" s="311"/>
      <c r="N113" s="311"/>
      <c r="O113" s="326"/>
      <c r="P113" s="298" t="s">
        <v>1887</v>
      </c>
      <c r="Q113" s="299" t="str">
        <f ca="1">IF(OR(TRIM(P114)="-",TRIM(P115)="-"),"",VLOOKUP(MIN(O114,O115),Hřiště!$B$11:$E$42,4,0))</f>
        <v/>
      </c>
      <c r="R113" s="311"/>
      <c r="S113" s="326"/>
      <c r="T113" s="293"/>
      <c r="U113" s="293"/>
      <c r="V113" s="255"/>
      <c r="W113" s="255"/>
      <c r="X113" s="255"/>
      <c r="Y113" s="255"/>
      <c r="Z113" s="255"/>
      <c r="AA113" s="255"/>
      <c r="AB113" s="255"/>
      <c r="AC113" s="255"/>
      <c r="AD113" s="255"/>
      <c r="AE113" s="255"/>
      <c r="AF113" s="255"/>
      <c r="AG113" s="255"/>
      <c r="AH113" s="255"/>
      <c r="AI113" s="255"/>
      <c r="AJ113" s="255"/>
    </row>
    <row r="114" spans="1:36" ht="18" customHeight="1">
      <c r="A114" s="318"/>
      <c r="B114" s="319"/>
      <c r="C114" s="319">
        <f>C112+C113</f>
        <v>65</v>
      </c>
      <c r="D114" s="320"/>
      <c r="E114" s="321"/>
      <c r="F114" s="332">
        <f>C110+C114</f>
        <v>130</v>
      </c>
      <c r="G114" s="332"/>
      <c r="H114" s="333"/>
      <c r="I114" s="255"/>
      <c r="J114" s="255"/>
      <c r="K114" s="255"/>
      <c r="L114" s="341"/>
      <c r="M114" s="311"/>
      <c r="N114" s="311"/>
      <c r="O114" s="307">
        <v>7</v>
      </c>
      <c r="P114" s="308" t="str">
        <f ca="1">IF(OR(TRIM(L106)="-",TRIM(L107)="-"),IF(TRIM(L106)="-",L107,L106),IF(AND(M106="",M107="")," ",IF(N(M106)=N(M107)," ",IF(N(M106)&gt;N(M107),L106,L107))))</f>
        <v xml:space="preserve"> </v>
      </c>
      <c r="Q114" s="309"/>
      <c r="R114" s="328"/>
      <c r="S114" s="326"/>
      <c r="T114" s="293"/>
      <c r="U114" s="293"/>
      <c r="V114" s="255"/>
      <c r="W114" s="255"/>
      <c r="X114" s="255"/>
      <c r="Y114" s="255"/>
      <c r="Z114" s="255"/>
      <c r="AA114" s="255"/>
      <c r="AB114" s="255"/>
      <c r="AC114" s="255"/>
      <c r="AD114" s="255"/>
      <c r="AE114" s="255"/>
      <c r="AF114" s="255"/>
      <c r="AG114" s="255"/>
      <c r="AH114" s="255"/>
      <c r="AI114" s="255"/>
      <c r="AJ114" s="255"/>
    </row>
    <row r="115" spans="1:36" ht="18" customHeight="1">
      <c r="A115" s="323"/>
      <c r="B115" s="324"/>
      <c r="C115" s="325"/>
      <c r="D115" s="298" t="s">
        <v>1887</v>
      </c>
      <c r="E115" s="299" t="str">
        <f ca="1">IF(OR(TRIM(D116)="-",TRIM(D117)="-"),"",VLOOKUP(MIN(C116,C117),Hřiště!$B$11:$E$42,4,0))</f>
        <v/>
      </c>
      <c r="F115" s="332"/>
      <c r="G115" s="255"/>
      <c r="H115" s="333"/>
      <c r="I115" s="255"/>
      <c r="J115" s="255"/>
      <c r="K115" s="255"/>
      <c r="L115" s="341"/>
      <c r="M115" s="311"/>
      <c r="N115" s="311"/>
      <c r="O115" s="312">
        <v>2</v>
      </c>
      <c r="P115" s="313" t="str">
        <f ca="1">IF(OR(TRIM(L122)="-",TRIM(L123)="-"),IF(TRIM(L122)="-",L123,L122),IF(AND(M122="",M123="")," ",IF(N(M122)=N(M123)," ",IF(N(M122)&gt;N(M123),L122,L123))))</f>
        <v xml:space="preserve"> </v>
      </c>
      <c r="Q115" s="314"/>
      <c r="R115" s="268"/>
      <c r="S115" s="255"/>
      <c r="U115" s="255"/>
      <c r="V115" s="255"/>
      <c r="W115" s="311"/>
      <c r="X115" s="255"/>
      <c r="Y115" s="255"/>
      <c r="Z115" s="255"/>
      <c r="AA115" s="255"/>
      <c r="AB115" s="255"/>
      <c r="AC115" s="255"/>
      <c r="AD115" s="255"/>
      <c r="AE115" s="255"/>
      <c r="AF115" s="255"/>
      <c r="AG115" s="255"/>
      <c r="AH115" s="255"/>
      <c r="AI115" s="255"/>
      <c r="AJ115" s="255"/>
    </row>
    <row r="116" spans="1:36" ht="18" customHeight="1">
      <c r="A116" s="305" t="str">
        <f>VLOOKUP(C116,Postupy!$A$3:$C$66,3,0)</f>
        <v>A2</v>
      </c>
      <c r="B116" s="306"/>
      <c r="C116" s="307">
        <v>15</v>
      </c>
      <c r="D116" s="308" t="str">
        <f ca="1">VLOOKUP(C116,Postupy!$A$3:$B$66,2,0)</f>
        <v>1. Starobrněnský PK - Strouhalová Terezie</v>
      </c>
      <c r="E116" s="309"/>
      <c r="F116" s="316"/>
      <c r="G116" s="255"/>
      <c r="H116" s="331"/>
      <c r="I116" s="255"/>
      <c r="J116" s="255"/>
      <c r="K116" s="255"/>
      <c r="L116" s="341"/>
      <c r="M116" s="311"/>
      <c r="N116" s="322"/>
      <c r="O116" s="334"/>
      <c r="P116" s="352"/>
      <c r="Q116" s="293"/>
      <c r="R116" s="255"/>
      <c r="S116" s="255"/>
      <c r="T116" s="293"/>
      <c r="U116" s="255"/>
      <c r="V116" s="255"/>
      <c r="W116" s="255"/>
      <c r="X116" s="255"/>
      <c r="Y116" s="255"/>
      <c r="Z116" s="255"/>
      <c r="AA116" s="255"/>
      <c r="AB116" s="255"/>
      <c r="AC116" s="255"/>
      <c r="AD116" s="255"/>
      <c r="AE116" s="255"/>
      <c r="AF116" s="255"/>
      <c r="AG116" s="255"/>
      <c r="AH116" s="255"/>
      <c r="AI116" s="255"/>
      <c r="AJ116" s="255"/>
    </row>
    <row r="117" spans="1:36" ht="18" customHeight="1">
      <c r="A117" s="305" t="str">
        <f>VLOOKUP(C117,Postupy!$A$3:$C$66,3,0)</f>
        <v/>
      </c>
      <c r="B117" s="306"/>
      <c r="C117" s="312">
        <v>50</v>
      </c>
      <c r="D117" s="313" t="str">
        <f>VLOOKUP(C117,Postupy!$A$3:$B$66,2,0)</f>
        <v xml:space="preserve"> - </v>
      </c>
      <c r="E117" s="314"/>
      <c r="F117" s="344"/>
      <c r="G117" s="316"/>
      <c r="H117" s="298" t="s">
        <v>1887</v>
      </c>
      <c r="I117" s="299" t="str">
        <f ca="1">IF(OR(TRIM(H118)="-",TRIM(H119)="-"),"",VLOOKUP(MIN(G118,G119),Hřiště!$B$11:$E$42,4,0))</f>
        <v/>
      </c>
      <c r="J117" s="255"/>
      <c r="K117" s="255"/>
      <c r="L117" s="341"/>
      <c r="M117" s="311"/>
      <c r="N117" s="322"/>
      <c r="O117" s="293"/>
      <c r="P117" s="317"/>
      <c r="Q117" s="293"/>
      <c r="R117" s="255"/>
      <c r="S117" s="255"/>
      <c r="T117" s="293"/>
      <c r="U117" s="255"/>
      <c r="V117" s="255"/>
      <c r="W117" s="255"/>
      <c r="X117" s="255"/>
      <c r="Y117" s="255"/>
      <c r="Z117" s="255"/>
      <c r="AA117" s="255"/>
      <c r="AB117" s="255"/>
      <c r="AC117" s="255"/>
      <c r="AD117" s="255"/>
      <c r="AE117" s="255"/>
      <c r="AF117" s="255"/>
      <c r="AG117" s="255"/>
      <c r="AH117" s="255"/>
      <c r="AI117" s="255"/>
      <c r="AJ117" s="255"/>
    </row>
    <row r="118" spans="1:36" ht="18" customHeight="1">
      <c r="A118" s="318"/>
      <c r="B118" s="319"/>
      <c r="C118" s="319">
        <f>C116+C117</f>
        <v>65</v>
      </c>
      <c r="D118" s="320"/>
      <c r="E118" s="321"/>
      <c r="F118" s="322"/>
      <c r="G118" s="307">
        <v>15</v>
      </c>
      <c r="H118" s="308" t="str">
        <f ca="1">IF(OR(TRIM(D116)="-",TRIM(D117)="-"),IF(TRIM(D116)="-",D117,D116),IF(AND(E116="",E117="")," ",IF(N(E116)=N(E117)," ",IF(N(E116)&gt;N(E117),D116,D117))))</f>
        <v>1. Starobrněnský PK - Strouhalová Terezie</v>
      </c>
      <c r="I118" s="309"/>
      <c r="J118" s="310"/>
      <c r="K118" s="255"/>
      <c r="L118" s="341"/>
      <c r="M118" s="311"/>
      <c r="N118" s="322"/>
      <c r="O118" s="293"/>
      <c r="P118" s="317"/>
      <c r="Q118" s="293"/>
      <c r="R118" s="255"/>
      <c r="S118" s="255"/>
      <c r="T118" s="255"/>
      <c r="U118" s="255"/>
      <c r="V118" s="255"/>
      <c r="W118" s="255"/>
      <c r="X118" s="255"/>
      <c r="Y118" s="255"/>
      <c r="Z118" s="255"/>
      <c r="AA118" s="255"/>
      <c r="AB118" s="255"/>
      <c r="AC118" s="255"/>
      <c r="AD118" s="255"/>
      <c r="AE118" s="255"/>
      <c r="AF118" s="255"/>
      <c r="AG118" s="255"/>
      <c r="AH118" s="255"/>
      <c r="AI118" s="255"/>
      <c r="AJ118" s="255"/>
    </row>
    <row r="119" spans="1:36" ht="18" customHeight="1">
      <c r="A119" s="323"/>
      <c r="B119" s="324"/>
      <c r="C119" s="325"/>
      <c r="D119" s="298" t="s">
        <v>1887</v>
      </c>
      <c r="E119" s="299" t="str">
        <f>IF(OR(TRIM(D120)="-",TRIM(D121)="-"),"",VLOOKUP(MIN(C120,C121),Hřiště!$B$11:$E$42,4,0))</f>
        <v/>
      </c>
      <c r="F119" s="322"/>
      <c r="G119" s="312">
        <v>18</v>
      </c>
      <c r="H119" s="313" t="str">
        <f>IF(OR(TRIM(D120)="-",TRIM(D121)="-"),IF(TRIM(D120)="-",D121,D120),IF(AND(E120="",E121="")," ",IF(N(E120)=N(E121)," ",IF(N(E120)&gt;N(E121),D120,D121))))</f>
        <v xml:space="preserve"> - </v>
      </c>
      <c r="I119" s="314"/>
      <c r="J119" s="315"/>
      <c r="K119" s="326"/>
      <c r="L119" s="341"/>
      <c r="M119" s="311"/>
      <c r="N119" s="322"/>
      <c r="O119" s="293"/>
      <c r="P119" s="317"/>
      <c r="Q119" s="293"/>
      <c r="R119" s="255"/>
      <c r="S119" s="255"/>
      <c r="T119" s="293"/>
      <c r="U119" s="255"/>
      <c r="V119" s="255"/>
      <c r="W119" s="255"/>
      <c r="X119" s="255"/>
      <c r="Y119" s="255"/>
      <c r="Z119" s="255"/>
      <c r="AA119" s="255"/>
      <c r="AB119" s="255"/>
      <c r="AC119" s="255"/>
      <c r="AD119" s="255"/>
      <c r="AE119" s="255"/>
      <c r="AF119" s="255"/>
      <c r="AG119" s="255"/>
      <c r="AH119" s="255"/>
      <c r="AI119" s="255"/>
      <c r="AJ119" s="255"/>
    </row>
    <row r="120" spans="1:36" ht="18" customHeight="1">
      <c r="A120" s="305" t="str">
        <f>VLOOKUP(C120,Postupy!$A$3:$C$66,3,0)</f>
        <v/>
      </c>
      <c r="B120" s="306"/>
      <c r="C120" s="307">
        <v>47</v>
      </c>
      <c r="D120" s="308" t="str">
        <f>VLOOKUP(C120,Postupy!$A$3:$B$66,2,0)</f>
        <v xml:space="preserve"> - </v>
      </c>
      <c r="E120" s="309"/>
      <c r="F120" s="328"/>
      <c r="G120" s="334"/>
      <c r="H120" s="335"/>
      <c r="I120" s="336"/>
      <c r="J120" s="311"/>
      <c r="K120" s="326"/>
      <c r="L120" s="347"/>
      <c r="M120" s="311"/>
      <c r="N120" s="322"/>
      <c r="O120" s="293"/>
      <c r="P120" s="317"/>
      <c r="Q120" s="293"/>
      <c r="R120" s="255"/>
      <c r="S120" s="255"/>
      <c r="T120" s="293"/>
      <c r="U120" s="255"/>
      <c r="V120" s="255"/>
      <c r="W120" s="255"/>
      <c r="X120" s="255"/>
      <c r="Y120" s="255"/>
      <c r="Z120" s="255"/>
      <c r="AA120" s="255"/>
      <c r="AB120" s="255"/>
      <c r="AC120" s="255"/>
      <c r="AD120" s="255"/>
      <c r="AE120" s="255"/>
      <c r="AF120" s="255"/>
      <c r="AG120" s="255"/>
      <c r="AH120" s="255"/>
      <c r="AI120" s="255"/>
      <c r="AJ120" s="255"/>
    </row>
    <row r="121" spans="1:36" ht="18" customHeight="1">
      <c r="A121" s="305" t="str">
        <f>VLOOKUP(C121,Postupy!$A$3:$C$66,3,0)</f>
        <v/>
      </c>
      <c r="B121" s="306"/>
      <c r="C121" s="312">
        <v>18</v>
      </c>
      <c r="D121" s="313" t="str">
        <f>VLOOKUP(C121,Postupy!$A$3:$B$66,2,0)</f>
        <v xml:space="preserve"> - </v>
      </c>
      <c r="E121" s="314"/>
      <c r="F121" s="268"/>
      <c r="G121" s="255"/>
      <c r="H121" s="331"/>
      <c r="I121" s="255"/>
      <c r="J121" s="311"/>
      <c r="K121" s="316"/>
      <c r="L121" s="298" t="s">
        <v>1887</v>
      </c>
      <c r="M121" s="299" t="str">
        <f ca="1">IF(OR(TRIM(L122)="-",TRIM(L123)="-"),"",VLOOKUP(MIN(K122,K123),Hřiště!$B$11:$E$42,4,0))</f>
        <v/>
      </c>
      <c r="N121" s="348"/>
      <c r="O121" s="293"/>
      <c r="P121" s="317"/>
      <c r="Q121" s="293"/>
      <c r="R121" s="255"/>
      <c r="S121" s="255"/>
      <c r="T121" s="293"/>
      <c r="U121" s="293"/>
      <c r="V121" s="293"/>
      <c r="W121" s="255"/>
      <c r="X121" s="255"/>
      <c r="Y121" s="255"/>
      <c r="Z121" s="255"/>
      <c r="AA121" s="255"/>
      <c r="AB121" s="255"/>
      <c r="AC121" s="255"/>
      <c r="AD121" s="255"/>
      <c r="AE121" s="255"/>
      <c r="AF121" s="255"/>
      <c r="AG121" s="255"/>
      <c r="AH121" s="255"/>
      <c r="AI121" s="255"/>
      <c r="AJ121" s="255"/>
    </row>
    <row r="122" spans="1:36" ht="18" customHeight="1">
      <c r="A122" s="318"/>
      <c r="B122" s="319"/>
      <c r="C122" s="319">
        <f>C120+C121</f>
        <v>65</v>
      </c>
      <c r="D122" s="320"/>
      <c r="E122" s="321"/>
      <c r="F122" s="332">
        <f>C118+C122</f>
        <v>130</v>
      </c>
      <c r="G122" s="255"/>
      <c r="H122" s="333"/>
      <c r="I122" s="255"/>
      <c r="J122" s="255"/>
      <c r="K122" s="307">
        <v>15</v>
      </c>
      <c r="L122" s="308" t="str">
        <f ca="1">IF(OR(TRIM(H118)="-",TRIM(H119)="-"),IF(TRIM(H118)="-",H119,H118),IF(AND(I118="",I119="")," ",IF(N(I118)=N(I119)," ",IF(N(I118)&gt;N(I119),H118,H119))))</f>
        <v>1. Starobrněnský PK - Strouhalová Terezie</v>
      </c>
      <c r="M122" s="309"/>
      <c r="N122" s="328"/>
      <c r="O122" s="255"/>
      <c r="P122" s="317"/>
      <c r="Q122" s="255"/>
      <c r="R122" s="255"/>
      <c r="S122" s="255"/>
      <c r="T122" s="255"/>
      <c r="U122" s="255"/>
      <c r="V122" s="255"/>
      <c r="W122" s="255"/>
      <c r="X122" s="255"/>
      <c r="Y122" s="255"/>
      <c r="Z122" s="255"/>
      <c r="AA122" s="255"/>
      <c r="AB122" s="255"/>
      <c r="AC122" s="255"/>
      <c r="AD122" s="255"/>
      <c r="AE122" s="255"/>
      <c r="AF122" s="255"/>
      <c r="AG122" s="255"/>
      <c r="AH122" s="255"/>
      <c r="AI122" s="255"/>
      <c r="AJ122" s="255"/>
    </row>
    <row r="123" spans="1:36" ht="18" customHeight="1">
      <c r="A123" s="323"/>
      <c r="B123" s="324"/>
      <c r="C123" s="325"/>
      <c r="D123" s="298" t="s">
        <v>1887</v>
      </c>
      <c r="E123" s="299" t="str">
        <f>IF(OR(TRIM(D124)="-",TRIM(D125)="-"),"",VLOOKUP(MIN(C124,C125),Hřiště!$B$11:$E$42,4,0))</f>
        <v/>
      </c>
      <c r="F123" s="255"/>
      <c r="G123" s="255"/>
      <c r="H123" s="333"/>
      <c r="I123" s="255"/>
      <c r="J123" s="255"/>
      <c r="K123" s="312">
        <v>2</v>
      </c>
      <c r="L123" s="313" t="str">
        <f ca="1">IF(OR(TRIM(H126)="-",TRIM(H127)="-"),IF(TRIM(H126)="-",H127,H126),IF(AND(I126="",I127="")," ",IF(N(I126)=N(I127)," ",IF(N(I126)&gt;N(I127),H126,H127))))</f>
        <v>PLUK Jablonec - Lukáš Vojtěch</v>
      </c>
      <c r="M123" s="314"/>
      <c r="N123" s="268"/>
      <c r="O123" s="255"/>
      <c r="P123" s="317"/>
      <c r="Q123" s="255"/>
      <c r="R123" s="255"/>
      <c r="S123" s="255"/>
      <c r="T123" s="255"/>
      <c r="U123" s="255"/>
      <c r="V123" s="255"/>
      <c r="W123" s="311"/>
      <c r="X123" s="255"/>
      <c r="Y123" s="255"/>
      <c r="Z123" s="255"/>
      <c r="AA123" s="255"/>
      <c r="AB123" s="255"/>
      <c r="AC123" s="255"/>
      <c r="AD123" s="255"/>
      <c r="AE123" s="255"/>
      <c r="AF123" s="255"/>
      <c r="AG123" s="255"/>
      <c r="AH123" s="255"/>
      <c r="AI123" s="255"/>
      <c r="AJ123" s="255"/>
    </row>
    <row r="124" spans="1:36" ht="18" customHeight="1">
      <c r="A124" s="305" t="str">
        <f>VLOOKUP(C124,Postupy!$A$3:$C$66,3,0)</f>
        <v/>
      </c>
      <c r="B124" s="306"/>
      <c r="C124" s="307">
        <v>31</v>
      </c>
      <c r="D124" s="308" t="str">
        <f>VLOOKUP(C124,Postupy!$A$3:$B$66,2,0)</f>
        <v xml:space="preserve"> - </v>
      </c>
      <c r="E124" s="309"/>
      <c r="F124" s="316"/>
      <c r="G124" s="255"/>
      <c r="H124" s="331"/>
      <c r="I124" s="311"/>
      <c r="J124" s="311"/>
      <c r="K124" s="334"/>
      <c r="L124" s="352"/>
      <c r="M124" s="336"/>
      <c r="N124" s="255"/>
      <c r="O124" s="255"/>
      <c r="P124" s="255"/>
      <c r="Q124" s="255"/>
      <c r="R124" s="255"/>
      <c r="S124" s="255"/>
      <c r="T124" s="255"/>
      <c r="U124" s="255"/>
      <c r="V124" s="255"/>
      <c r="W124" s="311"/>
      <c r="X124" s="255"/>
      <c r="Y124" s="255"/>
      <c r="Z124" s="255"/>
      <c r="AA124" s="255"/>
      <c r="AB124" s="255"/>
      <c r="AC124" s="255"/>
      <c r="AD124" s="255"/>
      <c r="AE124" s="255"/>
      <c r="AF124" s="255"/>
      <c r="AG124" s="255"/>
      <c r="AH124" s="255"/>
      <c r="AI124" s="255"/>
      <c r="AJ124" s="255"/>
    </row>
    <row r="125" spans="1:36" ht="18" customHeight="1">
      <c r="A125" s="305" t="str">
        <f>VLOOKUP(C125,Postupy!$A$3:$C$66,3,0)</f>
        <v/>
      </c>
      <c r="B125" s="306"/>
      <c r="C125" s="312">
        <v>34</v>
      </c>
      <c r="D125" s="313" t="str">
        <f>VLOOKUP(C125,Postupy!$A$3:$B$66,2,0)</f>
        <v xml:space="preserve"> - </v>
      </c>
      <c r="E125" s="314"/>
      <c r="F125" s="337" t="s">
        <v>1690</v>
      </c>
      <c r="G125" s="316"/>
      <c r="H125" s="298" t="s">
        <v>1887</v>
      </c>
      <c r="I125" s="299" t="str">
        <f ca="1">IF(OR(TRIM(H126)="-",TRIM(H127)="-"),"",VLOOKUP(MIN(G126,G127),Hřiště!$B$11:$E$42,4,0))</f>
        <v/>
      </c>
      <c r="J125" s="311"/>
      <c r="K125" s="326"/>
      <c r="L125" s="317"/>
      <c r="M125" s="293"/>
      <c r="N125" s="255"/>
      <c r="O125" s="255"/>
      <c r="P125" s="255"/>
      <c r="Q125" s="255"/>
      <c r="R125" s="255"/>
      <c r="S125" s="255"/>
      <c r="T125" s="255"/>
      <c r="U125" s="255"/>
      <c r="V125" s="255"/>
      <c r="W125" s="311"/>
      <c r="X125" s="255"/>
      <c r="Y125" s="255"/>
      <c r="Z125" s="255"/>
      <c r="AA125" s="255"/>
      <c r="AB125" s="255"/>
      <c r="AC125" s="255"/>
      <c r="AD125" s="255"/>
      <c r="AE125" s="255"/>
      <c r="AF125" s="255"/>
      <c r="AG125" s="255"/>
      <c r="AH125" s="255"/>
      <c r="AI125" s="255"/>
      <c r="AJ125" s="255"/>
    </row>
    <row r="126" spans="1:36" ht="18" customHeight="1">
      <c r="A126" s="318"/>
      <c r="B126" s="319"/>
      <c r="C126" s="319">
        <f>C124+C125</f>
        <v>65</v>
      </c>
      <c r="D126" s="320"/>
      <c r="E126" s="321"/>
      <c r="F126" s="321"/>
      <c r="G126" s="307">
        <v>31</v>
      </c>
      <c r="H126" s="308" t="str">
        <f>IF(OR(TRIM(D124)="-",TRIM(D125)="-"),IF(TRIM(D124)="-",D125,D124),IF(AND(E124="",E125="")," ",IF(N(E124)=N(E125)," ",IF(N(E124)&gt;N(E125),D124,D125))))</f>
        <v xml:space="preserve"> - </v>
      </c>
      <c r="I126" s="309"/>
      <c r="J126" s="328"/>
      <c r="K126" s="326"/>
      <c r="L126" s="317"/>
      <c r="M126" s="293"/>
      <c r="N126" s="255"/>
      <c r="O126" s="255"/>
      <c r="P126" s="255"/>
      <c r="Q126" s="255"/>
      <c r="R126" s="255"/>
      <c r="S126" s="255"/>
      <c r="T126" s="255"/>
      <c r="U126" s="255"/>
      <c r="V126" s="255"/>
      <c r="W126" s="311"/>
      <c r="X126" s="255"/>
      <c r="Y126" s="255"/>
      <c r="Z126" s="255"/>
      <c r="AA126" s="255"/>
      <c r="AB126" s="255"/>
      <c r="AC126" s="255"/>
      <c r="AD126" s="255"/>
      <c r="AE126" s="255"/>
      <c r="AF126" s="255"/>
      <c r="AG126" s="255"/>
      <c r="AH126" s="255"/>
      <c r="AI126" s="255"/>
      <c r="AJ126" s="255"/>
    </row>
    <row r="127" spans="1:36" ht="18" customHeight="1">
      <c r="A127" s="323"/>
      <c r="B127" s="324"/>
      <c r="C127" s="325"/>
      <c r="D127" s="298" t="s">
        <v>1887</v>
      </c>
      <c r="E127" s="299" t="str">
        <f ca="1">IF(OR(TRIM(D128)="-",TRIM(D129)="-"),"",VLOOKUP(MIN(C128,C129),Hřiště!$B$11:$E$42,4,0))</f>
        <v/>
      </c>
      <c r="F127" s="269"/>
      <c r="G127" s="312">
        <v>2</v>
      </c>
      <c r="H127" s="313" t="str">
        <f ca="1">IF(OR(TRIM(D128)="-",TRIM(D129)="-"),IF(TRIM(D128)="-",D129,D128),IF(AND(E128="",E129="")," ",IF(N(E128)=N(E129)," ",IF(N(E128)&gt;N(E129),D128,D129))))</f>
        <v>PLUK Jablonec - Lukáš Vojtěch</v>
      </c>
      <c r="I127" s="314"/>
      <c r="J127" s="268"/>
      <c r="K127" s="255"/>
      <c r="L127" s="317"/>
      <c r="M127" s="255"/>
      <c r="N127" s="255"/>
      <c r="O127" s="255"/>
      <c r="P127" s="255"/>
      <c r="Q127" s="255"/>
      <c r="R127" s="255"/>
      <c r="S127" s="255"/>
      <c r="T127" s="255"/>
      <c r="U127" s="255"/>
      <c r="V127" s="255"/>
      <c r="W127" s="311"/>
      <c r="X127" s="255"/>
      <c r="Y127" s="255"/>
      <c r="Z127" s="255"/>
      <c r="AA127" s="255"/>
      <c r="AB127" s="255"/>
      <c r="AC127" s="255"/>
      <c r="AD127" s="255"/>
      <c r="AE127" s="255"/>
      <c r="AF127" s="255"/>
      <c r="AG127" s="255"/>
      <c r="AH127" s="255"/>
      <c r="AI127" s="255"/>
      <c r="AJ127" s="255"/>
    </row>
    <row r="128" spans="1:36" ht="18" customHeight="1">
      <c r="A128" s="305" t="str">
        <f>VLOOKUP(C128,Postupy!$A$3:$C$66,3,0)</f>
        <v/>
      </c>
      <c r="B128" s="306"/>
      <c r="C128" s="307">
        <v>63</v>
      </c>
      <c r="D128" s="308" t="str">
        <f>VLOOKUP(C128,Postupy!$A$3:$B$66,2,0)</f>
        <v xml:space="preserve"> - </v>
      </c>
      <c r="E128" s="309"/>
      <c r="F128" s="338"/>
      <c r="G128" s="334"/>
      <c r="H128" s="353"/>
      <c r="I128" s="336"/>
      <c r="J128" s="255"/>
      <c r="K128" s="255"/>
      <c r="L128" s="354"/>
      <c r="M128" s="255"/>
      <c r="N128" s="255"/>
      <c r="O128" s="255"/>
      <c r="P128" s="255"/>
      <c r="Q128" s="255"/>
      <c r="R128" s="255"/>
      <c r="S128" s="255"/>
      <c r="T128" s="255"/>
      <c r="U128" s="255"/>
      <c r="V128" s="255"/>
      <c r="W128" s="311"/>
      <c r="X128" s="255"/>
      <c r="Y128" s="255"/>
      <c r="Z128" s="255"/>
      <c r="AA128" s="255"/>
      <c r="AB128" s="255"/>
      <c r="AC128" s="255"/>
      <c r="AD128" s="255"/>
      <c r="AE128" s="255"/>
      <c r="AF128" s="255"/>
      <c r="AG128" s="255"/>
      <c r="AH128" s="255"/>
      <c r="AI128" s="255"/>
      <c r="AJ128" s="255"/>
    </row>
    <row r="129" spans="1:36" ht="18" customHeight="1">
      <c r="A129" s="305" t="str">
        <f>VLOOKUP(C129,Postupy!$A$3:$C$66,3,0)</f>
        <v>B1</v>
      </c>
      <c r="B129" s="306"/>
      <c r="C129" s="312">
        <v>2</v>
      </c>
      <c r="D129" s="313" t="str">
        <f ca="1">VLOOKUP(C129,Postupy!$A$3:$B$66,2,0)</f>
        <v>PLUK Jablonec - Lukáš Vojtěch</v>
      </c>
      <c r="E129" s="314"/>
      <c r="F129" s="339"/>
      <c r="G129" s="255"/>
      <c r="H129" s="311"/>
      <c r="I129" s="255"/>
      <c r="J129" s="255"/>
      <c r="K129" s="255"/>
      <c r="L129" s="356"/>
      <c r="M129" s="255"/>
      <c r="N129" s="255"/>
      <c r="O129" s="255"/>
      <c r="P129" s="255"/>
      <c r="Q129" s="255"/>
      <c r="R129" s="255"/>
      <c r="S129" s="255"/>
      <c r="T129" s="255"/>
      <c r="U129" s="255"/>
      <c r="V129" s="255"/>
      <c r="W129" s="311"/>
      <c r="X129" s="255"/>
      <c r="Y129" s="255"/>
      <c r="Z129" s="255"/>
      <c r="AA129" s="255"/>
      <c r="AB129" s="255"/>
      <c r="AC129" s="255"/>
      <c r="AD129" s="255"/>
      <c r="AE129" s="255"/>
      <c r="AF129" s="255"/>
      <c r="AG129" s="255"/>
      <c r="AH129" s="255"/>
      <c r="AI129" s="255"/>
      <c r="AJ129" s="255"/>
    </row>
    <row r="130" spans="1:36" ht="12.75" customHeight="1">
      <c r="A130" s="318"/>
      <c r="B130" s="365"/>
      <c r="C130" s="319">
        <f>C128+C129</f>
        <v>65</v>
      </c>
      <c r="D130" s="320"/>
      <c r="E130" s="321"/>
      <c r="F130" s="332">
        <f>C126+C130</f>
        <v>130</v>
      </c>
      <c r="G130" s="255"/>
      <c r="H130" s="255"/>
      <c r="I130" s="255"/>
      <c r="J130" s="255"/>
      <c r="K130" s="255"/>
      <c r="L130" s="255"/>
      <c r="M130" s="255"/>
      <c r="N130" s="255"/>
      <c r="O130" s="255"/>
      <c r="P130" s="255"/>
      <c r="Q130" s="255"/>
      <c r="R130" s="255"/>
      <c r="S130" s="255"/>
      <c r="T130" s="255"/>
      <c r="U130" s="255"/>
      <c r="V130" s="255"/>
      <c r="W130" s="311"/>
      <c r="X130" s="255"/>
      <c r="Y130" s="255"/>
      <c r="Z130" s="255"/>
      <c r="AA130" s="255"/>
      <c r="AB130" s="255"/>
      <c r="AC130" s="255"/>
      <c r="AD130" s="255"/>
      <c r="AE130" s="255"/>
      <c r="AF130" s="255"/>
      <c r="AG130" s="255"/>
      <c r="AH130" s="255"/>
      <c r="AI130" s="255"/>
      <c r="AJ130" s="255"/>
    </row>
    <row r="131" spans="1:36" ht="79.5" customHeight="1">
      <c r="A131" s="323"/>
      <c r="B131" s="365"/>
      <c r="C131" s="325"/>
      <c r="D131" s="320"/>
      <c r="E131" s="372"/>
      <c r="F131" s="329"/>
      <c r="G131" s="321"/>
      <c r="H131" s="255"/>
      <c r="I131" s="321"/>
      <c r="J131" s="255"/>
      <c r="K131" s="255"/>
      <c r="L131" s="255"/>
      <c r="M131" s="255"/>
      <c r="N131" s="255"/>
      <c r="O131" s="255"/>
      <c r="P131" s="255"/>
      <c r="Q131" s="255"/>
      <c r="R131" s="255"/>
      <c r="S131" s="255"/>
      <c r="T131" s="255"/>
      <c r="U131" s="255"/>
      <c r="V131" s="255"/>
      <c r="W131" s="311"/>
      <c r="X131" s="255"/>
      <c r="Y131" s="255"/>
      <c r="Z131" s="255"/>
      <c r="AA131" s="255"/>
      <c r="AB131" s="255"/>
      <c r="AC131" s="255"/>
      <c r="AD131" s="255"/>
      <c r="AE131" s="255"/>
      <c r="AF131" s="255"/>
      <c r="AG131" s="255"/>
      <c r="AH131" s="255"/>
      <c r="AI131" s="255"/>
      <c r="AJ131" s="255"/>
    </row>
    <row r="132" spans="1:36" ht="79.5" customHeight="1">
      <c r="A132" s="323"/>
      <c r="B132" s="365"/>
      <c r="C132" s="325"/>
      <c r="D132" s="320"/>
      <c r="E132" s="372"/>
      <c r="F132" s="329"/>
      <c r="G132" s="321"/>
      <c r="H132" s="255"/>
      <c r="I132" s="321"/>
      <c r="J132" s="255"/>
      <c r="K132" s="255"/>
      <c r="L132" s="255"/>
      <c r="M132" s="255"/>
      <c r="N132" s="255"/>
      <c r="O132" s="255"/>
      <c r="P132" s="255"/>
      <c r="Q132" s="255"/>
      <c r="R132" s="255"/>
      <c r="S132" s="255"/>
      <c r="T132" s="255"/>
      <c r="U132" s="255"/>
      <c r="V132" s="255"/>
      <c r="W132" s="311"/>
      <c r="X132" s="255"/>
      <c r="Y132" s="255"/>
      <c r="Z132" s="255"/>
      <c r="AA132" s="255"/>
      <c r="AB132" s="255"/>
      <c r="AC132" s="255"/>
      <c r="AD132" s="255"/>
      <c r="AE132" s="255"/>
      <c r="AF132" s="255"/>
      <c r="AG132" s="255"/>
      <c r="AH132" s="255"/>
      <c r="AI132" s="255"/>
      <c r="AJ132" s="255"/>
    </row>
    <row r="133" spans="1:36" ht="79.5" customHeight="1">
      <c r="A133" s="323"/>
      <c r="B133" s="365"/>
      <c r="C133" s="325"/>
      <c r="D133" s="320"/>
      <c r="E133" s="372"/>
      <c r="F133" s="329"/>
      <c r="G133" s="321"/>
      <c r="H133" s="255"/>
      <c r="I133" s="321"/>
      <c r="J133" s="255"/>
      <c r="K133" s="255"/>
      <c r="L133" s="255"/>
      <c r="M133" s="255"/>
      <c r="N133" s="255"/>
      <c r="O133" s="255"/>
      <c r="P133" s="255"/>
      <c r="Q133" s="255"/>
      <c r="R133" s="255"/>
      <c r="S133" s="255"/>
      <c r="T133" s="255"/>
      <c r="U133" s="255"/>
      <c r="V133" s="255"/>
      <c r="W133" s="311"/>
      <c r="X133" s="255"/>
      <c r="Y133" s="255"/>
      <c r="Z133" s="255"/>
      <c r="AA133" s="255"/>
      <c r="AB133" s="255"/>
      <c r="AC133" s="255"/>
      <c r="AD133" s="255"/>
      <c r="AE133" s="255"/>
      <c r="AF133" s="255"/>
      <c r="AG133" s="255"/>
      <c r="AH133" s="255"/>
      <c r="AI133" s="255"/>
      <c r="AJ133" s="255"/>
    </row>
    <row r="134" spans="1:36" ht="12" customHeight="1"/>
    <row r="135" spans="1:36" ht="12" customHeight="1"/>
    <row r="136" spans="1:36" ht="12" customHeight="1"/>
    <row r="137" spans="1:36" ht="12" customHeight="1"/>
    <row r="138" spans="1:36" ht="12" customHeight="1"/>
    <row r="139" spans="1:36" ht="12" customHeight="1"/>
    <row r="140" spans="1:36" ht="12" customHeight="1"/>
    <row r="141" spans="1:36" ht="12" customHeight="1"/>
    <row r="142" spans="1:36" ht="12" customHeight="1"/>
    <row r="143" spans="1:36" ht="12" customHeight="1"/>
    <row r="144" spans="1:36"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D12 D16 D20 D24 D28 D32 D36 D40 D44 D48 D52 D56 D60 D64 D68 D72 D76 D80 D84 D88 D92 D96 D100 D104 D108 D112 D116 D120 D124 D128 H6 H14 H22 H30 H38 H46 H54 H62 H70 H78 H86 H94 H102 H110 H118 H126 L10 L26 L42 L58 L74 L90 L106 L122 P18 P50 P82 P114 T34 T98 X66 X106">
    <cfRule type="expression" dxfId="47" priority="1">
      <formula>IF(N(E4)&gt;N(E5),TRUE,FALSE)</formula>
    </cfRule>
  </conditionalFormatting>
  <conditionalFormatting sqref="C4 C8 C12 C16 C20 C24 C28 C32 C36 C40 C44 C48 C52 C56 C60 C64 C68 C72 C76 C80 C84 C88 C92 C96 C100 C104 C108 C112 C116 C120 C124 C128 G6 G14 G22 G30 G38 G46 G54 G62 G70 G78 G86 G94 G102 G110 G118 G126 K10 K26 K42 K58 K74 K90 K106 K122 O18 O50 O82 O114 W106">
    <cfRule type="expression" dxfId="46" priority="2">
      <formula>IF(N(E4)&gt;N(E5),TRUE,FALSE)</formula>
    </cfRule>
  </conditionalFormatting>
  <conditionalFormatting sqref="E4 E8 E12 E16 E20 E24 E28 E32 E36 E40 E44 E48 E52 E56 E60 E64 E68 E72 E76 E80 E84 E88 E92 E96 E100 E104 E108 E112 E116 E120 E124 E128 I6 I14 I22 I30 I38 I46 I54 I62 I70 I78 I86 I94 I102 I110 I118 I126 M10 M26 M42 M58 M74 M90 M106 M122 Q18 Q50 Q82 Q114 U34 U98 Y66 Y106">
    <cfRule type="expression" dxfId="45" priority="3">
      <formula>IF(N(M58)&gt;N(M59),TRUE,FALSE)</formula>
    </cfRule>
  </conditionalFormatting>
  <conditionalFormatting sqref="C5 C9 C13 C17 C21 C25 C29 C33 C37 C41 C45 C49 C53 C57 C61 C65 C69 C73 C77 C81 C85 C89 C93 C97 C101 C105 C109 C113 C117 C121 C125 C129 G7 G15 G23 G31 G39 G47 G55 G63 G71 G79 G87 G95 G103 G111 G119 G127 K11 K27 K43 K59 K75 K91 K107 K123 O19 O51 O83 O115 S35 S99 W67 W107">
    <cfRule type="expression" dxfId="44" priority="4">
      <formula>IF(N(E5)&gt;N(E4),TRUE,FALSE)</formula>
    </cfRule>
  </conditionalFormatting>
  <conditionalFormatting sqref="D5 D9 D13 D17 D21 D25 D29 D33 D37 D41 D45 D49 D53 D57 D61 D65 D69 D73 D77 D81 D85 D89 D93 D97 D101 D105 D109 D113 D117 D121 D125 D129 H7 H15 H23 H31 H39 H47 H55 H63 H71 H79 H87 H95 H103 H111 H119 H127 L11 L27 L43 L59 L75 L91 L107 L123 P19 P51 P83 P115 T35 T99 X67 X107">
    <cfRule type="expression" dxfId="43" priority="5">
      <formula>IF(N(E5)&gt;N(E4),TRUE,FALSE)</formula>
    </cfRule>
  </conditionalFormatting>
  <conditionalFormatting sqref="E5 E9 E13 E17 E21 E25 E29 E33 E37 E41 E45 E49 E53 E57 E61 E65 E69 E73 E77 E81 E85 E89 E93 E97 E101 E105 E109 E113 E117 E121 E125 E129 I7 I15 I23 I31 I39 I47 I55 I63 I71 I79 I87 I95 I103 I111 I119 I127 M11 M27 M43 M59 M75 M91 M107 M123 Q19 Q51 Q83 Q115 U35 U99 Y67 Y107">
    <cfRule type="expression" dxfId="42" priority="6">
      <formula>IF(N(M59)&gt;N(M58),TRUE,FALSE)</formula>
    </cfRule>
  </conditionalFormatting>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00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375" defaultRowHeight="15" customHeight="1"/>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8.375" customWidth="1"/>
    <col min="17" max="17" width="5" customWidth="1"/>
    <col min="18" max="18" width="2.375" customWidth="1"/>
    <col min="19" max="19" width="5.375" customWidth="1"/>
    <col min="20" max="20" width="22.875" customWidth="1"/>
    <col min="21" max="21" width="5" customWidth="1"/>
    <col min="22" max="22" width="2.375" customWidth="1"/>
    <col min="23" max="23" width="0.25" customWidth="1"/>
    <col min="24" max="24" width="25.375" customWidth="1"/>
    <col min="25" max="25" width="5" customWidth="1"/>
    <col min="26" max="26" width="2.375" customWidth="1"/>
    <col min="27" max="27" width="5.375" customWidth="1"/>
    <col min="28" max="28" width="25.375" customWidth="1"/>
    <col min="29" max="29" width="5" customWidth="1"/>
    <col min="30" max="34" width="8" customWidth="1"/>
  </cols>
  <sheetData>
    <row r="1" spans="1:34" ht="12" customHeight="1">
      <c r="B1" s="268"/>
      <c r="C1" s="288"/>
      <c r="D1" s="288"/>
      <c r="E1" s="288"/>
      <c r="F1" s="288"/>
      <c r="G1" s="288"/>
      <c r="H1" s="288"/>
      <c r="I1" s="288"/>
      <c r="J1" s="288"/>
      <c r="K1" s="288"/>
      <c r="L1" s="288"/>
      <c r="M1" s="288"/>
      <c r="N1" s="288"/>
      <c r="O1" s="288"/>
      <c r="P1" s="288"/>
      <c r="Q1" s="288"/>
      <c r="R1" s="288"/>
      <c r="S1" s="288"/>
      <c r="T1" s="288"/>
      <c r="U1" s="288"/>
      <c r="V1" s="288"/>
      <c r="W1" s="288"/>
      <c r="Y1" s="288"/>
      <c r="Z1" s="288"/>
      <c r="AA1" s="288"/>
      <c r="AB1" s="288"/>
      <c r="AC1" s="288"/>
      <c r="AD1" s="288"/>
      <c r="AE1" s="288"/>
      <c r="AF1" s="288"/>
      <c r="AG1" s="288"/>
    </row>
    <row r="2" spans="1:34" ht="32.25" customHeight="1">
      <c r="A2" s="289"/>
      <c r="B2" s="290"/>
      <c r="C2" s="291">
        <v>32</v>
      </c>
      <c r="D2" s="292" t="s">
        <v>1883</v>
      </c>
      <c r="E2" s="293"/>
      <c r="F2" s="293"/>
      <c r="G2" s="294">
        <v>16</v>
      </c>
      <c r="H2" s="292" t="s">
        <v>1883</v>
      </c>
      <c r="I2" s="293"/>
      <c r="J2" s="255"/>
      <c r="K2" s="294">
        <v>8</v>
      </c>
      <c r="L2" s="292" t="s">
        <v>1883</v>
      </c>
      <c r="M2" s="293"/>
      <c r="N2" s="255"/>
      <c r="O2" s="294">
        <v>4</v>
      </c>
      <c r="P2" s="292" t="s">
        <v>1884</v>
      </c>
      <c r="Q2" s="255"/>
      <c r="R2" s="255"/>
      <c r="S2" s="294">
        <v>2</v>
      </c>
      <c r="T2" s="292" t="s">
        <v>1885</v>
      </c>
      <c r="U2" s="255"/>
      <c r="V2" s="255"/>
      <c r="W2" s="294">
        <v>1</v>
      </c>
      <c r="X2" s="295" t="s">
        <v>1886</v>
      </c>
      <c r="Y2" s="255"/>
      <c r="Z2" s="255"/>
      <c r="AA2" s="255"/>
      <c r="AB2" s="255"/>
      <c r="AC2" s="255"/>
      <c r="AD2" s="255"/>
      <c r="AE2" s="255"/>
      <c r="AF2" s="255"/>
      <c r="AG2" s="255"/>
    </row>
    <row r="3" spans="1:34" ht="28.5" customHeight="1">
      <c r="A3" s="269"/>
      <c r="B3" s="296"/>
      <c r="C3" s="297"/>
      <c r="D3" s="298" t="s">
        <v>1887</v>
      </c>
      <c r="E3" s="299" t="str">
        <f ca="1">IF(OR(TRIM(D4)="-",TRIM(D5)="-"),"",VLOOKUP(MIN(C4,C5),Hřiště!$B$11:$E$42,4,0))</f>
        <v/>
      </c>
      <c r="F3" s="300"/>
      <c r="G3" s="301"/>
      <c r="H3" s="302"/>
      <c r="I3" s="303"/>
      <c r="J3" s="300"/>
      <c r="K3" s="300"/>
      <c r="L3" s="302"/>
      <c r="M3" s="303"/>
      <c r="N3" s="300"/>
      <c r="O3" s="300"/>
      <c r="P3" s="302"/>
      <c r="Q3" s="303"/>
      <c r="R3" s="300"/>
      <c r="S3" s="300"/>
      <c r="T3" s="302"/>
      <c r="U3" s="303"/>
      <c r="V3" s="300"/>
      <c r="W3" s="300"/>
      <c r="X3" s="304"/>
      <c r="Y3" s="303"/>
      <c r="Z3" s="300"/>
      <c r="AA3" s="300"/>
      <c r="AB3" s="303"/>
      <c r="AC3" s="303"/>
      <c r="AD3" s="300"/>
      <c r="AE3" s="300"/>
      <c r="AF3" s="300"/>
      <c r="AG3" s="300"/>
    </row>
    <row r="4" spans="1:34" ht="18" customHeight="1">
      <c r="A4" s="305" t="str">
        <f>VLOOKUP(C4,Postupy!$A$3:$C$34,3,0)</f>
        <v>A1</v>
      </c>
      <c r="B4" s="306"/>
      <c r="C4" s="307">
        <v>1</v>
      </c>
      <c r="D4" s="373" t="str">
        <f ca="1">VLOOKUP(C4,Postupy!$A$3:$BG$34,59,0)</f>
        <v>Carreau Brno - Michálek Ivo</v>
      </c>
      <c r="E4" s="309">
        <f>VLOOKUP(C4,Postupy!$A$3:$BH$34,60,0)</f>
        <v>0</v>
      </c>
      <c r="F4" s="310"/>
      <c r="G4" s="255"/>
      <c r="H4" s="268"/>
      <c r="I4" s="255"/>
      <c r="J4" s="255"/>
      <c r="K4" s="255"/>
      <c r="L4" s="255"/>
      <c r="M4" s="255"/>
      <c r="N4" s="255"/>
      <c r="O4" s="255"/>
      <c r="P4" s="255"/>
      <c r="Q4" s="255"/>
      <c r="R4" s="255"/>
      <c r="S4" s="255"/>
      <c r="T4" s="255"/>
      <c r="U4" s="255"/>
      <c r="V4" s="255"/>
      <c r="W4" s="255"/>
      <c r="X4" s="311"/>
      <c r="Y4" s="255"/>
      <c r="Z4" s="255"/>
      <c r="AA4" s="255"/>
      <c r="AB4" s="255"/>
      <c r="AC4" s="255"/>
      <c r="AD4" s="255"/>
      <c r="AE4" s="255"/>
      <c r="AF4" s="255"/>
      <c r="AG4" s="255"/>
    </row>
    <row r="5" spans="1:34" ht="18" customHeight="1">
      <c r="A5" s="305" t="str">
        <f>VLOOKUP(C5,Postupy!$A$3:$C$34,3,0)</f>
        <v/>
      </c>
      <c r="B5" s="306"/>
      <c r="C5" s="312">
        <v>32</v>
      </c>
      <c r="D5" s="373" t="str">
        <f>VLOOKUP(C5,Postupy!$A$3:$BG$34,59,0)</f>
        <v xml:space="preserve"> - </v>
      </c>
      <c r="E5" s="314">
        <f>VLOOKUP(C5,Postupy!$A$3:$BH$34,60,0)</f>
        <v>0</v>
      </c>
      <c r="F5" s="315"/>
      <c r="G5" s="316"/>
      <c r="H5" s="298" t="s">
        <v>1887</v>
      </c>
      <c r="I5" s="299" t="str">
        <f ca="1">IF(OR(TRIM(H6)="-",TRIM(H7)="-"),"",VLOOKUP(MIN(G6,G7),Hřiště!$B$11:$E$42,4,0))</f>
        <v/>
      </c>
      <c r="J5" s="255"/>
      <c r="K5" s="255"/>
      <c r="L5" s="255"/>
      <c r="M5" s="255"/>
      <c r="N5" s="255"/>
      <c r="O5" s="255"/>
      <c r="P5" s="317"/>
      <c r="Q5" s="255"/>
      <c r="R5" s="255"/>
      <c r="S5" s="255"/>
      <c r="T5" s="255"/>
      <c r="U5" s="255"/>
      <c r="V5" s="255"/>
      <c r="W5" s="255"/>
      <c r="X5" s="311"/>
      <c r="Y5" s="255"/>
      <c r="Z5" s="255"/>
      <c r="AA5" s="255"/>
      <c r="AB5" s="255"/>
      <c r="AC5" s="255"/>
      <c r="AD5" s="255"/>
      <c r="AE5" s="255"/>
      <c r="AF5" s="255"/>
      <c r="AG5" s="255"/>
    </row>
    <row r="6" spans="1:34" ht="18" customHeight="1">
      <c r="A6" s="318"/>
      <c r="B6" s="319"/>
      <c r="C6" s="319">
        <f>C4+C5</f>
        <v>33</v>
      </c>
      <c r="D6" s="320"/>
      <c r="E6" s="321"/>
      <c r="F6" s="322"/>
      <c r="G6" s="307">
        <v>1</v>
      </c>
      <c r="H6" s="308" t="str">
        <f ca="1">IF(OR(TRIM(D4)="-",TRIM(D5)="-"),IF(TRIM(D4)="-",D5,D4),IF(AND(E4="",E5="")," ",IF(N(E4)=N(E5)," ",IF(N(E4)&gt;N(E5),D4,D5))))</f>
        <v>Carreau Brno - Michálek Ivo</v>
      </c>
      <c r="I6" s="309">
        <f>VLOOKUP(G6,Postupy!$A$3:$BJ$18,62,0)</f>
        <v>0</v>
      </c>
      <c r="J6" s="310"/>
      <c r="K6" s="255"/>
      <c r="L6" s="317"/>
      <c r="M6" s="255"/>
      <c r="N6" s="255"/>
      <c r="O6" s="255"/>
      <c r="P6" s="317"/>
      <c r="Q6" s="255"/>
      <c r="R6" s="255"/>
      <c r="S6" s="255"/>
      <c r="T6" s="255"/>
      <c r="U6" s="255"/>
      <c r="V6" s="255"/>
      <c r="W6" s="311"/>
      <c r="X6" s="255"/>
      <c r="Y6" s="255"/>
      <c r="Z6" s="255"/>
      <c r="AA6" s="255"/>
      <c r="AB6" s="255"/>
      <c r="AC6" s="255"/>
      <c r="AD6" s="255"/>
      <c r="AE6" s="255"/>
      <c r="AF6" s="255"/>
      <c r="AG6" s="255"/>
    </row>
    <row r="7" spans="1:34" ht="18" customHeight="1">
      <c r="A7" s="323"/>
      <c r="B7" s="324"/>
      <c r="C7" s="325"/>
      <c r="D7" s="298" t="s">
        <v>1887</v>
      </c>
      <c r="E7" s="299" t="str">
        <f ca="1">IF(OR(TRIM(D8)="-",TRIM(D9)="-"),"",VLOOKUP(MIN(C8,C9),Hřiště!$B$11:$E$42,4,0))</f>
        <v/>
      </c>
      <c r="F7" s="322"/>
      <c r="G7" s="312">
        <v>16</v>
      </c>
      <c r="H7" s="313" t="str">
        <f ca="1">IF(OR(TRIM(D8)="-",TRIM(D9)="-"),IF(TRIM(D8)="-",D9,D8),IF(AND(E8="",E9="")," ",IF(N(E8)=N(E9)," ",IF(N(E8)&gt;N(E9),D8,D9))))</f>
        <v>UBU Únětice - Kot Pavel</v>
      </c>
      <c r="I7" s="314">
        <f>VLOOKUP(G7,Postupy!$A$3:$BJ$18,62,0)</f>
        <v>0</v>
      </c>
      <c r="J7" s="315"/>
      <c r="K7" s="326"/>
      <c r="L7" s="327"/>
      <c r="M7" s="293"/>
      <c r="N7" s="255"/>
      <c r="O7" s="255"/>
      <c r="P7" s="317"/>
      <c r="Q7" s="255"/>
      <c r="R7" s="255"/>
      <c r="S7" s="255"/>
      <c r="T7" s="255"/>
      <c r="U7" s="255"/>
      <c r="V7" s="255"/>
      <c r="W7" s="311"/>
      <c r="X7" s="255"/>
      <c r="Y7" s="255"/>
      <c r="Z7" s="255"/>
      <c r="AA7" s="255"/>
      <c r="AB7" s="255"/>
      <c r="AC7" s="255"/>
      <c r="AD7" s="255"/>
      <c r="AE7" s="255"/>
      <c r="AF7" s="255"/>
      <c r="AG7" s="255"/>
    </row>
    <row r="8" spans="1:34" ht="18" customHeight="1">
      <c r="A8" s="305" t="str">
        <f>VLOOKUP(C8,Postupy!$A$3:$C$34,3,0)</f>
        <v/>
      </c>
      <c r="B8" s="306"/>
      <c r="C8" s="307">
        <v>17</v>
      </c>
      <c r="D8" s="373" t="str">
        <f>VLOOKUP(C8,Postupy!$A$3:$BG$34,59,0)</f>
        <v xml:space="preserve"> - </v>
      </c>
      <c r="E8" s="309">
        <f>VLOOKUP(C8,Postupy!$A$3:$BH$34,60,0)</f>
        <v>0</v>
      </c>
      <c r="F8" s="328"/>
      <c r="G8" s="329"/>
      <c r="H8" s="330"/>
      <c r="I8" s="311"/>
      <c r="J8" s="311"/>
      <c r="K8" s="326"/>
      <c r="L8" s="327"/>
      <c r="M8" s="293"/>
      <c r="N8" s="255"/>
      <c r="O8" s="255"/>
      <c r="P8" s="317"/>
      <c r="Q8" s="255"/>
      <c r="R8" s="255"/>
      <c r="S8" s="255"/>
      <c r="T8" s="255"/>
      <c r="U8" s="255"/>
      <c r="V8" s="255"/>
      <c r="W8" s="311"/>
      <c r="X8" s="255"/>
      <c r="Y8" s="255"/>
      <c r="Z8" s="255"/>
      <c r="AA8" s="255"/>
      <c r="AB8" s="255"/>
      <c r="AC8" s="255"/>
      <c r="AD8" s="255"/>
      <c r="AE8" s="255"/>
      <c r="AF8" s="255"/>
      <c r="AG8" s="255"/>
    </row>
    <row r="9" spans="1:34" ht="18" customHeight="1">
      <c r="A9" s="305" t="str">
        <f>VLOOKUP(C9,Postupy!$A$3:$C$34,3,0)</f>
        <v>B2</v>
      </c>
      <c r="B9" s="306"/>
      <c r="C9" s="312">
        <v>16</v>
      </c>
      <c r="D9" s="373" t="str">
        <f ca="1">VLOOKUP(C9,Postupy!$A$3:$BG$34,59,0)</f>
        <v>UBU Únětice - Kot Pavel</v>
      </c>
      <c r="E9" s="314">
        <f>VLOOKUP(C9,Postupy!$A$3:$BH$34,60,0)</f>
        <v>0</v>
      </c>
      <c r="F9" s="268"/>
      <c r="G9" s="255"/>
      <c r="H9" s="331"/>
      <c r="I9" s="311"/>
      <c r="J9" s="311"/>
      <c r="K9" s="316"/>
      <c r="L9" s="298" t="s">
        <v>1887</v>
      </c>
      <c r="M9" s="299" t="str">
        <f ca="1">IF(OR(TRIM(L10)="-",TRIM(L11)="-"),"",VLOOKUP(MIN(K10,K11),Hřiště!$B$11:$E$42,4,0))</f>
        <v/>
      </c>
      <c r="N9" s="269"/>
      <c r="O9" s="255"/>
      <c r="P9" s="317"/>
      <c r="Q9" s="255"/>
      <c r="R9" s="255"/>
      <c r="S9" s="255"/>
      <c r="T9" s="255"/>
      <c r="U9" s="255"/>
      <c r="V9" s="255"/>
      <c r="W9" s="311"/>
      <c r="X9" s="255"/>
      <c r="Y9" s="255"/>
      <c r="Z9" s="255"/>
      <c r="AA9" s="255"/>
      <c r="AB9" s="255"/>
      <c r="AC9" s="255"/>
      <c r="AD9" s="255"/>
      <c r="AE9" s="255"/>
      <c r="AF9" s="255"/>
      <c r="AG9" s="255"/>
    </row>
    <row r="10" spans="1:34" ht="18" customHeight="1">
      <c r="A10" s="318"/>
      <c r="B10" s="319"/>
      <c r="C10" s="319">
        <f>C8+C9</f>
        <v>33</v>
      </c>
      <c r="D10" s="320"/>
      <c r="E10" s="321"/>
      <c r="F10" s="329">
        <f>C6+C10</f>
        <v>66</v>
      </c>
      <c r="G10" s="255"/>
      <c r="H10" s="333"/>
      <c r="I10" s="255"/>
      <c r="J10" s="255"/>
      <c r="K10" s="307">
        <v>1</v>
      </c>
      <c r="L10" s="308" t="str">
        <f ca="1">IF(OR(TRIM(H6)="-",TRIM(H7)="-"),IF(TRIM(H6)="-",H7,H6),IF(AND(I6="",I7="")," ",IF(N(I6)=N(I7)," ",IF(N(I6)&gt;N(I7),H6,H7))))</f>
        <v xml:space="preserve"> </v>
      </c>
      <c r="M10" s="309">
        <f>VLOOKUP(K10,Postupy!$A$3:$BL$10,64,0)</f>
        <v>0</v>
      </c>
      <c r="N10" s="310"/>
      <c r="O10" s="293"/>
      <c r="P10" s="327"/>
      <c r="Q10" s="293"/>
      <c r="R10" s="255"/>
      <c r="S10" s="255"/>
      <c r="T10" s="255"/>
      <c r="U10" s="255"/>
      <c r="V10" s="255"/>
      <c r="W10" s="311"/>
      <c r="X10" s="255"/>
      <c r="Y10" s="255"/>
      <c r="Z10" s="255"/>
      <c r="AA10" s="255"/>
      <c r="AB10" s="255"/>
      <c r="AC10" s="255"/>
      <c r="AD10" s="293"/>
      <c r="AE10" s="255"/>
      <c r="AF10" s="255"/>
      <c r="AG10" s="255"/>
      <c r="AH10" s="311"/>
    </row>
    <row r="11" spans="1:34" ht="18" customHeight="1">
      <c r="A11" s="323"/>
      <c r="B11" s="324"/>
      <c r="C11" s="325"/>
      <c r="D11" s="298" t="s">
        <v>1887</v>
      </c>
      <c r="E11" s="299" t="str">
        <f ca="1">IF(OR(TRIM(D12)="-",TRIM(D13)="-"),"",VLOOKUP(MIN(C12,C13),Hřiště!$B$11:$E$42,4,0))</f>
        <v/>
      </c>
      <c r="F11" s="255"/>
      <c r="G11" s="255"/>
      <c r="H11" s="333"/>
      <c r="I11" s="255"/>
      <c r="J11" s="255"/>
      <c r="K11" s="312">
        <v>8</v>
      </c>
      <c r="L11" s="313" t="str">
        <f ca="1">IF(OR(TRIM(H14)="-",TRIM(H15)="-"),IF(TRIM(H14)="-",H15,H14),IF(AND(I14="",I15="")," ",IF(N(I14)=N(I15)," ",IF(N(I14)&gt;N(I15),H14,H15))))</f>
        <v xml:space="preserve"> </v>
      </c>
      <c r="M11" s="314">
        <f>VLOOKUP(K11,Postupy!$A$3:$BL$10,64,0)</f>
        <v>0</v>
      </c>
      <c r="N11" s="315"/>
      <c r="O11" s="326"/>
      <c r="P11" s="327"/>
      <c r="Q11" s="293"/>
      <c r="R11" s="255"/>
      <c r="S11" s="255"/>
      <c r="T11" s="255"/>
      <c r="U11" s="255"/>
      <c r="V11" s="255"/>
      <c r="W11" s="311"/>
      <c r="X11" s="255"/>
      <c r="Y11" s="255"/>
      <c r="Z11" s="255"/>
      <c r="AA11" s="255"/>
      <c r="AB11" s="255"/>
      <c r="AC11" s="255"/>
      <c r="AD11" s="293"/>
      <c r="AE11" s="255"/>
      <c r="AF11" s="255"/>
      <c r="AG11" s="255"/>
      <c r="AH11" s="255"/>
    </row>
    <row r="12" spans="1:34" ht="18" customHeight="1">
      <c r="A12" s="305" t="str">
        <f>VLOOKUP(C12,Postupy!$A$3:$C$34,3,0)</f>
        <v>G2</v>
      </c>
      <c r="B12" s="306"/>
      <c r="C12" s="307">
        <v>9</v>
      </c>
      <c r="D12" s="373" t="str">
        <f ca="1">VLOOKUP(C12,Postupy!$A$3:$BG$34,59,0)</f>
        <v>Orel Řečkovice - Olbort Tomáš</v>
      </c>
      <c r="E12" s="309">
        <f>VLOOKUP(C12,Postupy!$A$3:$BH$34,60,0)</f>
        <v>0</v>
      </c>
      <c r="F12" s="316"/>
      <c r="G12" s="255"/>
      <c r="H12" s="331"/>
      <c r="I12" s="311"/>
      <c r="J12" s="311"/>
      <c r="K12" s="334"/>
      <c r="L12" s="335"/>
      <c r="M12" s="336"/>
      <c r="N12" s="255"/>
      <c r="O12" s="326"/>
      <c r="P12" s="327"/>
      <c r="Q12" s="293"/>
      <c r="R12" s="255"/>
      <c r="S12" s="255"/>
      <c r="T12" s="255"/>
      <c r="U12" s="255"/>
      <c r="V12" s="255"/>
      <c r="W12" s="311"/>
      <c r="X12" s="255"/>
      <c r="Y12" s="255"/>
      <c r="Z12" s="255"/>
      <c r="AA12" s="255"/>
      <c r="AB12" s="255"/>
      <c r="AC12" s="255"/>
      <c r="AD12" s="293"/>
      <c r="AE12" s="255"/>
      <c r="AF12" s="255"/>
      <c r="AG12" s="255"/>
      <c r="AH12" s="255"/>
    </row>
    <row r="13" spans="1:34" ht="18" customHeight="1">
      <c r="A13" s="305" t="str">
        <f>VLOOKUP(C13,Postupy!$A$3:$C$34,3,0)</f>
        <v/>
      </c>
      <c r="B13" s="306"/>
      <c r="C13" s="312">
        <v>24</v>
      </c>
      <c r="D13" s="373" t="str">
        <f>VLOOKUP(C13,Postupy!$A$3:$BG$34,59,0)</f>
        <v xml:space="preserve"> - </v>
      </c>
      <c r="E13" s="314">
        <f>VLOOKUP(C13,Postupy!$A$3:$BH$34,60,0)</f>
        <v>0</v>
      </c>
      <c r="F13" s="337" t="s">
        <v>1690</v>
      </c>
      <c r="G13" s="316"/>
      <c r="H13" s="298" t="s">
        <v>1887</v>
      </c>
      <c r="I13" s="299" t="str">
        <f ca="1">IF(OR(TRIM(H14)="-",TRIM(H15)="-"),"",VLOOKUP(MIN(G14,G15),Hřiště!$B$11:$E$42,4,0))</f>
        <v/>
      </c>
      <c r="J13" s="311"/>
      <c r="K13" s="326"/>
      <c r="L13" s="333"/>
      <c r="M13" s="293"/>
      <c r="N13" s="255"/>
      <c r="O13" s="326"/>
      <c r="P13" s="327"/>
      <c r="Q13" s="293"/>
      <c r="R13" s="255"/>
      <c r="S13" s="255"/>
      <c r="T13" s="255"/>
      <c r="U13" s="255"/>
      <c r="V13" s="255"/>
      <c r="W13" s="311"/>
      <c r="X13" s="255"/>
      <c r="Y13" s="255"/>
      <c r="Z13" s="255"/>
      <c r="AA13" s="255"/>
      <c r="AB13" s="255"/>
      <c r="AC13" s="255"/>
      <c r="AD13" s="293"/>
      <c r="AE13" s="255"/>
      <c r="AF13" s="255"/>
      <c r="AG13" s="255"/>
      <c r="AH13" s="255"/>
    </row>
    <row r="14" spans="1:34" ht="18" customHeight="1">
      <c r="A14" s="318"/>
      <c r="B14" s="319"/>
      <c r="C14" s="319">
        <f>C12+C13</f>
        <v>33</v>
      </c>
      <c r="D14" s="320"/>
      <c r="E14" s="321"/>
      <c r="F14" s="322"/>
      <c r="G14" s="307">
        <v>9</v>
      </c>
      <c r="H14" s="308" t="str">
        <f ca="1">IF(OR(TRIM(D12)="-",TRIM(D13)="-"),IF(TRIM(D12)="-",D13,D12),IF(AND(E12="",E13="")," ",IF(N(E12)=N(E13)," ",IF(N(E12)&gt;N(E13),D12,D13))))</f>
        <v>Orel Řečkovice - Olbort Tomáš</v>
      </c>
      <c r="I14" s="309">
        <f>VLOOKUP(G14,Postupy!$A$3:$BJ$18,62,0)</f>
        <v>0</v>
      </c>
      <c r="J14" s="328"/>
      <c r="K14" s="326"/>
      <c r="L14" s="333"/>
      <c r="M14" s="293"/>
      <c r="N14" s="255"/>
      <c r="O14" s="326"/>
      <c r="P14" s="327"/>
      <c r="Q14" s="293"/>
      <c r="R14" s="255"/>
      <c r="S14" s="255"/>
      <c r="T14" s="255"/>
      <c r="U14" s="255"/>
      <c r="V14" s="255"/>
      <c r="W14" s="311"/>
      <c r="X14" s="255"/>
      <c r="Y14" s="255"/>
      <c r="Z14" s="255"/>
      <c r="AA14" s="255"/>
      <c r="AB14" s="255"/>
      <c r="AC14" s="255"/>
      <c r="AD14" s="293"/>
      <c r="AE14" s="255"/>
      <c r="AF14" s="255"/>
      <c r="AG14" s="255"/>
      <c r="AH14" s="255"/>
    </row>
    <row r="15" spans="1:34" ht="18" customHeight="1">
      <c r="A15" s="323"/>
      <c r="B15" s="324"/>
      <c r="C15" s="325"/>
      <c r="D15" s="298" t="s">
        <v>1887</v>
      </c>
      <c r="E15" s="299" t="str">
        <f ca="1">IF(OR(TRIM(D16)="-",TRIM(D17)="-"),"",VLOOKUP(MIN(C16,C17),Hřiště!$B$11:$E$42,4,0))</f>
        <v/>
      </c>
      <c r="F15" s="269"/>
      <c r="G15" s="312">
        <v>8</v>
      </c>
      <c r="H15" s="313" t="str">
        <f ca="1">IF(OR(TRIM(D16)="-",TRIM(D17)="-"),IF(TRIM(D16)="-",D17,D16),IF(AND(E16="",E17="")," ",IF(N(E16)=N(E17)," ",IF(N(E16)&gt;N(E17),D16,D17))))</f>
        <v>Carreau Brno - Grepl Jiří</v>
      </c>
      <c r="I15" s="314">
        <f>VLOOKUP(G15,Postupy!$A$3:$BJ$18,62,0)</f>
        <v>0</v>
      </c>
      <c r="J15" s="268"/>
      <c r="K15" s="255"/>
      <c r="L15" s="333"/>
      <c r="M15" s="255"/>
      <c r="N15" s="255"/>
      <c r="O15" s="326"/>
      <c r="P15" s="327"/>
      <c r="Q15" s="293"/>
      <c r="R15" s="255"/>
      <c r="S15" s="255"/>
      <c r="T15" s="255"/>
      <c r="U15" s="255"/>
      <c r="V15" s="255"/>
      <c r="W15" s="311"/>
      <c r="X15" s="255"/>
      <c r="Y15" s="255"/>
      <c r="Z15" s="255"/>
      <c r="AA15" s="255"/>
      <c r="AB15" s="255"/>
      <c r="AC15" s="255"/>
      <c r="AD15" s="255"/>
      <c r="AE15" s="255"/>
      <c r="AF15" s="255"/>
      <c r="AG15" s="255"/>
    </row>
    <row r="16" spans="1:34" ht="18" customHeight="1">
      <c r="A16" s="305" t="str">
        <f>VLOOKUP(C16,Postupy!$A$3:$C$34,3,0)</f>
        <v/>
      </c>
      <c r="B16" s="306"/>
      <c r="C16" s="307">
        <v>25</v>
      </c>
      <c r="D16" s="373" t="str">
        <f>VLOOKUP(C16,Postupy!$A$3:$BG$34,59,0)</f>
        <v xml:space="preserve"> - </v>
      </c>
      <c r="E16" s="309">
        <f>VLOOKUP(C16,Postupy!$A$3:$BH$34,60,0)</f>
        <v>0</v>
      </c>
      <c r="F16" s="338"/>
      <c r="G16" s="334"/>
      <c r="H16" s="335"/>
      <c r="I16" s="336"/>
      <c r="J16" s="255"/>
      <c r="K16" s="255"/>
      <c r="L16" s="331"/>
      <c r="M16" s="255"/>
      <c r="N16" s="255"/>
      <c r="O16" s="326"/>
      <c r="P16" s="327"/>
      <c r="Q16" s="293"/>
      <c r="R16" s="255"/>
      <c r="S16" s="255"/>
      <c r="T16" s="255"/>
      <c r="U16" s="255"/>
      <c r="V16" s="255"/>
      <c r="W16" s="311"/>
      <c r="X16" s="255"/>
      <c r="Y16" s="255"/>
      <c r="Z16" s="255"/>
      <c r="AA16" s="255"/>
      <c r="AB16" s="255"/>
      <c r="AC16" s="255"/>
      <c r="AD16" s="255"/>
      <c r="AE16" s="255"/>
      <c r="AF16" s="255"/>
      <c r="AG16" s="255"/>
    </row>
    <row r="17" spans="1:33" ht="18" customHeight="1">
      <c r="A17" s="305" t="str">
        <f>VLOOKUP(C17,Postupy!$A$3:$C$34,3,0)</f>
        <v>H1</v>
      </c>
      <c r="B17" s="306"/>
      <c r="C17" s="312">
        <v>8</v>
      </c>
      <c r="D17" s="373" t="str">
        <f ca="1">VLOOKUP(C17,Postupy!$A$3:$BG$34,59,0)</f>
        <v>Carreau Brno - Grepl Jiří</v>
      </c>
      <c r="E17" s="314">
        <f>VLOOKUP(C17,Postupy!$A$3:$BH$34,60,0)</f>
        <v>0</v>
      </c>
      <c r="F17" s="339"/>
      <c r="G17" s="255"/>
      <c r="H17" s="331"/>
      <c r="I17" s="255"/>
      <c r="J17" s="255"/>
      <c r="K17" s="255"/>
      <c r="L17" s="340"/>
      <c r="M17" s="311"/>
      <c r="N17" s="311"/>
      <c r="O17" s="316"/>
      <c r="P17" s="298" t="s">
        <v>1887</v>
      </c>
      <c r="Q17" s="299" t="str">
        <f ca="1">IF(OR(TRIM(P18)="-",TRIM(P19)="-"),"",VLOOKUP(MIN(O18,O19),Hřiště!$B$11:$E$42,4,0))</f>
        <v/>
      </c>
      <c r="S17" s="269"/>
      <c r="T17" s="269"/>
      <c r="U17" s="269"/>
      <c r="V17" s="255"/>
      <c r="W17" s="311"/>
      <c r="X17" s="255"/>
      <c r="Y17" s="255"/>
      <c r="Z17" s="255"/>
      <c r="AA17" s="255"/>
      <c r="AB17" s="255"/>
      <c r="AC17" s="255"/>
      <c r="AD17" s="255"/>
      <c r="AE17" s="255"/>
      <c r="AF17" s="255"/>
      <c r="AG17" s="255"/>
    </row>
    <row r="18" spans="1:33" ht="18" customHeight="1">
      <c r="A18" s="318"/>
      <c r="B18" s="319"/>
      <c r="C18" s="319">
        <f>C16+C17</f>
        <v>33</v>
      </c>
      <c r="D18" s="320"/>
      <c r="E18" s="321"/>
      <c r="F18" s="329">
        <f>C14+C18</f>
        <v>66</v>
      </c>
      <c r="G18" s="255"/>
      <c r="H18" s="333"/>
      <c r="I18" s="255"/>
      <c r="J18" s="255"/>
      <c r="K18" s="255"/>
      <c r="L18" s="341"/>
      <c r="M18" s="311"/>
      <c r="N18" s="311"/>
      <c r="O18" s="307">
        <v>1</v>
      </c>
      <c r="P18" s="308" t="str">
        <f ca="1">IF(OR(TRIM(L10)="-",TRIM(L11)="-"),IF(TRIM(L10)="-",L11,L10),IF(AND(M10="",M11="")," ",IF(N(M10)=N(M11)," ",IF(N(M10)&gt;N(M11),L10,L11))))</f>
        <v xml:space="preserve"> </v>
      </c>
      <c r="Q18" s="309">
        <f>VLOOKUP(O18,Postupy!$A$3:$BN$6,66,0)</f>
        <v>0</v>
      </c>
      <c r="R18" s="311"/>
      <c r="S18" s="255"/>
      <c r="T18" s="255"/>
      <c r="U18" s="255"/>
      <c r="V18" s="255"/>
      <c r="W18" s="311"/>
      <c r="X18" s="255"/>
      <c r="Y18" s="255"/>
      <c r="Z18" s="255"/>
      <c r="AA18" s="255"/>
      <c r="AB18" s="255"/>
      <c r="AC18" s="255"/>
      <c r="AD18" s="255"/>
      <c r="AE18" s="255"/>
      <c r="AF18" s="255"/>
      <c r="AG18" s="255"/>
    </row>
    <row r="19" spans="1:33" ht="18" customHeight="1">
      <c r="A19" s="323"/>
      <c r="B19" s="324"/>
      <c r="C19" s="325"/>
      <c r="D19" s="298" t="s">
        <v>1887</v>
      </c>
      <c r="E19" s="299" t="str">
        <f ca="1">IF(OR(TRIM(D20)="-",TRIM(D21)="-"),"",VLOOKUP(MIN(C20,C21),Hřiště!$B$11:$E$42,4,0))</f>
        <v/>
      </c>
      <c r="F19" s="255"/>
      <c r="G19" s="255"/>
      <c r="H19" s="333"/>
      <c r="I19" s="255"/>
      <c r="J19" s="255"/>
      <c r="K19" s="255"/>
      <c r="L19" s="341"/>
      <c r="M19" s="311"/>
      <c r="N19" s="322"/>
      <c r="O19" s="312">
        <v>4</v>
      </c>
      <c r="P19" s="313" t="str">
        <f ca="1">IF(OR(TRIM(L26)="-",TRIM(L27)="-"),IF(TRIM(L26)="-",L27,L26),IF(AND(M26="",M27="")," ",IF(N(M26)=N(M27)," ",IF(N(M26)&gt;N(M27),L26,L27))))</f>
        <v xml:space="preserve"> </v>
      </c>
      <c r="Q19" s="314">
        <f>VLOOKUP(O19,Postupy!$A$3:$BN$6,66,0)</f>
        <v>0</v>
      </c>
      <c r="R19" s="315"/>
      <c r="S19" s="342"/>
      <c r="T19" s="255"/>
      <c r="U19" s="255"/>
      <c r="V19" s="255"/>
      <c r="W19" s="311"/>
      <c r="X19" s="255"/>
      <c r="Y19" s="255"/>
      <c r="Z19" s="255"/>
      <c r="AA19" s="255"/>
      <c r="AB19" s="255"/>
      <c r="AC19" s="255"/>
      <c r="AD19" s="255"/>
      <c r="AE19" s="255"/>
      <c r="AF19" s="255"/>
      <c r="AG19" s="255"/>
    </row>
    <row r="20" spans="1:33" ht="18" customHeight="1">
      <c r="A20" s="305" t="str">
        <f>VLOOKUP(C20,Postupy!$A$3:$C$34,3,0)</f>
        <v>E1</v>
      </c>
      <c r="B20" s="306"/>
      <c r="C20" s="307">
        <v>5</v>
      </c>
      <c r="D20" s="373" t="str">
        <f ca="1">VLOOKUP(C20,Postupy!$A$3:$BG$34,59,0)</f>
        <v>SKP Kulová osma - Krejčín Leoš</v>
      </c>
      <c r="E20" s="309">
        <f>VLOOKUP(C20,Postupy!$A$3:$BH$34,60,0)</f>
        <v>0</v>
      </c>
      <c r="F20" s="316"/>
      <c r="G20" s="255"/>
      <c r="H20" s="331"/>
      <c r="I20" s="255"/>
      <c r="J20" s="255"/>
      <c r="K20" s="255"/>
      <c r="L20" s="341"/>
      <c r="M20" s="311"/>
      <c r="N20" s="322"/>
      <c r="O20" s="334"/>
      <c r="P20" s="335"/>
      <c r="Q20" s="293"/>
      <c r="R20" s="311"/>
      <c r="S20" s="342"/>
      <c r="T20" s="343"/>
      <c r="U20" s="311"/>
      <c r="V20" s="255"/>
      <c r="W20" s="311"/>
      <c r="X20" s="255"/>
      <c r="Y20" s="255"/>
      <c r="Z20" s="255"/>
      <c r="AA20" s="255"/>
      <c r="AB20" s="255"/>
      <c r="AC20" s="293"/>
      <c r="AD20" s="255"/>
      <c r="AE20" s="255"/>
      <c r="AF20" s="255"/>
      <c r="AG20" s="255"/>
    </row>
    <row r="21" spans="1:33" ht="18" customHeight="1">
      <c r="A21" s="305" t="str">
        <f>VLOOKUP(C21,Postupy!$A$3:$C$34,3,0)</f>
        <v/>
      </c>
      <c r="B21" s="306"/>
      <c r="C21" s="312">
        <v>28</v>
      </c>
      <c r="D21" s="373" t="str">
        <f>VLOOKUP(C21,Postupy!$A$3:$BG$34,59,0)</f>
        <v xml:space="preserve"> - </v>
      </c>
      <c r="E21" s="314">
        <f>VLOOKUP(C21,Postupy!$A$3:$BH$34,60,0)</f>
        <v>0</v>
      </c>
      <c r="F21" s="344"/>
      <c r="G21" s="316"/>
      <c r="H21" s="298" t="s">
        <v>1887</v>
      </c>
      <c r="I21" s="299" t="str">
        <f ca="1">IF(OR(TRIM(H22)="-",TRIM(H23)="-"),"",VLOOKUP(MIN(G22,G23),Hřiště!$B$11:$E$42,4,0))</f>
        <v/>
      </c>
      <c r="J21" s="255"/>
      <c r="K21" s="255"/>
      <c r="L21" s="341"/>
      <c r="M21" s="311"/>
      <c r="N21" s="322"/>
      <c r="O21" s="293"/>
      <c r="P21" s="333"/>
      <c r="Q21" s="311"/>
      <c r="R21" s="311"/>
      <c r="S21" s="342"/>
      <c r="T21" s="343"/>
      <c r="U21" s="311"/>
      <c r="V21" s="255"/>
      <c r="W21" s="311"/>
      <c r="X21" s="255"/>
      <c r="Y21" s="255"/>
      <c r="Z21" s="255"/>
      <c r="AA21" s="255"/>
      <c r="AB21" s="255"/>
      <c r="AC21" s="293"/>
      <c r="AD21" s="255"/>
      <c r="AE21" s="255"/>
      <c r="AF21" s="255"/>
      <c r="AG21" s="255"/>
    </row>
    <row r="22" spans="1:33" ht="18" customHeight="1">
      <c r="A22" s="318"/>
      <c r="B22" s="319"/>
      <c r="C22" s="319">
        <f>C20+C21</f>
        <v>33</v>
      </c>
      <c r="D22" s="320"/>
      <c r="E22" s="321"/>
      <c r="F22" s="322"/>
      <c r="G22" s="307">
        <v>5</v>
      </c>
      <c r="H22" s="308" t="str">
        <f ca="1">IF(OR(TRIM(D20)="-",TRIM(D21)="-"),IF(TRIM(D20)="-",D21,D20),IF(AND(E20="",E21="")," ",IF(N(E20)=N(E21)," ",IF(N(E20)&gt;N(E21),D20,D21))))</f>
        <v>SKP Kulová osma - Krejčín Leoš</v>
      </c>
      <c r="I22" s="309">
        <f>VLOOKUP(G22,Postupy!$A$3:$BJ$18,62,0)</f>
        <v>0</v>
      </c>
      <c r="J22" s="310"/>
      <c r="K22" s="255"/>
      <c r="L22" s="341"/>
      <c r="M22" s="311"/>
      <c r="N22" s="322"/>
      <c r="O22" s="293"/>
      <c r="P22" s="333"/>
      <c r="Q22" s="311"/>
      <c r="R22" s="311"/>
      <c r="S22" s="342"/>
      <c r="T22" s="343"/>
      <c r="U22" s="311"/>
      <c r="V22" s="255"/>
      <c r="W22" s="311"/>
      <c r="X22" s="255"/>
      <c r="Y22" s="255"/>
      <c r="Z22" s="255"/>
      <c r="AA22" s="255"/>
      <c r="AB22" s="255"/>
      <c r="AC22" s="293"/>
      <c r="AD22" s="255"/>
      <c r="AE22" s="255"/>
      <c r="AF22" s="255"/>
      <c r="AG22" s="255"/>
    </row>
    <row r="23" spans="1:33" ht="18" customHeight="1">
      <c r="A23" s="323"/>
      <c r="B23" s="324"/>
      <c r="C23" s="325"/>
      <c r="D23" s="298" t="s">
        <v>1887</v>
      </c>
      <c r="E23" s="299" t="str">
        <f ca="1">IF(OR(TRIM(D24)="-",TRIM(D25)="-"),"",VLOOKUP(MIN(C24,C25),Hřiště!$B$11:$E$42,4,0))</f>
        <v/>
      </c>
      <c r="F23" s="322"/>
      <c r="G23" s="312">
        <v>12</v>
      </c>
      <c r="H23" s="313" t="str">
        <f ca="1">IF(OR(TRIM(D24)="-",TRIM(D25)="-"),IF(TRIM(D24)="-",D25,D24),IF(AND(E24="",E25="")," ",IF(N(E24)=N(E25)," ",IF(N(E24)&gt;N(E25),D24,D25))))</f>
        <v>SKP Hranice VI-Valšovice - Jakeš Zbyněk</v>
      </c>
      <c r="I23" s="314">
        <f>VLOOKUP(G23,Postupy!$A$3:$BJ$18,62,0)</f>
        <v>0</v>
      </c>
      <c r="J23" s="315"/>
      <c r="K23" s="326"/>
      <c r="L23" s="345"/>
      <c r="M23" s="311"/>
      <c r="N23" s="322"/>
      <c r="O23" s="293"/>
      <c r="P23" s="331"/>
      <c r="Q23" s="311"/>
      <c r="R23" s="311"/>
      <c r="S23" s="342"/>
      <c r="T23" s="343"/>
      <c r="U23" s="311"/>
      <c r="V23" s="255"/>
      <c r="W23" s="311"/>
      <c r="X23" s="255"/>
      <c r="Y23" s="255"/>
      <c r="Z23" s="255"/>
      <c r="AA23" s="255"/>
      <c r="AB23" s="255"/>
      <c r="AC23" s="255"/>
      <c r="AD23" s="255"/>
      <c r="AE23" s="255"/>
      <c r="AF23" s="255"/>
      <c r="AG23" s="255"/>
    </row>
    <row r="24" spans="1:33" ht="18" customHeight="1">
      <c r="A24" s="305" t="str">
        <f>VLOOKUP(C24,Postupy!$A$3:$C$34,3,0)</f>
        <v/>
      </c>
      <c r="B24" s="306"/>
      <c r="C24" s="307">
        <v>21</v>
      </c>
      <c r="D24" s="373" t="str">
        <f>VLOOKUP(C24,Postupy!$A$3:$BG$34,59,0)</f>
        <v xml:space="preserve"> - </v>
      </c>
      <c r="E24" s="309">
        <f>VLOOKUP(C24,Postupy!$A$3:$BH$34,60,0)</f>
        <v>0</v>
      </c>
      <c r="F24" s="328"/>
      <c r="G24" s="329"/>
      <c r="H24" s="335"/>
      <c r="I24" s="346"/>
      <c r="J24" s="311"/>
      <c r="K24" s="326"/>
      <c r="L24" s="347"/>
      <c r="M24" s="311"/>
      <c r="N24" s="322"/>
      <c r="O24" s="293"/>
      <c r="P24" s="340"/>
      <c r="Q24" s="311"/>
      <c r="R24" s="311"/>
      <c r="S24" s="342"/>
      <c r="T24" s="343"/>
      <c r="U24" s="311"/>
      <c r="V24" s="255"/>
      <c r="W24" s="311"/>
      <c r="X24" s="255"/>
      <c r="Y24" s="255"/>
      <c r="Z24" s="255"/>
      <c r="AA24" s="255"/>
      <c r="AB24" s="255"/>
      <c r="AC24" s="255"/>
      <c r="AD24" s="255"/>
      <c r="AE24" s="255"/>
      <c r="AF24" s="255"/>
      <c r="AG24" s="255"/>
    </row>
    <row r="25" spans="1:33" ht="18" customHeight="1">
      <c r="A25" s="305" t="str">
        <f>VLOOKUP(C25,Postupy!$A$3:$C$34,3,0)</f>
        <v>F2</v>
      </c>
      <c r="B25" s="306"/>
      <c r="C25" s="312">
        <v>12</v>
      </c>
      <c r="D25" s="373" t="str">
        <f ca="1">VLOOKUP(C25,Postupy!$A$3:$BG$34,59,0)</f>
        <v>SKP Hranice VI-Valšovice - Jakeš Zbyněk</v>
      </c>
      <c r="E25" s="314">
        <f>VLOOKUP(C25,Postupy!$A$3:$BH$34,60,0)</f>
        <v>0</v>
      </c>
      <c r="F25" s="268"/>
      <c r="G25" s="255"/>
      <c r="H25" s="331"/>
      <c r="I25" s="311"/>
      <c r="J25" s="311"/>
      <c r="K25" s="316"/>
      <c r="L25" s="298" t="s">
        <v>1887</v>
      </c>
      <c r="M25" s="299" t="str">
        <f ca="1">IF(OR(TRIM(L26)="-",TRIM(L27)="-"),"",VLOOKUP(MIN(K26,K27),Hřiště!$B$11:$E$42,4,0))</f>
        <v/>
      </c>
      <c r="N25" s="348"/>
      <c r="O25" s="293"/>
      <c r="P25" s="345"/>
      <c r="Q25" s="311"/>
      <c r="R25" s="311"/>
      <c r="S25" s="342"/>
      <c r="T25" s="343"/>
      <c r="U25" s="311"/>
      <c r="V25" s="255"/>
      <c r="W25" s="311"/>
      <c r="X25" s="255"/>
      <c r="Y25" s="255"/>
      <c r="Z25" s="255"/>
      <c r="AA25" s="255"/>
      <c r="AB25" s="255"/>
      <c r="AC25" s="255"/>
      <c r="AD25" s="255"/>
      <c r="AE25" s="255"/>
      <c r="AF25" s="255"/>
      <c r="AG25" s="255"/>
    </row>
    <row r="26" spans="1:33" ht="18" customHeight="1">
      <c r="A26" s="318"/>
      <c r="B26" s="319"/>
      <c r="C26" s="319">
        <f>C24+C25</f>
        <v>33</v>
      </c>
      <c r="D26" s="320"/>
      <c r="E26" s="321"/>
      <c r="F26" s="329">
        <f>C22+C26</f>
        <v>66</v>
      </c>
      <c r="G26" s="255"/>
      <c r="H26" s="333"/>
      <c r="I26" s="255"/>
      <c r="J26" s="255"/>
      <c r="K26" s="307">
        <v>5</v>
      </c>
      <c r="L26" s="308" t="str">
        <f ca="1">IF(OR(TRIM(H22)="-",TRIM(H23)="-"),IF(TRIM(H22)="-",H23,H22),IF(AND(I22="",I23="")," ",IF(N(I22)=N(I23)," ",IF(N(I22)&gt;N(I23),H22,H23))))</f>
        <v xml:space="preserve"> </v>
      </c>
      <c r="M26" s="309">
        <f>VLOOKUP(K26,Postupy!$A$3:$BL$10,64,0)</f>
        <v>0</v>
      </c>
      <c r="N26" s="328"/>
      <c r="O26" s="255"/>
      <c r="P26" s="341"/>
      <c r="Q26" s="311"/>
      <c r="R26" s="311"/>
      <c r="S26" s="342"/>
      <c r="T26" s="343"/>
      <c r="U26" s="255"/>
      <c r="V26" s="255"/>
      <c r="W26" s="255"/>
      <c r="X26" s="255"/>
      <c r="Y26" s="311"/>
      <c r="Z26" s="255"/>
      <c r="AA26" s="255"/>
      <c r="AB26" s="255"/>
      <c r="AC26" s="311"/>
      <c r="AD26" s="255"/>
      <c r="AE26" s="255"/>
      <c r="AF26" s="255"/>
      <c r="AG26" s="255"/>
    </row>
    <row r="27" spans="1:33" ht="18" customHeight="1">
      <c r="A27" s="323"/>
      <c r="B27" s="324"/>
      <c r="C27" s="325"/>
      <c r="D27" s="298" t="s">
        <v>1887</v>
      </c>
      <c r="E27" s="299" t="str">
        <f ca="1">IF(OR(TRIM(D28)="-",TRIM(D29)="-"),"",VLOOKUP(MIN(C28,C29),Hřiště!$B$11:$E$42,4,0))</f>
        <v/>
      </c>
      <c r="F27" s="255"/>
      <c r="G27" s="255"/>
      <c r="H27" s="333"/>
      <c r="I27" s="255"/>
      <c r="J27" s="255"/>
      <c r="K27" s="312">
        <v>4</v>
      </c>
      <c r="L27" s="313" t="str">
        <f ca="1">IF(OR(TRIM(H30)="-",TRIM(H31)="-"),IF(TRIM(H30)="-",H31,H30),IF(AND(I30="",I31="")," ",IF(N(I30)=N(I31)," ",IF(N(I30)&gt;N(I31),H30,H31))))</f>
        <v xml:space="preserve"> </v>
      </c>
      <c r="M27" s="314">
        <f>VLOOKUP(K27,Postupy!$A$3:$BL$10,64,0)</f>
        <v>0</v>
      </c>
      <c r="N27" s="268"/>
      <c r="O27" s="255"/>
      <c r="P27" s="341"/>
      <c r="Q27" s="311"/>
      <c r="R27" s="311"/>
      <c r="S27" s="342"/>
      <c r="T27" s="343"/>
      <c r="U27" s="255"/>
      <c r="V27" s="255"/>
      <c r="W27" s="255"/>
      <c r="X27" s="255"/>
      <c r="Y27" s="311"/>
      <c r="Z27" s="255"/>
      <c r="AA27" s="255"/>
      <c r="AB27" s="255"/>
      <c r="AC27" s="311"/>
      <c r="AD27" s="255"/>
      <c r="AE27" s="255"/>
      <c r="AF27" s="255"/>
      <c r="AG27" s="255"/>
    </row>
    <row r="28" spans="1:33" ht="18" customHeight="1">
      <c r="A28" s="305" t="str">
        <f>VLOOKUP(C28,Postupy!$A$3:$C$34,3,0)</f>
        <v>C2</v>
      </c>
      <c r="B28" s="306"/>
      <c r="C28" s="307">
        <v>13</v>
      </c>
      <c r="D28" s="373" t="str">
        <f ca="1">VLOOKUP(C28,Postupy!$A$3:$BG$34,59,0)</f>
        <v>Kulový blesk Olomouc - Hildenbrand Benjamin</v>
      </c>
      <c r="E28" s="309">
        <f>VLOOKUP(C28,Postupy!$A$3:$BH$34,60,0)</f>
        <v>0</v>
      </c>
      <c r="F28" s="316"/>
      <c r="G28" s="255"/>
      <c r="H28" s="331"/>
      <c r="I28" s="255"/>
      <c r="J28" s="311"/>
      <c r="K28" s="334"/>
      <c r="L28" s="335"/>
      <c r="M28" s="336"/>
      <c r="N28" s="255"/>
      <c r="O28" s="255"/>
      <c r="P28" s="341"/>
      <c r="Q28" s="311"/>
      <c r="R28" s="311"/>
      <c r="S28" s="342"/>
      <c r="T28" s="349"/>
      <c r="U28" s="311"/>
      <c r="V28" s="255"/>
      <c r="W28" s="311"/>
      <c r="X28" s="255"/>
      <c r="Y28" s="255"/>
      <c r="Z28" s="255"/>
      <c r="AA28" s="255"/>
      <c r="AB28" s="255"/>
      <c r="AC28" s="255"/>
      <c r="AD28" s="255"/>
      <c r="AE28" s="255"/>
      <c r="AF28" s="255"/>
      <c r="AG28" s="255"/>
    </row>
    <row r="29" spans="1:33" ht="18" customHeight="1">
      <c r="A29" s="305" t="str">
        <f>VLOOKUP(C29,Postupy!$A$3:$C$34,3,0)</f>
        <v/>
      </c>
      <c r="B29" s="306"/>
      <c r="C29" s="312">
        <v>20</v>
      </c>
      <c r="D29" s="373" t="str">
        <f>VLOOKUP(C29,Postupy!$A$3:$BG$34,59,0)</f>
        <v xml:space="preserve"> - </v>
      </c>
      <c r="E29" s="314">
        <f>VLOOKUP(C29,Postupy!$A$3:$BH$34,60,0)</f>
        <v>0</v>
      </c>
      <c r="F29" s="337" t="s">
        <v>1690</v>
      </c>
      <c r="G29" s="316"/>
      <c r="H29" s="298" t="s">
        <v>1887</v>
      </c>
      <c r="I29" s="299" t="str">
        <f ca="1">IF(OR(TRIM(H30)="-",TRIM(H31)="-"),"",VLOOKUP(MIN(G30,G31),Hřiště!$B$11:$E$42,4,0))</f>
        <v/>
      </c>
      <c r="J29" s="311"/>
      <c r="K29" s="326"/>
      <c r="L29" s="333"/>
      <c r="M29" s="293"/>
      <c r="N29" s="255"/>
      <c r="O29" s="255"/>
      <c r="P29" s="341"/>
      <c r="Q29" s="311"/>
      <c r="R29" s="311"/>
      <c r="S29" s="342"/>
      <c r="T29" s="349"/>
      <c r="U29" s="311"/>
      <c r="V29" s="255"/>
      <c r="W29" s="311"/>
      <c r="X29" s="317"/>
      <c r="Y29" s="255"/>
      <c r="Z29" s="255"/>
      <c r="AA29" s="255"/>
      <c r="AB29" s="255"/>
      <c r="AC29" s="255"/>
      <c r="AD29" s="255"/>
      <c r="AE29" s="255"/>
      <c r="AF29" s="255"/>
      <c r="AG29" s="255"/>
    </row>
    <row r="30" spans="1:33" ht="18" customHeight="1">
      <c r="A30" s="318"/>
      <c r="B30" s="319"/>
      <c r="C30" s="319">
        <f>C28+C29</f>
        <v>33</v>
      </c>
      <c r="D30" s="320"/>
      <c r="E30" s="321"/>
      <c r="F30" s="321"/>
      <c r="G30" s="307">
        <v>13</v>
      </c>
      <c r="H30" s="308" t="str">
        <f ca="1">IF(OR(TRIM(D28)="-",TRIM(D29)="-"),IF(TRIM(D28)="-",D29,D28),IF(AND(E28="",E29="")," ",IF(N(E28)=N(E29)," ",IF(N(E28)&gt;N(E29),D28,D29))))</f>
        <v>Kulový blesk Olomouc - Hildenbrand Benjamin</v>
      </c>
      <c r="I30" s="309">
        <f>VLOOKUP(G30,Postupy!$A$3:$BJ$18,62,0)</f>
        <v>0</v>
      </c>
      <c r="J30" s="328"/>
      <c r="K30" s="326"/>
      <c r="L30" s="333"/>
      <c r="M30" s="293"/>
      <c r="N30" s="255"/>
      <c r="O30" s="255"/>
      <c r="P30" s="341"/>
      <c r="Q30" s="311"/>
      <c r="R30" s="311"/>
      <c r="S30" s="342"/>
      <c r="T30" s="349"/>
      <c r="U30" s="311"/>
      <c r="V30" s="255"/>
      <c r="W30" s="311"/>
      <c r="X30" s="317"/>
      <c r="Y30" s="255"/>
      <c r="Z30" s="255"/>
      <c r="AA30" s="255"/>
      <c r="AB30" s="255"/>
      <c r="AC30" s="255"/>
      <c r="AD30" s="255"/>
      <c r="AE30" s="255"/>
      <c r="AF30" s="255"/>
      <c r="AG30" s="255"/>
    </row>
    <row r="31" spans="1:33" ht="18" customHeight="1">
      <c r="A31" s="323"/>
      <c r="B31" s="324"/>
      <c r="C31" s="325"/>
      <c r="D31" s="298" t="s">
        <v>1887</v>
      </c>
      <c r="E31" s="299" t="str">
        <f ca="1">IF(OR(TRIM(D32)="-",TRIM(D33)="-"),"",VLOOKUP(MIN(C32,C33),Hřiště!$B$11:$E$42,4,0))</f>
        <v/>
      </c>
      <c r="F31" s="269"/>
      <c r="G31" s="312">
        <v>4</v>
      </c>
      <c r="H31" s="313" t="str">
        <f ca="1">IF(OR(TRIM(D32)="-",TRIM(D33)="-"),IF(TRIM(D32)="-",D33,D32),IF(AND(E32="",E33="")," ",IF(N(E32)=N(E33)," ",IF(N(E32)&gt;N(E33),D32,D33))))</f>
        <v>P.C.B.D. - Hejl ml. Pavel</v>
      </c>
      <c r="I31" s="314">
        <f>VLOOKUP(G31,Postupy!$A$3:$BJ$18,62,0)</f>
        <v>0</v>
      </c>
      <c r="J31" s="268"/>
      <c r="K31" s="255"/>
      <c r="L31" s="333"/>
      <c r="M31" s="255"/>
      <c r="N31" s="255"/>
      <c r="O31" s="255"/>
      <c r="P31" s="341"/>
      <c r="Q31" s="311"/>
      <c r="R31" s="311"/>
      <c r="S31" s="342"/>
      <c r="T31" s="349"/>
      <c r="U31" s="311"/>
      <c r="V31" s="255"/>
      <c r="W31" s="311"/>
      <c r="X31" s="317"/>
      <c r="Y31" s="255"/>
      <c r="Z31" s="255"/>
      <c r="AA31" s="255"/>
      <c r="AB31" s="255"/>
      <c r="AC31" s="255"/>
      <c r="AD31" s="255"/>
      <c r="AE31" s="255"/>
      <c r="AF31" s="255"/>
      <c r="AG31" s="255"/>
    </row>
    <row r="32" spans="1:33" ht="19.5" customHeight="1">
      <c r="A32" s="305" t="str">
        <f>VLOOKUP(C32,Postupy!$A$3:$C$34,3,0)</f>
        <v/>
      </c>
      <c r="B32" s="306"/>
      <c r="C32" s="307">
        <v>29</v>
      </c>
      <c r="D32" s="373" t="str">
        <f>VLOOKUP(C32,Postupy!$A$3:$BG$34,59,0)</f>
        <v xml:space="preserve"> - </v>
      </c>
      <c r="E32" s="309">
        <f>VLOOKUP(C32,Postupy!$A$3:$BH$34,60,0)</f>
        <v>0</v>
      </c>
      <c r="F32" s="338"/>
      <c r="G32" s="334"/>
      <c r="H32" s="335"/>
      <c r="I32" s="336"/>
      <c r="J32" s="255"/>
      <c r="K32" s="255"/>
      <c r="L32" s="331"/>
      <c r="M32" s="255"/>
      <c r="N32" s="255"/>
      <c r="O32" s="255"/>
      <c r="P32" s="341"/>
      <c r="Q32" s="311"/>
      <c r="R32" s="311"/>
      <c r="S32" s="342"/>
      <c r="T32" s="355" t="s">
        <v>1885</v>
      </c>
      <c r="U32" s="311"/>
      <c r="V32" s="255"/>
      <c r="W32" s="311"/>
      <c r="X32" s="317"/>
      <c r="Y32" s="255"/>
      <c r="Z32" s="255"/>
      <c r="AA32" s="255"/>
      <c r="AB32" s="255"/>
      <c r="AC32" s="255"/>
      <c r="AD32" s="255"/>
      <c r="AE32" s="255"/>
      <c r="AF32" s="255"/>
      <c r="AG32" s="255"/>
    </row>
    <row r="33" spans="1:33" ht="18" customHeight="1">
      <c r="A33" s="305" t="str">
        <f>VLOOKUP(C33,Postupy!$A$3:$C$34,3,0)</f>
        <v>D1</v>
      </c>
      <c r="B33" s="306"/>
      <c r="C33" s="312">
        <v>4</v>
      </c>
      <c r="D33" s="373" t="str">
        <f ca="1">VLOOKUP(C33,Postupy!$A$3:$BG$34,59,0)</f>
        <v>P.C.B.D. - Hejl ml. Pavel</v>
      </c>
      <c r="E33" s="314">
        <f>VLOOKUP(C33,Postupy!$A$3:$BH$34,60,0)</f>
        <v>0</v>
      </c>
      <c r="F33" s="339"/>
      <c r="G33" s="255"/>
      <c r="H33" s="331"/>
      <c r="I33" s="255"/>
      <c r="J33" s="255"/>
      <c r="K33" s="255"/>
      <c r="L33" s="340"/>
      <c r="M33" s="255"/>
      <c r="N33" s="255"/>
      <c r="O33" s="255"/>
      <c r="P33" s="341"/>
      <c r="Q33" s="311"/>
      <c r="R33" s="311"/>
      <c r="S33" s="342"/>
      <c r="T33" s="298" t="s">
        <v>1887</v>
      </c>
      <c r="U33" s="299" t="str">
        <f ca="1">IF(OR(TRIM(T34)="-",TRIM(T35)="-"),"",VLOOKUP(MIN(S34,S35),Hřiště!$B$11:$E$42,4,0))</f>
        <v/>
      </c>
      <c r="V33" s="255"/>
      <c r="W33" s="311"/>
      <c r="X33" s="374"/>
      <c r="Y33" s="255"/>
      <c r="Z33" s="255"/>
      <c r="AA33" s="255"/>
      <c r="AB33" s="255"/>
      <c r="AC33" s="255"/>
      <c r="AD33" s="255"/>
      <c r="AE33" s="255"/>
      <c r="AF33" s="255"/>
      <c r="AG33" s="255"/>
    </row>
    <row r="34" spans="1:33" ht="18" customHeight="1">
      <c r="A34" s="357"/>
      <c r="B34" s="359"/>
      <c r="C34" s="359">
        <f>C32+C33</f>
        <v>33</v>
      </c>
      <c r="D34" s="360"/>
      <c r="E34" s="361"/>
      <c r="F34" s="375">
        <f>C30+C34</f>
        <v>66</v>
      </c>
      <c r="G34" s="362"/>
      <c r="H34" s="376"/>
      <c r="I34" s="362"/>
      <c r="J34" s="362"/>
      <c r="K34" s="362"/>
      <c r="L34" s="377"/>
      <c r="M34" s="362"/>
      <c r="N34" s="362"/>
      <c r="O34" s="362"/>
      <c r="P34" s="377"/>
      <c r="Q34" s="362"/>
      <c r="R34" s="378"/>
      <c r="S34" s="351">
        <v>1</v>
      </c>
      <c r="T34" s="308" t="str">
        <f ca="1">IF(OR(TRIM(P18)="-",TRIM(P19)="-"),IF(TRIM(P18)="-",P19,P18),IF(AND(Q18="",Q19="")," ",IF(N(Q18)=N(Q19)," ",IF(N(Q18)&gt;N(Q19),P18,P19))))</f>
        <v xml:space="preserve"> </v>
      </c>
      <c r="U34" s="309">
        <f>VLOOKUP(S34,Postupy!$A$3:$BP$6,68,0)</f>
        <v>0</v>
      </c>
      <c r="V34" s="328"/>
      <c r="W34" s="351">
        <v>1</v>
      </c>
      <c r="X34" s="363" t="str">
        <f>IF(AND(U34="",U35="")," ",IF(N(U34)=N(U35)," ",IF(N(U34)&gt;N(U35),T34,T35)))</f>
        <v xml:space="preserve"> </v>
      </c>
      <c r="Y34" s="364">
        <v>1</v>
      </c>
      <c r="Z34" s="255"/>
      <c r="AA34" s="255"/>
      <c r="AB34" s="255"/>
      <c r="AC34" s="255"/>
      <c r="AD34" s="255"/>
      <c r="AE34" s="255"/>
      <c r="AF34" s="255"/>
      <c r="AG34" s="255"/>
    </row>
    <row r="35" spans="1:33" ht="18" customHeight="1">
      <c r="A35" s="318"/>
      <c r="B35" s="324"/>
      <c r="C35" s="366"/>
      <c r="D35" s="298" t="s">
        <v>1887</v>
      </c>
      <c r="E35" s="299" t="str">
        <f ca="1">IF(OR(TRIM(D36)="-",TRIM(D37)="-"),"",VLOOKUP(MIN(C36,C37),Hřiště!$B$11:$E$42,4,0))</f>
        <v/>
      </c>
      <c r="F35" s="336"/>
      <c r="G35" s="268"/>
      <c r="H35" s="379"/>
      <c r="I35" s="268"/>
      <c r="J35" s="268"/>
      <c r="K35" s="268"/>
      <c r="L35" s="380"/>
      <c r="M35" s="268"/>
      <c r="N35" s="268"/>
      <c r="O35" s="268"/>
      <c r="P35" s="380"/>
      <c r="Q35" s="268"/>
      <c r="R35" s="268"/>
      <c r="S35" s="312">
        <v>2</v>
      </c>
      <c r="T35" s="313" t="str">
        <f ca="1">IF(OR(TRIM(P50)="-",TRIM(P51)="-"),IF(TRIM(P50)="-",P51,P50),IF(AND(Q50="",Q51="")," ",IF(N(Q50)=N(Q51)," ",IF(N(Q50)&gt;N(Q51),P50,P51))))</f>
        <v xml:space="preserve"> </v>
      </c>
      <c r="U35" s="314">
        <f>VLOOKUP(S35,Postupy!$A$3:$BP$6,68,0)</f>
        <v>0</v>
      </c>
      <c r="V35" s="255"/>
      <c r="W35" s="351">
        <v>2</v>
      </c>
      <c r="X35" s="367" t="str">
        <f>IF(AND(U34="",U35="")," ",IF(N(U35)=N(U34)," ",IF(N(U35)&gt;N(U34),T34,T35)))</f>
        <v xml:space="preserve"> </v>
      </c>
      <c r="Y35" s="368">
        <v>2</v>
      </c>
      <c r="Z35" s="255"/>
      <c r="AA35" s="255"/>
      <c r="AB35" s="255"/>
      <c r="AC35" s="255"/>
      <c r="AD35" s="255"/>
      <c r="AE35" s="255"/>
      <c r="AF35" s="255"/>
      <c r="AG35" s="255"/>
    </row>
    <row r="36" spans="1:33" ht="18" customHeight="1">
      <c r="A36" s="305" t="str">
        <f>VLOOKUP(C36,Postupy!$A$3:$C$34,3,0)</f>
        <v>C1</v>
      </c>
      <c r="B36" s="306"/>
      <c r="C36" s="307">
        <v>3</v>
      </c>
      <c r="D36" s="373" t="str">
        <f ca="1">VLOOKUP(C36,Postupy!$A$3:$BG$34,59,0)</f>
        <v>SKP Hranice VI-Valšovice - Kutá Miloslava</v>
      </c>
      <c r="E36" s="309">
        <f>VLOOKUP(C36,Postupy!$A$3:$BH$34,60,0)</f>
        <v>0</v>
      </c>
      <c r="F36" s="316"/>
      <c r="G36" s="255"/>
      <c r="H36" s="331"/>
      <c r="I36" s="255"/>
      <c r="J36" s="255"/>
      <c r="K36" s="255"/>
      <c r="L36" s="350"/>
      <c r="M36" s="255"/>
      <c r="N36" s="255"/>
      <c r="O36" s="255"/>
      <c r="P36" s="341"/>
      <c r="Q36" s="311"/>
      <c r="R36" s="311"/>
      <c r="S36" s="334"/>
      <c r="T36" s="352"/>
      <c r="U36" s="293"/>
      <c r="V36" s="255"/>
      <c r="W36" s="255"/>
      <c r="X36" s="317"/>
      <c r="Y36" s="311"/>
      <c r="Z36" s="255"/>
      <c r="AA36" s="255"/>
      <c r="AB36" s="255"/>
      <c r="AC36" s="255"/>
      <c r="AD36" s="255"/>
      <c r="AE36" s="255"/>
      <c r="AF36" s="255"/>
      <c r="AG36" s="255"/>
    </row>
    <row r="37" spans="1:33" ht="18" customHeight="1">
      <c r="A37" s="305" t="str">
        <f>VLOOKUP(C37,Postupy!$A$3:$C$34,3,0)</f>
        <v/>
      </c>
      <c r="B37" s="306"/>
      <c r="C37" s="312">
        <v>30</v>
      </c>
      <c r="D37" s="373" t="str">
        <f>VLOOKUP(C37,Postupy!$A$3:$BG$34,59,0)</f>
        <v xml:space="preserve"> - </v>
      </c>
      <c r="E37" s="314">
        <f>VLOOKUP(C37,Postupy!$A$3:$BH$34,60,0)</f>
        <v>0</v>
      </c>
      <c r="F37" s="344"/>
      <c r="G37" s="316"/>
      <c r="H37" s="298" t="s">
        <v>1887</v>
      </c>
      <c r="I37" s="299" t="str">
        <f ca="1">IF(OR(TRIM(H38)="-",TRIM(H39)="-"),"",VLOOKUP(MIN(G38,G39),Hřiště!$B$11:$E$42,4,0))</f>
        <v/>
      </c>
      <c r="J37" s="255"/>
      <c r="K37" s="255"/>
      <c r="L37" s="350"/>
      <c r="M37" s="255"/>
      <c r="N37" s="255"/>
      <c r="O37" s="255"/>
      <c r="P37" s="341"/>
      <c r="Q37" s="311"/>
      <c r="R37" s="311"/>
      <c r="S37" s="326"/>
      <c r="T37" s="317"/>
      <c r="U37" s="293"/>
      <c r="V37" s="255"/>
      <c r="W37" s="255"/>
      <c r="X37" s="317"/>
      <c r="Y37" s="255"/>
      <c r="Z37" s="255"/>
      <c r="AA37" s="255"/>
      <c r="AB37" s="255"/>
      <c r="AC37" s="255"/>
      <c r="AD37" s="255"/>
      <c r="AE37" s="255"/>
      <c r="AF37" s="255"/>
      <c r="AG37" s="255"/>
    </row>
    <row r="38" spans="1:33" ht="18" customHeight="1">
      <c r="A38" s="318"/>
      <c r="B38" s="319"/>
      <c r="C38" s="319">
        <f>C36+C37</f>
        <v>33</v>
      </c>
      <c r="D38" s="320"/>
      <c r="E38" s="321"/>
      <c r="F38" s="322"/>
      <c r="G38" s="307">
        <v>3</v>
      </c>
      <c r="H38" s="308" t="str">
        <f ca="1">IF(OR(TRIM(D36)="-",TRIM(D37)="-"),IF(TRIM(D36)="-",D37,D36),IF(AND(E36="",E37="")," ",IF(N(E36)=N(E37)," ",IF(N(E36)&gt;N(E37),D36,D37))))</f>
        <v>SKP Hranice VI-Valšovice - Kutá Miloslava</v>
      </c>
      <c r="I38" s="309">
        <f>VLOOKUP(G38,Postupy!$A$3:$BJ$18,62,0)</f>
        <v>0</v>
      </c>
      <c r="J38" s="310"/>
      <c r="K38" s="255"/>
      <c r="L38" s="350"/>
      <c r="M38" s="255"/>
      <c r="N38" s="255"/>
      <c r="O38" s="255"/>
      <c r="P38" s="341"/>
      <c r="Q38" s="311"/>
      <c r="R38" s="311"/>
      <c r="S38" s="326"/>
      <c r="T38" s="317"/>
      <c r="U38" s="293"/>
      <c r="V38" s="255"/>
      <c r="W38" s="255"/>
      <c r="X38" s="255"/>
      <c r="Y38" s="255"/>
      <c r="Z38" s="255"/>
      <c r="AA38" s="255"/>
      <c r="AB38" s="255"/>
      <c r="AC38" s="255"/>
      <c r="AD38" s="255"/>
      <c r="AE38" s="255"/>
      <c r="AF38" s="255"/>
      <c r="AG38" s="255"/>
    </row>
    <row r="39" spans="1:33" ht="18" customHeight="1">
      <c r="A39" s="323"/>
      <c r="B39" s="324"/>
      <c r="C39" s="325"/>
      <c r="D39" s="298" t="s">
        <v>1887</v>
      </c>
      <c r="E39" s="299" t="str">
        <f ca="1">IF(OR(TRIM(D40)="-",TRIM(D41)="-"),"",VLOOKUP(MIN(C40,C41),Hřiště!$B$11:$E$42,4,0))</f>
        <v/>
      </c>
      <c r="F39" s="322"/>
      <c r="G39" s="312">
        <v>14</v>
      </c>
      <c r="H39" s="313" t="str">
        <f ca="1">IF(OR(TRIM(D40)="-",TRIM(D41)="-"),IF(TRIM(D40)="-",D41,D40),IF(AND(E40="",E41="")," ",IF(N(E40)=N(E41)," ",IF(N(E40)&gt;N(E41),D40,D41))))</f>
        <v>PAK Albrechtice - Valík Václav</v>
      </c>
      <c r="I39" s="314">
        <f>VLOOKUP(G39,Postupy!$A$3:$BJ$18,62,0)</f>
        <v>0</v>
      </c>
      <c r="J39" s="315"/>
      <c r="K39" s="326"/>
      <c r="L39" s="320"/>
      <c r="M39" s="293"/>
      <c r="N39" s="255"/>
      <c r="O39" s="255"/>
      <c r="P39" s="341"/>
      <c r="Q39" s="311"/>
      <c r="R39" s="311"/>
      <c r="S39" s="326"/>
      <c r="T39" s="317"/>
      <c r="U39" s="293"/>
      <c r="V39" s="255"/>
      <c r="W39" s="255"/>
      <c r="X39" s="255"/>
      <c r="Y39" s="255"/>
      <c r="Z39" s="255"/>
      <c r="AA39" s="255"/>
      <c r="AB39" s="255"/>
      <c r="AC39" s="255"/>
      <c r="AD39" s="255"/>
      <c r="AE39" s="255"/>
      <c r="AF39" s="255"/>
      <c r="AG39" s="255"/>
    </row>
    <row r="40" spans="1:33" ht="18" customHeight="1">
      <c r="A40" s="305" t="str">
        <f>VLOOKUP(C40,Postupy!$A$3:$C$34,3,0)</f>
        <v/>
      </c>
      <c r="B40" s="306"/>
      <c r="C40" s="307">
        <v>19</v>
      </c>
      <c r="D40" s="373" t="str">
        <f>VLOOKUP(C40,Postupy!$A$3:$BG$34,59,0)</f>
        <v xml:space="preserve"> - </v>
      </c>
      <c r="E40" s="309">
        <f>VLOOKUP(C40,Postupy!$A$3:$BH$34,60,0)</f>
        <v>0</v>
      </c>
      <c r="F40" s="328"/>
      <c r="G40" s="334"/>
      <c r="H40" s="335"/>
      <c r="I40" s="336"/>
      <c r="J40" s="311"/>
      <c r="K40" s="326"/>
      <c r="L40" s="347"/>
      <c r="M40" s="293"/>
      <c r="N40" s="255"/>
      <c r="O40" s="255"/>
      <c r="P40" s="341"/>
      <c r="Q40" s="311"/>
      <c r="R40" s="311"/>
      <c r="S40" s="326"/>
      <c r="T40" s="255"/>
      <c r="U40" s="293"/>
      <c r="V40" s="255"/>
      <c r="W40" s="255"/>
      <c r="X40" s="255"/>
      <c r="Y40" s="255"/>
      <c r="Z40" s="255"/>
      <c r="AA40" s="255"/>
      <c r="AB40" s="255"/>
      <c r="AC40" s="255"/>
      <c r="AD40" s="255"/>
      <c r="AE40" s="255"/>
      <c r="AF40" s="255"/>
      <c r="AG40" s="255"/>
    </row>
    <row r="41" spans="1:33" ht="18" customHeight="1">
      <c r="A41" s="305" t="str">
        <f>VLOOKUP(C41,Postupy!$A$3:$C$34,3,0)</f>
        <v>D2</v>
      </c>
      <c r="B41" s="306"/>
      <c r="C41" s="312">
        <v>14</v>
      </c>
      <c r="D41" s="373" t="str">
        <f ca="1">VLOOKUP(C41,Postupy!$A$3:$BG$34,59,0)</f>
        <v>PAK Albrechtice - Valík Václav</v>
      </c>
      <c r="E41" s="314">
        <f>VLOOKUP(C41,Postupy!$A$3:$BH$34,60,0)</f>
        <v>0</v>
      </c>
      <c r="F41" s="268"/>
      <c r="G41" s="255"/>
      <c r="H41" s="331"/>
      <c r="I41" s="311"/>
      <c r="J41" s="311"/>
      <c r="K41" s="316"/>
      <c r="L41" s="298" t="s">
        <v>1887</v>
      </c>
      <c r="M41" s="299" t="str">
        <f ca="1">IF(OR(TRIM(L42)="-",TRIM(L43)="-"),"",VLOOKUP(MIN(K42,K43),Hřiště!$B$11:$E$42,4,0))</f>
        <v/>
      </c>
      <c r="N41" s="269"/>
      <c r="O41" s="255"/>
      <c r="P41" s="341"/>
      <c r="Q41" s="311"/>
      <c r="R41" s="311"/>
      <c r="S41" s="326"/>
      <c r="T41" s="255"/>
      <c r="U41" s="293"/>
      <c r="V41" s="255"/>
      <c r="W41" s="255"/>
      <c r="X41" s="255"/>
      <c r="Y41" s="255"/>
      <c r="Z41" s="255"/>
      <c r="AA41" s="255"/>
      <c r="AB41" s="255"/>
      <c r="AC41" s="255"/>
      <c r="AD41" s="255"/>
      <c r="AE41" s="255"/>
      <c r="AF41" s="255"/>
      <c r="AG41" s="255"/>
    </row>
    <row r="42" spans="1:33" ht="18" customHeight="1">
      <c r="A42" s="318"/>
      <c r="B42" s="319"/>
      <c r="C42" s="319">
        <f>C40+C41</f>
        <v>33</v>
      </c>
      <c r="D42" s="320"/>
      <c r="E42" s="321"/>
      <c r="F42" s="329">
        <f>C38+C42</f>
        <v>66</v>
      </c>
      <c r="G42" s="255"/>
      <c r="H42" s="333"/>
      <c r="I42" s="255"/>
      <c r="J42" s="255"/>
      <c r="K42" s="307">
        <v>3</v>
      </c>
      <c r="L42" s="308" t="str">
        <f ca="1">IF(OR(TRIM(H38)="-",TRIM(H39)="-"),IF(TRIM(H38)="-",H39,H38),IF(AND(I38="",I39="")," ",IF(N(I38)=N(I39)," ",IF(N(I38)&gt;N(I39),H38,H39))))</f>
        <v xml:space="preserve"> </v>
      </c>
      <c r="M42" s="309">
        <f>VLOOKUP(K42,Postupy!$A$3:$BL$10,64,0)</f>
        <v>0</v>
      </c>
      <c r="N42" s="310"/>
      <c r="O42" s="293"/>
      <c r="P42" s="341"/>
      <c r="Q42" s="311"/>
      <c r="R42" s="311"/>
      <c r="S42" s="326"/>
      <c r="T42" s="293"/>
      <c r="U42" s="293"/>
      <c r="V42" s="255"/>
      <c r="W42" s="255"/>
      <c r="X42" s="255"/>
      <c r="Y42" s="255"/>
      <c r="Z42" s="255"/>
      <c r="AA42" s="255"/>
      <c r="AB42" s="311"/>
      <c r="AC42" s="255"/>
      <c r="AD42" s="255"/>
      <c r="AE42" s="255"/>
      <c r="AF42" s="255"/>
      <c r="AG42" s="255"/>
    </row>
    <row r="43" spans="1:33" ht="18" customHeight="1">
      <c r="A43" s="323"/>
      <c r="B43" s="324"/>
      <c r="C43" s="325"/>
      <c r="D43" s="298" t="s">
        <v>1887</v>
      </c>
      <c r="E43" s="299" t="str">
        <f ca="1">IF(OR(TRIM(D44)="-",TRIM(D45)="-"),"",VLOOKUP(MIN(C44,C45),Hřiště!$B$11:$E$42,4,0))</f>
        <v/>
      </c>
      <c r="F43" s="255"/>
      <c r="G43" s="255"/>
      <c r="H43" s="333"/>
      <c r="I43" s="255"/>
      <c r="J43" s="255"/>
      <c r="K43" s="312">
        <v>6</v>
      </c>
      <c r="L43" s="313" t="str">
        <f ca="1">IF(OR(TRIM(H46)="-",TRIM(H47)="-"),IF(TRIM(H46)="-",H47,H46),IF(AND(I46="",I47="")," ",IF(N(I46)=N(I47)," ",IF(N(I46)&gt;N(I47),H46,H47))))</f>
        <v xml:space="preserve"> </v>
      </c>
      <c r="M43" s="314">
        <f>VLOOKUP(K43,Postupy!$A$3:$BL$10,64,0)</f>
        <v>0</v>
      </c>
      <c r="N43" s="315"/>
      <c r="O43" s="326"/>
      <c r="P43" s="341"/>
      <c r="Q43" s="311"/>
      <c r="R43" s="311"/>
      <c r="S43" s="326"/>
      <c r="T43" s="293"/>
      <c r="U43" s="293"/>
      <c r="V43" s="255"/>
      <c r="W43" s="255"/>
      <c r="X43" s="255"/>
      <c r="Y43" s="311"/>
      <c r="Z43" s="255"/>
      <c r="AA43" s="255"/>
      <c r="AB43" s="311"/>
      <c r="AC43" s="255"/>
      <c r="AD43" s="255"/>
      <c r="AE43" s="311"/>
      <c r="AF43" s="311"/>
      <c r="AG43" s="311"/>
    </row>
    <row r="44" spans="1:33" ht="18" customHeight="1">
      <c r="A44" s="305" t="str">
        <f>VLOOKUP(C44,Postupy!$A$3:$C$34,3,0)</f>
        <v>E2</v>
      </c>
      <c r="B44" s="306"/>
      <c r="C44" s="307">
        <v>11</v>
      </c>
      <c r="D44" s="373" t="str">
        <f ca="1">VLOOKUP(C44,Postupy!$A$3:$BG$34,59,0)</f>
        <v>HRODE KRUMSÍN - Krpec Miroslav</v>
      </c>
      <c r="E44" s="309">
        <f>VLOOKUP(C44,Postupy!$A$3:$BH$34,60,0)</f>
        <v>0</v>
      </c>
      <c r="F44" s="316"/>
      <c r="G44" s="255"/>
      <c r="H44" s="331"/>
      <c r="I44" s="255"/>
      <c r="J44" s="311"/>
      <c r="K44" s="334"/>
      <c r="L44" s="335"/>
      <c r="M44" s="336"/>
      <c r="N44" s="255"/>
      <c r="O44" s="326"/>
      <c r="P44" s="341"/>
      <c r="Q44" s="311"/>
      <c r="R44" s="311"/>
      <c r="S44" s="326"/>
      <c r="T44" s="293"/>
      <c r="U44" s="293"/>
      <c r="V44" s="255"/>
      <c r="W44" s="255"/>
      <c r="X44" s="255"/>
      <c r="Y44" s="255"/>
      <c r="Z44" s="255"/>
      <c r="AA44" s="255"/>
      <c r="AB44" s="255"/>
      <c r="AC44" s="255"/>
      <c r="AD44" s="255"/>
      <c r="AE44" s="255"/>
      <c r="AF44" s="255"/>
      <c r="AG44" s="255"/>
    </row>
    <row r="45" spans="1:33" ht="18" customHeight="1">
      <c r="A45" s="305" t="str">
        <f>VLOOKUP(C45,Postupy!$A$3:$C$34,3,0)</f>
        <v/>
      </c>
      <c r="B45" s="306"/>
      <c r="C45" s="312">
        <v>22</v>
      </c>
      <c r="D45" s="373" t="str">
        <f>VLOOKUP(C45,Postupy!$A$3:$BG$34,59,0)</f>
        <v xml:space="preserve"> - </v>
      </c>
      <c r="E45" s="314">
        <f>VLOOKUP(C45,Postupy!$A$3:$BH$34,60,0)</f>
        <v>0</v>
      </c>
      <c r="F45" s="337" t="s">
        <v>1690</v>
      </c>
      <c r="G45" s="316"/>
      <c r="H45" s="298" t="s">
        <v>1887</v>
      </c>
      <c r="I45" s="299" t="str">
        <f ca="1">IF(OR(TRIM(H46)="-",TRIM(H47)="-"),"",VLOOKUP(MIN(G46,G47),Hřiště!$B$11:$E$42,4,0))</f>
        <v/>
      </c>
      <c r="J45" s="311"/>
      <c r="K45" s="326"/>
      <c r="L45" s="333"/>
      <c r="M45" s="293"/>
      <c r="N45" s="255"/>
      <c r="O45" s="326"/>
      <c r="P45" s="341"/>
      <c r="Q45" s="311"/>
      <c r="R45" s="311"/>
      <c r="S45" s="326"/>
      <c r="T45" s="293"/>
      <c r="U45" s="293"/>
      <c r="V45" s="255"/>
      <c r="W45" s="255"/>
      <c r="X45" s="255"/>
      <c r="Y45" s="255"/>
      <c r="Z45" s="255"/>
      <c r="AA45" s="255"/>
      <c r="AB45" s="255"/>
      <c r="AC45" s="255"/>
      <c r="AD45" s="255"/>
      <c r="AE45" s="255"/>
      <c r="AF45" s="255"/>
      <c r="AG45" s="255"/>
    </row>
    <row r="46" spans="1:33" ht="18" customHeight="1">
      <c r="A46" s="318"/>
      <c r="B46" s="319"/>
      <c r="C46" s="319">
        <f>C44+C45</f>
        <v>33</v>
      </c>
      <c r="D46" s="320"/>
      <c r="E46" s="321"/>
      <c r="F46" s="322"/>
      <c r="G46" s="307">
        <v>11</v>
      </c>
      <c r="H46" s="308" t="str">
        <f ca="1">IF(OR(TRIM(D44)="-",TRIM(D45)="-"),IF(TRIM(D44)="-",D45,D44),IF(AND(E44="",E45="")," ",IF(N(E44)=N(E45)," ",IF(N(E44)&gt;N(E45),D44,D45))))</f>
        <v>HRODE KRUMSÍN - Krpec Miroslav</v>
      </c>
      <c r="I46" s="309">
        <f>VLOOKUP(G46,Postupy!$A$3:$BJ$18,62,0)</f>
        <v>0</v>
      </c>
      <c r="J46" s="328"/>
      <c r="K46" s="326"/>
      <c r="L46" s="333"/>
      <c r="M46" s="293"/>
      <c r="N46" s="255"/>
      <c r="O46" s="326"/>
      <c r="P46" s="341"/>
      <c r="Q46" s="311"/>
      <c r="R46" s="311"/>
      <c r="S46" s="326"/>
      <c r="T46" s="293"/>
      <c r="U46" s="293"/>
      <c r="V46" s="255"/>
      <c r="W46" s="255"/>
      <c r="X46" s="255"/>
      <c r="Y46" s="255"/>
      <c r="Z46" s="255"/>
      <c r="AA46" s="255"/>
      <c r="AB46" s="255"/>
      <c r="AC46" s="255"/>
      <c r="AD46" s="255"/>
      <c r="AE46" s="255"/>
      <c r="AF46" s="255"/>
      <c r="AG46" s="255"/>
    </row>
    <row r="47" spans="1:33" ht="18" customHeight="1">
      <c r="A47" s="323"/>
      <c r="B47" s="324"/>
      <c r="C47" s="325"/>
      <c r="D47" s="298" t="s">
        <v>1887</v>
      </c>
      <c r="E47" s="299" t="str">
        <f ca="1">IF(OR(TRIM(D48)="-",TRIM(D49)="-"),"",VLOOKUP(MIN(C48,C49),Hřiště!$B$11:$E$42,4,0))</f>
        <v/>
      </c>
      <c r="F47" s="269"/>
      <c r="G47" s="312">
        <v>6</v>
      </c>
      <c r="H47" s="313" t="str">
        <f ca="1">IF(OR(TRIM(D48)="-",TRIM(D49)="-"),IF(TRIM(D48)="-",D49,D48),IF(AND(E48="",E49="")," ",IF(N(E48)=N(E49)," ",IF(N(E48)&gt;N(E49),D48,D49))))</f>
        <v>TOP - ORLOVÁ - Bačo David</v>
      </c>
      <c r="I47" s="314">
        <f>VLOOKUP(G47,Postupy!$A$3:$BJ$18,62,0)</f>
        <v>0</v>
      </c>
      <c r="J47" s="268"/>
      <c r="K47" s="255"/>
      <c r="L47" s="333"/>
      <c r="M47" s="255"/>
      <c r="N47" s="255"/>
      <c r="O47" s="326"/>
      <c r="P47" s="341"/>
      <c r="Q47" s="311"/>
      <c r="R47" s="311"/>
      <c r="S47" s="326"/>
      <c r="T47" s="293"/>
      <c r="U47" s="293"/>
      <c r="V47" s="255"/>
      <c r="W47" s="255"/>
      <c r="X47" s="255"/>
      <c r="Y47" s="255"/>
      <c r="Z47" s="255"/>
      <c r="AA47" s="255"/>
      <c r="AB47" s="255"/>
      <c r="AC47" s="255"/>
      <c r="AD47" s="255"/>
      <c r="AE47" s="255"/>
      <c r="AF47" s="255"/>
      <c r="AG47" s="255"/>
    </row>
    <row r="48" spans="1:33" ht="18" customHeight="1">
      <c r="A48" s="305" t="str">
        <f>VLOOKUP(C48,Postupy!$A$3:$C$34,3,0)</f>
        <v/>
      </c>
      <c r="B48" s="306"/>
      <c r="C48" s="307">
        <v>27</v>
      </c>
      <c r="D48" s="373" t="str">
        <f>VLOOKUP(C48,Postupy!$A$3:$BG$34,59,0)</f>
        <v xml:space="preserve"> - </v>
      </c>
      <c r="E48" s="309">
        <f>VLOOKUP(C48,Postupy!$A$3:$BH$34,60,0)</f>
        <v>0</v>
      </c>
      <c r="F48" s="338"/>
      <c r="G48" s="334"/>
      <c r="H48" s="335"/>
      <c r="I48" s="336"/>
      <c r="J48" s="255"/>
      <c r="K48" s="255"/>
      <c r="L48" s="331"/>
      <c r="M48" s="255"/>
      <c r="N48" s="255"/>
      <c r="O48" s="326"/>
      <c r="P48" s="347"/>
      <c r="Q48" s="311"/>
      <c r="R48" s="311"/>
      <c r="S48" s="326"/>
      <c r="T48" s="293"/>
      <c r="U48" s="293"/>
      <c r="V48" s="255"/>
      <c r="W48" s="311"/>
      <c r="X48" s="255"/>
      <c r="Y48" s="255"/>
      <c r="Z48" s="255"/>
      <c r="AA48" s="255"/>
      <c r="AB48" s="255"/>
      <c r="AC48" s="255"/>
      <c r="AD48" s="255"/>
      <c r="AE48" s="255"/>
      <c r="AF48" s="255"/>
      <c r="AG48" s="255"/>
    </row>
    <row r="49" spans="1:33" ht="18" customHeight="1">
      <c r="A49" s="305" t="str">
        <f>VLOOKUP(C49,Postupy!$A$3:$C$34,3,0)</f>
        <v>F1</v>
      </c>
      <c r="B49" s="306"/>
      <c r="C49" s="312">
        <v>6</v>
      </c>
      <c r="D49" s="373" t="str">
        <f ca="1">VLOOKUP(C49,Postupy!$A$3:$BG$34,59,0)</f>
        <v>TOP - ORLOVÁ - Bačo David</v>
      </c>
      <c r="E49" s="314">
        <f>VLOOKUP(C49,Postupy!$A$3:$BH$34,60,0)</f>
        <v>0</v>
      </c>
      <c r="F49" s="339"/>
      <c r="G49" s="255"/>
      <c r="H49" s="331"/>
      <c r="I49" s="255"/>
      <c r="J49" s="255"/>
      <c r="K49" s="255"/>
      <c r="L49" s="340"/>
      <c r="M49" s="311"/>
      <c r="N49" s="311"/>
      <c r="O49" s="326"/>
      <c r="P49" s="298" t="s">
        <v>1887</v>
      </c>
      <c r="Q49" s="299" t="str">
        <f ca="1">IF(OR(TRIM(P50)="-",TRIM(P51)="-"),"",VLOOKUP(MIN(O50,O51),Hřiště!$B$11:$E$42,4,0))</f>
        <v/>
      </c>
      <c r="R49" s="311"/>
      <c r="S49" s="326"/>
      <c r="T49" s="293"/>
      <c r="U49" s="293"/>
      <c r="V49" s="255"/>
      <c r="W49" s="255"/>
      <c r="X49" s="255"/>
      <c r="Y49" s="255"/>
      <c r="Z49" s="255"/>
      <c r="AA49" s="255"/>
      <c r="AB49" s="255"/>
      <c r="AC49" s="255"/>
      <c r="AD49" s="255"/>
      <c r="AE49" s="255"/>
      <c r="AF49" s="255"/>
      <c r="AG49" s="255"/>
    </row>
    <row r="50" spans="1:33" ht="18" customHeight="1">
      <c r="A50" s="318"/>
      <c r="B50" s="319"/>
      <c r="C50" s="319">
        <f>C48+C49</f>
        <v>33</v>
      </c>
      <c r="D50" s="320"/>
      <c r="E50" s="321"/>
      <c r="F50" s="329">
        <f>C46+C50</f>
        <v>66</v>
      </c>
      <c r="G50" s="255"/>
      <c r="H50" s="333"/>
      <c r="I50" s="255"/>
      <c r="J50" s="255"/>
      <c r="K50" s="255"/>
      <c r="L50" s="341"/>
      <c r="M50" s="311"/>
      <c r="N50" s="311"/>
      <c r="O50" s="307">
        <v>3</v>
      </c>
      <c r="P50" s="308" t="str">
        <f ca="1">IF(OR(TRIM(L42)="-",TRIM(L43)="-"),IF(TRIM(L42)="-",L43,L42),IF(AND(M42="",M43="")," ",IF(N(M42)=N(M43)," ",IF(N(M42)&gt;N(M43),L42,L43))))</f>
        <v xml:space="preserve"> </v>
      </c>
      <c r="Q50" s="309">
        <f>VLOOKUP(O50,Postupy!$A$3:$BN$6,66,0)</f>
        <v>0</v>
      </c>
      <c r="R50" s="328"/>
      <c r="S50" s="326"/>
      <c r="T50" s="293"/>
      <c r="U50" s="293"/>
      <c r="V50" s="255"/>
      <c r="W50" s="255"/>
      <c r="X50" s="255"/>
      <c r="Y50" s="255"/>
      <c r="Z50" s="255"/>
      <c r="AA50" s="255"/>
      <c r="AB50" s="255"/>
      <c r="AC50" s="255"/>
      <c r="AD50" s="255"/>
      <c r="AE50" s="255"/>
      <c r="AF50" s="255"/>
      <c r="AG50" s="255"/>
    </row>
    <row r="51" spans="1:33" ht="18" customHeight="1">
      <c r="A51" s="323"/>
      <c r="B51" s="324"/>
      <c r="C51" s="325"/>
      <c r="D51" s="298" t="s">
        <v>1887</v>
      </c>
      <c r="E51" s="299" t="str">
        <f ca="1">IF(OR(TRIM(D52)="-",TRIM(D53)="-"),"",VLOOKUP(MIN(C52,C53),Hřiště!$B$11:$E$42,4,0))</f>
        <v/>
      </c>
      <c r="F51" s="255"/>
      <c r="G51" s="255"/>
      <c r="H51" s="333"/>
      <c r="I51" s="255"/>
      <c r="J51" s="255"/>
      <c r="K51" s="255"/>
      <c r="L51" s="341"/>
      <c r="M51" s="311"/>
      <c r="N51" s="311"/>
      <c r="O51" s="312">
        <v>2</v>
      </c>
      <c r="P51" s="313" t="str">
        <f ca="1">IF(OR(TRIM(L58)="-",TRIM(L59)="-"),IF(TRIM(L58)="-",L59,L58),IF(AND(M58="",M59="")," ",IF(N(M58)=N(M59)," ",IF(N(M58)&gt;N(M59),L58,L59))))</f>
        <v xml:space="preserve"> </v>
      </c>
      <c r="Q51" s="314">
        <f>VLOOKUP(O51,Postupy!$A$3:$BN$6,66,0)</f>
        <v>0</v>
      </c>
      <c r="R51" s="255"/>
      <c r="S51" s="255"/>
      <c r="T51" s="293"/>
      <c r="U51" s="255"/>
      <c r="V51" s="255"/>
      <c r="W51" s="311"/>
      <c r="X51" s="255"/>
      <c r="Y51" s="255"/>
      <c r="Z51" s="255"/>
      <c r="AA51" s="255"/>
      <c r="AB51" s="255"/>
      <c r="AC51" s="255"/>
      <c r="AD51" s="255"/>
      <c r="AE51" s="255"/>
      <c r="AF51" s="255"/>
      <c r="AG51" s="255"/>
    </row>
    <row r="52" spans="1:33" ht="18" customHeight="1">
      <c r="A52" s="305" t="str">
        <f>VLOOKUP(C52,Postupy!$A$3:$C$34,3,0)</f>
        <v>G1</v>
      </c>
      <c r="B52" s="306"/>
      <c r="C52" s="307">
        <v>7</v>
      </c>
      <c r="D52" s="373" t="str">
        <f ca="1">VLOOKUP(C52,Postupy!$A$3:$BG$34,59,0)</f>
        <v>Carreau Brno - Hodboď Pavel</v>
      </c>
      <c r="E52" s="309">
        <f>VLOOKUP(C52,Postupy!$A$3:$BH$34,60,0)</f>
        <v>0</v>
      </c>
      <c r="F52" s="316"/>
      <c r="G52" s="255"/>
      <c r="H52" s="331"/>
      <c r="I52" s="255"/>
      <c r="J52" s="255"/>
      <c r="K52" s="255"/>
      <c r="L52" s="341"/>
      <c r="M52" s="311"/>
      <c r="N52" s="322"/>
      <c r="O52" s="334"/>
      <c r="P52" s="352"/>
      <c r="Q52" s="293"/>
      <c r="R52" s="255"/>
      <c r="S52" s="255"/>
      <c r="U52" s="255"/>
      <c r="V52" s="255"/>
      <c r="W52" s="311"/>
      <c r="X52" s="255"/>
      <c r="Y52" s="255"/>
      <c r="Z52" s="255"/>
      <c r="AA52" s="255"/>
      <c r="AB52" s="255"/>
      <c r="AC52" s="255"/>
      <c r="AD52" s="255"/>
      <c r="AE52" s="255"/>
      <c r="AF52" s="255"/>
      <c r="AG52" s="255"/>
    </row>
    <row r="53" spans="1:33" ht="18" customHeight="1">
      <c r="A53" s="305" t="str">
        <f>VLOOKUP(C53,Postupy!$A$3:$C$34,3,0)</f>
        <v/>
      </c>
      <c r="B53" s="306"/>
      <c r="C53" s="312">
        <v>26</v>
      </c>
      <c r="D53" s="373" t="str">
        <f>VLOOKUP(C53,Postupy!$A$3:$BG$34,59,0)</f>
        <v xml:space="preserve"> - </v>
      </c>
      <c r="E53" s="314">
        <f>VLOOKUP(C53,Postupy!$A$3:$BH$34,60,0)</f>
        <v>0</v>
      </c>
      <c r="F53" s="344"/>
      <c r="G53" s="316"/>
      <c r="H53" s="298" t="s">
        <v>1887</v>
      </c>
      <c r="I53" s="299" t="str">
        <f ca="1">IF(OR(TRIM(H54)="-",TRIM(H55)="-"),"",VLOOKUP(MIN(G54,G55),Hřiště!$B$11:$E$42,4,0))</f>
        <v/>
      </c>
      <c r="J53" s="255"/>
      <c r="K53" s="255"/>
      <c r="L53" s="341"/>
      <c r="M53" s="311"/>
      <c r="N53" s="322"/>
      <c r="O53" s="293"/>
      <c r="P53" s="317"/>
      <c r="Q53" s="293"/>
      <c r="R53" s="255"/>
      <c r="S53" s="255"/>
      <c r="T53" s="370" t="s">
        <v>1888</v>
      </c>
      <c r="U53" s="255"/>
      <c r="V53" s="255"/>
      <c r="W53" s="255"/>
      <c r="X53" s="255"/>
      <c r="Y53" s="255"/>
      <c r="Z53" s="255"/>
      <c r="AA53" s="255"/>
      <c r="AB53" s="255"/>
      <c r="AC53" s="255"/>
      <c r="AD53" s="255"/>
      <c r="AE53" s="255"/>
      <c r="AF53" s="255"/>
      <c r="AG53" s="255"/>
    </row>
    <row r="54" spans="1:33" ht="18" customHeight="1">
      <c r="A54" s="318"/>
      <c r="B54" s="319"/>
      <c r="C54" s="319">
        <f>C52+C53</f>
        <v>33</v>
      </c>
      <c r="D54" s="320"/>
      <c r="E54" s="321"/>
      <c r="F54" s="322"/>
      <c r="G54" s="307">
        <v>7</v>
      </c>
      <c r="H54" s="308" t="str">
        <f ca="1">IF(OR(TRIM(D52)="-",TRIM(D53)="-"),IF(TRIM(D52)="-",D53,D52),IF(AND(E52="",E53="")," ",IF(N(E52)=N(E53)," ",IF(N(E52)&gt;N(E53),D52,D53))))</f>
        <v>Carreau Brno - Hodboď Pavel</v>
      </c>
      <c r="I54" s="309">
        <f>VLOOKUP(G54,Postupy!$A$3:$BJ$18,62,0)</f>
        <v>0</v>
      </c>
      <c r="J54" s="310"/>
      <c r="K54" s="255"/>
      <c r="L54" s="341"/>
      <c r="M54" s="311"/>
      <c r="N54" s="322"/>
      <c r="O54" s="293"/>
      <c r="P54" s="317"/>
      <c r="Q54" s="293"/>
      <c r="R54" s="255"/>
      <c r="S54" s="255"/>
      <c r="T54" s="371" t="s">
        <v>1889</v>
      </c>
      <c r="U54" s="255"/>
      <c r="V54" s="255"/>
      <c r="W54" s="255"/>
      <c r="X54" s="255"/>
      <c r="Y54" s="255"/>
      <c r="Z54" s="255"/>
      <c r="AA54" s="255"/>
      <c r="AB54" s="255"/>
      <c r="AC54" s="255"/>
      <c r="AD54" s="255"/>
      <c r="AE54" s="255"/>
      <c r="AF54" s="255"/>
      <c r="AG54" s="255"/>
    </row>
    <row r="55" spans="1:33" ht="18" customHeight="1">
      <c r="A55" s="323"/>
      <c r="B55" s="324"/>
      <c r="C55" s="325"/>
      <c r="D55" s="298" t="s">
        <v>1887</v>
      </c>
      <c r="E55" s="299" t="str">
        <f ca="1">IF(OR(TRIM(D56)="-",TRIM(D57)="-"),"",VLOOKUP(MIN(C56,C57),Hřiště!$B$11:$E$42,4,0))</f>
        <v/>
      </c>
      <c r="F55" s="322"/>
      <c r="G55" s="312">
        <v>10</v>
      </c>
      <c r="H55" s="313" t="str">
        <f ca="1">IF(OR(TRIM(D56)="-",TRIM(D57)="-"),IF(TRIM(D56)="-",D57,D56),IF(AND(E56="",E57="")," ",IF(N(E56)=N(E57)," ",IF(N(E56)&gt;N(E57),D56,D57))))</f>
        <v>SOKOL Staříč - Šimíček Ladislav</v>
      </c>
      <c r="I55" s="314">
        <f>VLOOKUP(G55,Postupy!$A$3:$BJ$18,62,0)</f>
        <v>0</v>
      </c>
      <c r="J55" s="315"/>
      <c r="K55" s="326"/>
      <c r="L55" s="341"/>
      <c r="M55" s="311"/>
      <c r="N55" s="322"/>
      <c r="O55" s="293"/>
      <c r="P55" s="317"/>
      <c r="Q55" s="293"/>
      <c r="R55" s="255"/>
      <c r="S55" s="255"/>
      <c r="T55" s="298" t="s">
        <v>1887</v>
      </c>
      <c r="U55" s="299" t="str">
        <f ca="1">IF(OR(TRIM(T56)="-",TRIM(T57)="-"),"",VLOOKUP(MIN(S56,S57),Hřiště!$B$11:$E$42,4,0))</f>
        <v/>
      </c>
      <c r="V55" s="255"/>
      <c r="W55" s="255"/>
      <c r="X55" s="255"/>
      <c r="Y55" s="255"/>
      <c r="Z55" s="255"/>
      <c r="AA55" s="255"/>
      <c r="AB55" s="255"/>
      <c r="AC55" s="255"/>
      <c r="AD55" s="255"/>
      <c r="AE55" s="255"/>
      <c r="AF55" s="255"/>
      <c r="AG55" s="255"/>
    </row>
    <row r="56" spans="1:33" ht="18" customHeight="1">
      <c r="A56" s="305" t="str">
        <f>VLOOKUP(C56,Postupy!$A$3:$C$34,3,0)</f>
        <v/>
      </c>
      <c r="B56" s="306"/>
      <c r="C56" s="307">
        <v>23</v>
      </c>
      <c r="D56" s="373" t="str">
        <f>VLOOKUP(C56,Postupy!$A$3:$BG$34,59,0)</f>
        <v xml:space="preserve"> - </v>
      </c>
      <c r="E56" s="309">
        <f>VLOOKUP(C56,Postupy!$A$3:$BH$34,60,0)</f>
        <v>0</v>
      </c>
      <c r="F56" s="328"/>
      <c r="G56" s="334"/>
      <c r="H56" s="335"/>
      <c r="I56" s="336"/>
      <c r="J56" s="311"/>
      <c r="K56" s="326"/>
      <c r="L56" s="347"/>
      <c r="M56" s="311"/>
      <c r="N56" s="322"/>
      <c r="O56" s="293"/>
      <c r="P56" s="317"/>
      <c r="Q56" s="293"/>
      <c r="R56" s="255"/>
      <c r="S56" s="307">
        <v>4</v>
      </c>
      <c r="T56" s="308" t="str">
        <f ca="1">IF(OR(TRIM(P18)="-",TRIM(P19)="-"),IF(TRIM(P18)="-",P19,P18),IF(AND(Q18="",Q19="")," ",IF(N(Q19)=N(Q18)," ",IF(N(Q19)&gt;N(Q18),P18,P19))))</f>
        <v xml:space="preserve"> </v>
      </c>
      <c r="U56" s="309">
        <f>VLOOKUP(S56,Postupy!$A$3:$BP$6,68,0)</f>
        <v>0</v>
      </c>
      <c r="V56" s="328"/>
      <c r="W56" s="351">
        <v>3</v>
      </c>
      <c r="X56" s="367" t="str">
        <f>IF(AND(U56="",U57="")," ",IF(N(U56)=N(U57)," ",IF(N(U56)=N(U57)," ",IF(N(U56)&gt;N(U57),T56,T57))))</f>
        <v xml:space="preserve"> </v>
      </c>
      <c r="Y56" s="368">
        <v>3</v>
      </c>
      <c r="Z56" s="255"/>
      <c r="AA56" s="255"/>
      <c r="AB56" s="255"/>
      <c r="AC56" s="255"/>
      <c r="AD56" s="255"/>
      <c r="AE56" s="255"/>
      <c r="AF56" s="255"/>
      <c r="AG56" s="255"/>
    </row>
    <row r="57" spans="1:33" ht="18" customHeight="1">
      <c r="A57" s="305" t="str">
        <f>VLOOKUP(C57,Postupy!$A$3:$C$34,3,0)</f>
        <v>H2</v>
      </c>
      <c r="B57" s="306"/>
      <c r="C57" s="312">
        <v>10</v>
      </c>
      <c r="D57" s="373" t="str">
        <f ca="1">VLOOKUP(C57,Postupy!$A$3:$BG$34,59,0)</f>
        <v>SOKOL Staříč - Šimíček Ladislav</v>
      </c>
      <c r="E57" s="314">
        <f>VLOOKUP(C57,Postupy!$A$3:$BH$34,60,0)</f>
        <v>0</v>
      </c>
      <c r="F57" s="268"/>
      <c r="G57" s="255"/>
      <c r="H57" s="331"/>
      <c r="I57" s="255"/>
      <c r="J57" s="311"/>
      <c r="K57" s="316"/>
      <c r="L57" s="298" t="s">
        <v>1887</v>
      </c>
      <c r="M57" s="299" t="str">
        <f ca="1">IF(OR(TRIM(L58)="-",TRIM(L59)="-"),"",VLOOKUP(MIN(K58,K59),Hřiště!$B$11:$E$42,4,0))</f>
        <v/>
      </c>
      <c r="N57" s="348"/>
      <c r="O57" s="293"/>
      <c r="P57" s="317"/>
      <c r="Q57" s="293"/>
      <c r="R57" s="255"/>
      <c r="S57" s="312">
        <v>3</v>
      </c>
      <c r="T57" s="313" t="str">
        <f ca="1">IF(OR(TRIM(P50)="-",TRIM(P51)="-"),IF(TRIM(P50)="-",P51,P50),IF(AND(Q50="",Q51="")," ",IF(N(Q51)=N(Q50)," ",IF(N(Q51)&gt;N(Q50),P50,P51))))</f>
        <v xml:space="preserve"> </v>
      </c>
      <c r="U57" s="314">
        <f>VLOOKUP(S57,Postupy!$A$3:$BP$6,68,0)</f>
        <v>0</v>
      </c>
      <c r="V57" s="315"/>
      <c r="W57" s="351">
        <v>4</v>
      </c>
      <c r="X57" s="367" t="str">
        <f ca="1">IF(AND(U56="",U57="")," ",IF(N(U57)&gt;N(U56),T56,T57))</f>
        <v xml:space="preserve"> </v>
      </c>
      <c r="Y57" s="368">
        <v>4</v>
      </c>
      <c r="Z57" s="255"/>
      <c r="AA57" s="255"/>
      <c r="AB57" s="255"/>
      <c r="AC57" s="255"/>
      <c r="AD57" s="255"/>
      <c r="AE57" s="255"/>
      <c r="AF57" s="255"/>
      <c r="AG57" s="255"/>
    </row>
    <row r="58" spans="1:33" ht="18" customHeight="1">
      <c r="A58" s="318"/>
      <c r="B58" s="319"/>
      <c r="C58" s="319">
        <f>C56+C57</f>
        <v>33</v>
      </c>
      <c r="D58" s="320"/>
      <c r="E58" s="321"/>
      <c r="F58" s="329">
        <f>C54+C58</f>
        <v>66</v>
      </c>
      <c r="G58" s="255"/>
      <c r="H58" s="333"/>
      <c r="I58" s="255"/>
      <c r="J58" s="255"/>
      <c r="K58" s="307">
        <v>7</v>
      </c>
      <c r="L58" s="308" t="str">
        <f ca="1">IF(OR(TRIM(H54)="-",TRIM(H55)="-"),IF(TRIM(H54)="-",H55,H54),IF(AND(I54="",I55="")," ",IF(N(I54)=N(I55)," ",IF(N(I54)&gt;N(I55),H54,H55))))</f>
        <v xml:space="preserve"> </v>
      </c>
      <c r="M58" s="309">
        <f>VLOOKUP(K58,Postupy!$A$3:$BL$10,64,0)</f>
        <v>0</v>
      </c>
      <c r="N58" s="328"/>
      <c r="O58" s="255"/>
      <c r="P58" s="317"/>
      <c r="Q58" s="255"/>
      <c r="R58" s="255"/>
      <c r="S58" s="255"/>
      <c r="T58" s="293"/>
      <c r="U58" s="293"/>
      <c r="V58" s="293"/>
      <c r="W58" s="255"/>
      <c r="X58" s="255"/>
      <c r="Y58" s="255"/>
      <c r="Z58" s="255"/>
      <c r="AA58" s="255"/>
      <c r="AB58" s="255"/>
      <c r="AC58" s="255"/>
      <c r="AD58" s="255"/>
      <c r="AE58" s="255"/>
      <c r="AF58" s="255"/>
      <c r="AG58" s="255"/>
    </row>
    <row r="59" spans="1:33" ht="18" customHeight="1">
      <c r="A59" s="323"/>
      <c r="B59" s="324"/>
      <c r="C59" s="325"/>
      <c r="D59" s="298" t="s">
        <v>1887</v>
      </c>
      <c r="E59" s="299" t="str">
        <f ca="1">IF(OR(TRIM(D60)="-",TRIM(D61)="-"),"",VLOOKUP(MIN(C60,C61),Hřiště!$B$11:$E$42,4,0))</f>
        <v/>
      </c>
      <c r="F59" s="255"/>
      <c r="G59" s="255"/>
      <c r="H59" s="333"/>
      <c r="I59" s="255"/>
      <c r="J59" s="255"/>
      <c r="K59" s="312">
        <v>2</v>
      </c>
      <c r="L59" s="313" t="str">
        <f ca="1">IF(OR(TRIM(H62)="-",TRIM(H63)="-"),IF(TRIM(H62)="-",H63,H62),IF(AND(I62="",I63="")," ",IF(N(I62)=N(I63)," ",IF(N(I62)&gt;N(I63),H62,H63))))</f>
        <v xml:space="preserve"> </v>
      </c>
      <c r="M59" s="314">
        <f>VLOOKUP(K59,Postupy!$A$3:$BL$10,64,0)</f>
        <v>0</v>
      </c>
      <c r="N59" s="268"/>
      <c r="O59" s="255"/>
      <c r="P59" s="317"/>
      <c r="Q59" s="255"/>
      <c r="R59" s="255"/>
      <c r="S59" s="255"/>
      <c r="T59" s="255"/>
      <c r="U59" s="255"/>
      <c r="V59" s="255"/>
      <c r="W59" s="311"/>
      <c r="X59" s="255"/>
      <c r="Y59" s="255"/>
      <c r="Z59" s="255"/>
      <c r="AA59" s="255"/>
      <c r="AB59" s="255"/>
      <c r="AC59" s="255"/>
      <c r="AD59" s="255"/>
      <c r="AE59" s="255"/>
      <c r="AF59" s="255"/>
      <c r="AG59" s="255"/>
    </row>
    <row r="60" spans="1:33" ht="18" customHeight="1">
      <c r="A60" s="305" t="str">
        <f>VLOOKUP(C60,Postupy!$A$3:$C$34,3,0)</f>
        <v>A2</v>
      </c>
      <c r="B60" s="306"/>
      <c r="C60" s="307">
        <v>15</v>
      </c>
      <c r="D60" s="373" t="str">
        <f ca="1">VLOOKUP(C60,Postupy!$A$3:$BG$34,59,0)</f>
        <v>1. Starobrněnský PK - Strouhalová Terezie</v>
      </c>
      <c r="E60" s="309">
        <f>VLOOKUP(C60,Postupy!$A$3:$BH$34,60,0)</f>
        <v>0</v>
      </c>
      <c r="F60" s="316"/>
      <c r="G60" s="255"/>
      <c r="H60" s="331"/>
      <c r="I60" s="311"/>
      <c r="J60" s="311"/>
      <c r="K60" s="334"/>
      <c r="L60" s="352"/>
      <c r="M60" s="336"/>
      <c r="N60" s="255"/>
      <c r="O60" s="255"/>
      <c r="P60" s="255"/>
      <c r="Q60" s="255"/>
      <c r="R60" s="255"/>
      <c r="S60" s="255"/>
      <c r="T60" s="255"/>
      <c r="U60" s="255"/>
      <c r="V60" s="255"/>
      <c r="W60" s="311"/>
      <c r="X60" s="255"/>
      <c r="Y60" s="255"/>
      <c r="Z60" s="255"/>
      <c r="AA60" s="255"/>
      <c r="AB60" s="255"/>
      <c r="AC60" s="255"/>
      <c r="AD60" s="255"/>
      <c r="AE60" s="255"/>
      <c r="AF60" s="255"/>
      <c r="AG60" s="255"/>
    </row>
    <row r="61" spans="1:33" ht="18" customHeight="1">
      <c r="A61" s="305" t="str">
        <f>VLOOKUP(C61,Postupy!$A$3:$C$34,3,0)</f>
        <v/>
      </c>
      <c r="B61" s="306"/>
      <c r="C61" s="312">
        <v>18</v>
      </c>
      <c r="D61" s="373" t="str">
        <f>VLOOKUP(C61,Postupy!$A$3:$BG$34,59,0)</f>
        <v xml:space="preserve"> - </v>
      </c>
      <c r="E61" s="314">
        <f>VLOOKUP(C61,Postupy!$A$3:$BH$34,60,0)</f>
        <v>0</v>
      </c>
      <c r="F61" s="337" t="s">
        <v>1690</v>
      </c>
      <c r="G61" s="316"/>
      <c r="H61" s="298" t="s">
        <v>1887</v>
      </c>
      <c r="I61" s="299" t="str">
        <f ca="1">IF(OR(TRIM(H62)="-",TRIM(H63)="-"),"",VLOOKUP(MIN(G62,G63),Hřiště!$B$11:$E$42,4,0))</f>
        <v/>
      </c>
      <c r="J61" s="311"/>
      <c r="K61" s="326"/>
      <c r="L61" s="317"/>
      <c r="M61" s="293"/>
      <c r="N61" s="255"/>
      <c r="O61" s="255"/>
      <c r="P61" s="255"/>
      <c r="Q61" s="255"/>
      <c r="R61" s="255"/>
      <c r="S61" s="255"/>
      <c r="T61" s="255"/>
      <c r="U61" s="255"/>
      <c r="V61" s="255"/>
      <c r="W61" s="311"/>
      <c r="X61" s="255"/>
      <c r="Y61" s="255"/>
      <c r="Z61" s="255"/>
      <c r="AA61" s="255"/>
      <c r="AB61" s="255"/>
      <c r="AC61" s="255"/>
      <c r="AD61" s="255"/>
      <c r="AE61" s="255"/>
      <c r="AF61" s="255"/>
      <c r="AG61" s="255"/>
    </row>
    <row r="62" spans="1:33" ht="18" customHeight="1">
      <c r="A62" s="318"/>
      <c r="B62" s="319"/>
      <c r="C62" s="319">
        <f>C60+C61</f>
        <v>33</v>
      </c>
      <c r="D62" s="320"/>
      <c r="E62" s="321"/>
      <c r="F62" s="321"/>
      <c r="G62" s="307">
        <v>15</v>
      </c>
      <c r="H62" s="308" t="str">
        <f ca="1">IF(OR(TRIM(D60)="-",TRIM(D61)="-"),IF(TRIM(D60)="-",D61,D60),IF(AND(E60="",E61="")," ",IF(N(E60)=N(E61)," ",IF(N(E60)&gt;N(E61),D60,D61))))</f>
        <v>1. Starobrněnský PK - Strouhalová Terezie</v>
      </c>
      <c r="I62" s="309">
        <f>VLOOKUP(G62,Postupy!$A$3:$BJ$18,62,0)</f>
        <v>0</v>
      </c>
      <c r="J62" s="328"/>
      <c r="K62" s="326"/>
      <c r="L62" s="317"/>
      <c r="M62" s="293"/>
      <c r="N62" s="255"/>
      <c r="O62" s="255"/>
      <c r="P62" s="255"/>
      <c r="Q62" s="255"/>
      <c r="R62" s="255"/>
      <c r="S62" s="255"/>
      <c r="T62" s="255"/>
      <c r="U62" s="255"/>
      <c r="V62" s="255"/>
      <c r="W62" s="311"/>
      <c r="X62" s="255"/>
      <c r="Y62" s="255"/>
      <c r="Z62" s="255"/>
      <c r="AA62" s="255"/>
      <c r="AB62" s="255"/>
      <c r="AC62" s="255"/>
      <c r="AD62" s="255"/>
      <c r="AE62" s="255"/>
      <c r="AF62" s="255"/>
      <c r="AG62" s="255"/>
    </row>
    <row r="63" spans="1:33" ht="18" customHeight="1">
      <c r="A63" s="323"/>
      <c r="B63" s="324"/>
      <c r="C63" s="325"/>
      <c r="D63" s="298" t="s">
        <v>1887</v>
      </c>
      <c r="E63" s="299" t="str">
        <f ca="1">IF(OR(TRIM(D64)="-",TRIM(D65)="-"),"",VLOOKUP(MIN(C64,C65),Hřiště!$B$11:$E$42,4,0))</f>
        <v/>
      </c>
      <c r="F63" s="269"/>
      <c r="G63" s="312">
        <v>2</v>
      </c>
      <c r="H63" s="313" t="str">
        <f ca="1">IF(OR(TRIM(D64)="-",TRIM(D65)="-"),IF(TRIM(D64)="-",D65,D64),IF(AND(E64="",E65="")," ",IF(N(E64)=N(E65)," ",IF(N(E64)&gt;N(E65),D64,D65))))</f>
        <v>PLUK Jablonec - Lukáš Vojtěch</v>
      </c>
      <c r="I63" s="314">
        <f>VLOOKUP(G63,Postupy!$A$3:$BJ$18,62,0)</f>
        <v>0</v>
      </c>
      <c r="J63" s="268"/>
      <c r="K63" s="255"/>
      <c r="L63" s="317"/>
      <c r="M63" s="255"/>
      <c r="N63" s="255"/>
      <c r="O63" s="255"/>
      <c r="P63" s="255"/>
      <c r="Q63" s="255"/>
      <c r="R63" s="255"/>
      <c r="S63" s="255"/>
      <c r="T63" s="255"/>
      <c r="U63" s="255"/>
      <c r="V63" s="255"/>
      <c r="W63" s="311"/>
      <c r="X63" s="255"/>
      <c r="Y63" s="255"/>
      <c r="Z63" s="255"/>
      <c r="AA63" s="255"/>
      <c r="AB63" s="255"/>
      <c r="AC63" s="255"/>
      <c r="AD63" s="255"/>
      <c r="AE63" s="255"/>
      <c r="AF63" s="255"/>
      <c r="AG63" s="255"/>
    </row>
    <row r="64" spans="1:33" ht="18" customHeight="1">
      <c r="A64" s="305" t="str">
        <f>VLOOKUP(C64,Postupy!$A$3:$C$34,3,0)</f>
        <v/>
      </c>
      <c r="B64" s="306"/>
      <c r="C64" s="307">
        <v>31</v>
      </c>
      <c r="D64" s="373" t="str">
        <f>VLOOKUP(C64,Postupy!$A$3:$BG$34,59,0)</f>
        <v xml:space="preserve"> - </v>
      </c>
      <c r="E64" s="309">
        <f>VLOOKUP(C64,Postupy!$A$3:$BH$34,60,0)</f>
        <v>0</v>
      </c>
      <c r="F64" s="338"/>
      <c r="G64" s="334"/>
      <c r="H64" s="353"/>
      <c r="I64" s="336"/>
      <c r="J64" s="255"/>
      <c r="K64" s="255"/>
      <c r="L64" s="354"/>
      <c r="M64" s="255"/>
      <c r="N64" s="255"/>
      <c r="O64" s="255"/>
      <c r="P64" s="255"/>
      <c r="Q64" s="255"/>
      <c r="R64" s="255"/>
      <c r="S64" s="255"/>
      <c r="T64" s="255"/>
      <c r="U64" s="255"/>
      <c r="V64" s="255"/>
      <c r="W64" s="311"/>
      <c r="X64" s="255"/>
      <c r="Y64" s="255"/>
      <c r="Z64" s="255"/>
      <c r="AA64" s="255"/>
      <c r="AB64" s="255"/>
      <c r="AC64" s="255"/>
      <c r="AD64" s="255"/>
      <c r="AE64" s="255"/>
      <c r="AF64" s="255"/>
      <c r="AG64" s="255"/>
    </row>
    <row r="65" spans="1:33" ht="18" customHeight="1">
      <c r="A65" s="305" t="str">
        <f>VLOOKUP(C65,Postupy!$A$3:$C$34,3,0)</f>
        <v>B1</v>
      </c>
      <c r="B65" s="306"/>
      <c r="C65" s="312">
        <v>2</v>
      </c>
      <c r="D65" s="373" t="str">
        <f ca="1">VLOOKUP(C65,Postupy!$A$3:$BG$34,59,0)</f>
        <v>PLUK Jablonec - Lukáš Vojtěch</v>
      </c>
      <c r="E65" s="314">
        <f>VLOOKUP(C65,Postupy!$A$3:$BH$34,60,0)</f>
        <v>0</v>
      </c>
      <c r="F65" s="339"/>
      <c r="G65" s="255"/>
      <c r="H65" s="311"/>
      <c r="I65" s="255"/>
      <c r="J65" s="255"/>
      <c r="K65" s="255"/>
      <c r="L65" s="356"/>
      <c r="M65" s="255"/>
      <c r="N65" s="255"/>
      <c r="O65" s="255"/>
      <c r="P65" s="255"/>
      <c r="Q65" s="255"/>
      <c r="R65" s="255"/>
      <c r="S65" s="255"/>
      <c r="T65" s="255"/>
      <c r="U65" s="255"/>
      <c r="V65" s="255"/>
      <c r="W65" s="311"/>
      <c r="X65" s="255"/>
      <c r="Y65" s="255"/>
      <c r="Z65" s="255"/>
      <c r="AA65" s="255"/>
      <c r="AB65" s="255"/>
      <c r="AC65" s="255"/>
      <c r="AD65" s="255"/>
      <c r="AE65" s="255"/>
      <c r="AF65" s="255"/>
      <c r="AG65" s="255"/>
    </row>
    <row r="66" spans="1:33" ht="12.75" customHeight="1">
      <c r="A66" s="318"/>
      <c r="B66" s="365"/>
      <c r="C66" s="319">
        <f>C64+C65</f>
        <v>33</v>
      </c>
      <c r="D66" s="320"/>
      <c r="E66" s="321"/>
      <c r="F66" s="329">
        <f>C62+C66</f>
        <v>66</v>
      </c>
      <c r="G66" s="255"/>
      <c r="H66" s="255"/>
      <c r="I66" s="255"/>
      <c r="J66" s="255"/>
      <c r="K66" s="255"/>
      <c r="L66" s="255"/>
      <c r="M66" s="255"/>
      <c r="N66" s="255"/>
      <c r="O66" s="255"/>
      <c r="P66" s="255"/>
      <c r="Q66" s="255"/>
      <c r="R66" s="255"/>
      <c r="S66" s="255"/>
      <c r="T66" s="255"/>
      <c r="U66" s="255"/>
      <c r="V66" s="255"/>
      <c r="W66" s="311"/>
      <c r="X66" s="255"/>
      <c r="Y66" s="255"/>
      <c r="Z66" s="255"/>
      <c r="AA66" s="255"/>
      <c r="AB66" s="255"/>
      <c r="AC66" s="255"/>
      <c r="AD66" s="255"/>
      <c r="AE66" s="255"/>
      <c r="AF66" s="255"/>
      <c r="AG66" s="255"/>
    </row>
    <row r="67" spans="1:33" ht="17.25" customHeight="1">
      <c r="A67" s="323"/>
      <c r="B67" s="365"/>
      <c r="C67" s="325"/>
      <c r="D67" s="320"/>
      <c r="E67" s="372"/>
      <c r="F67" s="329"/>
      <c r="G67" s="321"/>
      <c r="H67" s="255"/>
      <c r="I67" s="321"/>
      <c r="J67" s="255"/>
      <c r="K67" s="255"/>
      <c r="L67" s="255"/>
      <c r="M67" s="255"/>
      <c r="N67" s="255"/>
      <c r="O67" s="255"/>
      <c r="P67" s="255"/>
      <c r="Q67" s="255"/>
      <c r="R67" s="255"/>
      <c r="S67" s="255"/>
      <c r="T67" s="255"/>
      <c r="U67" s="255"/>
      <c r="V67" s="255"/>
      <c r="W67" s="311"/>
      <c r="X67" s="255"/>
      <c r="Y67" s="255"/>
      <c r="Z67" s="255"/>
      <c r="AA67" s="255"/>
      <c r="AB67" s="255"/>
      <c r="AC67" s="255"/>
      <c r="AD67" s="255"/>
      <c r="AE67" s="255"/>
      <c r="AF67" s="255"/>
      <c r="AG67" s="255"/>
    </row>
    <row r="68" spans="1:33" ht="12" customHeight="1">
      <c r="A68" s="255"/>
      <c r="B68" s="329"/>
      <c r="C68" s="365"/>
      <c r="D68" s="321"/>
      <c r="E68" s="321"/>
      <c r="F68" s="329"/>
      <c r="G68" s="255"/>
      <c r="H68" s="311"/>
      <c r="I68" s="255"/>
      <c r="J68" s="255"/>
      <c r="K68" s="255"/>
      <c r="L68" s="255"/>
      <c r="M68" s="255"/>
      <c r="N68" s="255"/>
      <c r="O68" s="255"/>
      <c r="P68" s="255"/>
      <c r="Q68" s="255"/>
      <c r="R68" s="255"/>
      <c r="S68" s="255"/>
      <c r="T68" s="255"/>
      <c r="U68" s="255"/>
      <c r="V68" s="255"/>
      <c r="W68" s="311"/>
      <c r="X68" s="255"/>
      <c r="Y68" s="255"/>
      <c r="Z68" s="255"/>
      <c r="AA68" s="255"/>
      <c r="AB68" s="255"/>
      <c r="AC68" s="255"/>
      <c r="AD68" s="255"/>
      <c r="AE68" s="255"/>
      <c r="AF68" s="255"/>
      <c r="AG68" s="255"/>
    </row>
    <row r="69" spans="1:33" ht="12" customHeight="1">
      <c r="A69" s="255"/>
      <c r="B69" s="329"/>
      <c r="C69" s="365"/>
      <c r="D69" s="321"/>
      <c r="E69" s="321"/>
      <c r="F69" s="329"/>
      <c r="G69" s="255"/>
      <c r="H69" s="311"/>
      <c r="I69" s="255"/>
      <c r="J69" s="255"/>
      <c r="K69" s="255"/>
      <c r="L69" s="255"/>
      <c r="M69" s="255"/>
      <c r="N69" s="255"/>
      <c r="O69" s="255"/>
      <c r="P69" s="255"/>
      <c r="Q69" s="255"/>
      <c r="R69" s="255"/>
      <c r="S69" s="255"/>
      <c r="T69" s="255"/>
      <c r="U69" s="255"/>
      <c r="V69" s="255"/>
      <c r="W69" s="311"/>
      <c r="X69" s="255"/>
      <c r="Y69" s="255"/>
      <c r="Z69" s="255"/>
      <c r="AA69" s="255"/>
      <c r="AB69" s="255"/>
      <c r="AC69" s="255"/>
      <c r="AD69" s="255"/>
      <c r="AE69" s="255"/>
      <c r="AF69" s="255"/>
      <c r="AG69" s="255"/>
    </row>
    <row r="70" spans="1:33" ht="12" customHeight="1">
      <c r="A70" s="255"/>
      <c r="B70" s="329"/>
      <c r="C70" s="365"/>
      <c r="D70" s="321"/>
      <c r="E70" s="321"/>
      <c r="F70" s="329"/>
      <c r="G70" s="255"/>
      <c r="H70" s="311"/>
      <c r="I70" s="255"/>
      <c r="J70" s="255"/>
      <c r="K70" s="255"/>
      <c r="L70" s="255"/>
      <c r="M70" s="255"/>
      <c r="N70" s="255"/>
      <c r="O70" s="255"/>
      <c r="P70" s="255"/>
      <c r="Q70" s="255"/>
      <c r="R70" s="255"/>
      <c r="S70" s="255"/>
      <c r="T70" s="255"/>
      <c r="U70" s="255"/>
      <c r="V70" s="255"/>
      <c r="W70" s="311"/>
      <c r="X70" s="255"/>
      <c r="Y70" s="255"/>
      <c r="Z70" s="255"/>
      <c r="AA70" s="255"/>
      <c r="AB70" s="255"/>
      <c r="AC70" s="255"/>
      <c r="AD70" s="255"/>
      <c r="AE70" s="255"/>
      <c r="AF70" s="255"/>
      <c r="AG70" s="255"/>
    </row>
    <row r="71" spans="1:33" ht="12" customHeight="1">
      <c r="A71" s="255"/>
      <c r="B71" s="329"/>
      <c r="C71" s="365"/>
      <c r="D71" s="321"/>
      <c r="E71" s="321"/>
      <c r="F71" s="329"/>
      <c r="G71" s="255"/>
      <c r="H71" s="311"/>
      <c r="I71" s="255"/>
      <c r="J71" s="255"/>
      <c r="K71" s="255"/>
      <c r="L71" s="255"/>
      <c r="M71" s="255"/>
      <c r="N71" s="255"/>
      <c r="O71" s="255"/>
      <c r="P71" s="255"/>
      <c r="Q71" s="255"/>
      <c r="R71" s="255"/>
      <c r="S71" s="255"/>
      <c r="T71" s="255"/>
      <c r="U71" s="255"/>
      <c r="V71" s="255"/>
      <c r="W71" s="311"/>
      <c r="X71" s="255"/>
      <c r="Y71" s="255"/>
      <c r="Z71" s="255"/>
      <c r="AA71" s="255"/>
      <c r="AB71" s="255"/>
      <c r="AC71" s="255"/>
      <c r="AD71" s="255"/>
      <c r="AE71" s="255"/>
      <c r="AF71" s="255"/>
      <c r="AG71" s="255"/>
    </row>
    <row r="72" spans="1:33" ht="12" customHeight="1">
      <c r="A72" s="255"/>
      <c r="B72" s="329"/>
      <c r="C72" s="365"/>
      <c r="D72" s="321"/>
      <c r="E72" s="321"/>
      <c r="F72" s="329"/>
      <c r="G72" s="255"/>
      <c r="H72" s="311"/>
      <c r="I72" s="255"/>
      <c r="J72" s="255"/>
      <c r="K72" s="255"/>
      <c r="L72" s="255"/>
      <c r="M72" s="255"/>
      <c r="N72" s="255"/>
      <c r="O72" s="255"/>
      <c r="P72" s="255"/>
      <c r="Q72" s="255"/>
      <c r="R72" s="255"/>
      <c r="S72" s="255"/>
      <c r="T72" s="255"/>
      <c r="U72" s="255"/>
      <c r="V72" s="255"/>
      <c r="W72" s="311"/>
      <c r="X72" s="255"/>
      <c r="Y72" s="255"/>
      <c r="Z72" s="255"/>
      <c r="AA72" s="255"/>
      <c r="AB72" s="255"/>
      <c r="AC72" s="255"/>
      <c r="AD72" s="255"/>
      <c r="AE72" s="255"/>
      <c r="AF72" s="255"/>
      <c r="AG72" s="255"/>
    </row>
    <row r="73" spans="1:33" ht="12" customHeight="1">
      <c r="A73" s="255"/>
      <c r="B73" s="329"/>
      <c r="C73" s="365"/>
      <c r="D73" s="321"/>
      <c r="E73" s="321"/>
      <c r="F73" s="329"/>
      <c r="G73" s="255"/>
      <c r="H73" s="311"/>
      <c r="I73" s="255"/>
      <c r="J73" s="255"/>
      <c r="K73" s="255"/>
      <c r="L73" s="255"/>
      <c r="M73" s="255"/>
      <c r="N73" s="255"/>
      <c r="O73" s="255"/>
      <c r="P73" s="255"/>
      <c r="Q73" s="255"/>
      <c r="R73" s="255"/>
      <c r="S73" s="255"/>
      <c r="T73" s="255"/>
      <c r="U73" s="255"/>
      <c r="V73" s="255"/>
      <c r="W73" s="311"/>
      <c r="X73" s="255"/>
      <c r="Y73" s="255"/>
      <c r="Z73" s="255"/>
      <c r="AA73" s="255"/>
      <c r="AB73" s="255"/>
      <c r="AC73" s="255"/>
      <c r="AD73" s="255"/>
      <c r="AE73" s="255"/>
      <c r="AF73" s="255"/>
      <c r="AG73" s="255"/>
    </row>
    <row r="74" spans="1:33" ht="12" customHeight="1">
      <c r="A74" s="255"/>
      <c r="B74" s="329"/>
      <c r="C74" s="365"/>
      <c r="D74" s="321"/>
      <c r="E74" s="321"/>
      <c r="F74" s="329"/>
      <c r="G74" s="255"/>
      <c r="H74" s="311"/>
      <c r="I74" s="255"/>
      <c r="J74" s="255"/>
      <c r="K74" s="255"/>
      <c r="L74" s="255"/>
      <c r="M74" s="255"/>
      <c r="N74" s="255"/>
      <c r="O74" s="255"/>
      <c r="P74" s="255"/>
      <c r="Q74" s="255"/>
      <c r="R74" s="255"/>
      <c r="S74" s="255"/>
      <c r="T74" s="255"/>
      <c r="U74" s="255"/>
      <c r="V74" s="255"/>
      <c r="W74" s="311"/>
      <c r="X74" s="255"/>
      <c r="Y74" s="255"/>
      <c r="Z74" s="255"/>
      <c r="AA74" s="255"/>
      <c r="AB74" s="255"/>
      <c r="AC74" s="255"/>
      <c r="AD74" s="255"/>
      <c r="AE74" s="255"/>
      <c r="AF74" s="255"/>
      <c r="AG74" s="255"/>
    </row>
    <row r="75" spans="1:33" ht="12" customHeight="1">
      <c r="A75" s="255"/>
      <c r="B75" s="329"/>
      <c r="C75" s="365"/>
      <c r="D75" s="321"/>
      <c r="E75" s="321"/>
      <c r="F75" s="329"/>
      <c r="G75" s="255"/>
      <c r="H75" s="311"/>
      <c r="I75" s="255"/>
      <c r="J75" s="255"/>
      <c r="K75" s="255"/>
      <c r="L75" s="255"/>
      <c r="M75" s="255"/>
      <c r="N75" s="255"/>
      <c r="O75" s="255"/>
      <c r="P75" s="255"/>
      <c r="Q75" s="255"/>
      <c r="R75" s="255"/>
      <c r="S75" s="255"/>
      <c r="T75" s="255"/>
      <c r="U75" s="255"/>
      <c r="V75" s="255"/>
      <c r="W75" s="311"/>
      <c r="X75" s="255"/>
      <c r="Y75" s="255"/>
      <c r="Z75" s="255"/>
      <c r="AA75" s="255"/>
      <c r="AB75" s="255"/>
      <c r="AC75" s="255"/>
      <c r="AD75" s="255"/>
      <c r="AE75" s="255"/>
      <c r="AF75" s="255"/>
      <c r="AG75" s="255"/>
    </row>
    <row r="76" spans="1:33" ht="12" customHeight="1">
      <c r="A76" s="255"/>
      <c r="B76" s="329"/>
      <c r="C76" s="365"/>
      <c r="D76" s="321"/>
      <c r="E76" s="321"/>
      <c r="F76" s="329"/>
      <c r="G76" s="255"/>
      <c r="H76" s="311"/>
      <c r="I76" s="255"/>
      <c r="J76" s="255"/>
      <c r="K76" s="255"/>
      <c r="L76" s="255"/>
      <c r="M76" s="255"/>
      <c r="N76" s="255"/>
      <c r="O76" s="255"/>
      <c r="P76" s="255"/>
      <c r="Q76" s="255"/>
      <c r="R76" s="255"/>
      <c r="S76" s="255"/>
      <c r="T76" s="255"/>
      <c r="U76" s="255"/>
      <c r="V76" s="255"/>
      <c r="W76" s="311"/>
      <c r="X76" s="255"/>
      <c r="Y76" s="255"/>
      <c r="Z76" s="255"/>
      <c r="AA76" s="255"/>
      <c r="AB76" s="255"/>
      <c r="AC76" s="255"/>
      <c r="AD76" s="255"/>
      <c r="AE76" s="255"/>
      <c r="AF76" s="255"/>
      <c r="AG76" s="255"/>
    </row>
    <row r="77" spans="1:33" ht="12" customHeight="1">
      <c r="A77" s="255"/>
      <c r="B77" s="329"/>
      <c r="C77" s="365"/>
      <c r="D77" s="321"/>
      <c r="E77" s="321"/>
      <c r="F77" s="329"/>
      <c r="G77" s="255"/>
      <c r="H77" s="311"/>
      <c r="I77" s="255"/>
      <c r="J77" s="255"/>
      <c r="K77" s="255"/>
      <c r="L77" s="255"/>
      <c r="M77" s="255"/>
      <c r="N77" s="255"/>
      <c r="O77" s="255"/>
      <c r="P77" s="255"/>
      <c r="Q77" s="255"/>
      <c r="R77" s="255"/>
      <c r="S77" s="255"/>
      <c r="T77" s="255"/>
      <c r="U77" s="255"/>
      <c r="V77" s="255"/>
      <c r="W77" s="311"/>
      <c r="X77" s="255"/>
      <c r="Y77" s="255"/>
      <c r="Z77" s="255"/>
      <c r="AA77" s="255"/>
      <c r="AB77" s="255"/>
      <c r="AC77" s="255"/>
      <c r="AD77" s="255"/>
      <c r="AE77" s="255"/>
      <c r="AF77" s="255"/>
      <c r="AG77" s="255"/>
    </row>
    <row r="78" spans="1:33" ht="12" customHeight="1">
      <c r="A78" s="255"/>
      <c r="B78" s="329"/>
      <c r="C78" s="365"/>
      <c r="D78" s="321"/>
      <c r="E78" s="321"/>
      <c r="F78" s="329"/>
      <c r="G78" s="255"/>
      <c r="H78" s="311"/>
      <c r="I78" s="255"/>
      <c r="J78" s="255"/>
      <c r="K78" s="255"/>
      <c r="L78" s="255"/>
      <c r="M78" s="255"/>
      <c r="N78" s="255"/>
      <c r="O78" s="255"/>
      <c r="P78" s="255"/>
      <c r="Q78" s="255"/>
      <c r="R78" s="255"/>
      <c r="S78" s="255"/>
      <c r="T78" s="255"/>
      <c r="U78" s="255"/>
      <c r="V78" s="255"/>
      <c r="W78" s="311"/>
      <c r="X78" s="255"/>
      <c r="Y78" s="255"/>
      <c r="Z78" s="255"/>
      <c r="AA78" s="255"/>
      <c r="AB78" s="255"/>
      <c r="AC78" s="255"/>
      <c r="AD78" s="255"/>
      <c r="AE78" s="255"/>
      <c r="AF78" s="255"/>
      <c r="AG78" s="255"/>
    </row>
    <row r="79" spans="1:33" ht="12" customHeight="1">
      <c r="A79" s="255"/>
      <c r="B79" s="329"/>
      <c r="C79" s="365"/>
      <c r="D79" s="321"/>
      <c r="E79" s="321"/>
      <c r="F79" s="329"/>
      <c r="G79" s="255"/>
      <c r="H79" s="311"/>
      <c r="I79" s="255"/>
      <c r="J79" s="255"/>
      <c r="K79" s="255"/>
      <c r="L79" s="255"/>
      <c r="M79" s="255"/>
      <c r="N79" s="255"/>
      <c r="O79" s="255"/>
      <c r="P79" s="255"/>
      <c r="Q79" s="255"/>
      <c r="R79" s="255"/>
      <c r="S79" s="255"/>
      <c r="T79" s="255"/>
      <c r="U79" s="255"/>
      <c r="V79" s="255"/>
      <c r="W79" s="311"/>
      <c r="X79" s="255"/>
      <c r="Y79" s="255"/>
      <c r="Z79" s="255"/>
      <c r="AA79" s="255"/>
      <c r="AB79" s="255"/>
      <c r="AC79" s="255"/>
      <c r="AD79" s="255"/>
      <c r="AE79" s="255"/>
      <c r="AF79" s="255"/>
      <c r="AG79" s="255"/>
    </row>
    <row r="80" spans="1:33" ht="12" customHeight="1">
      <c r="A80" s="255"/>
      <c r="B80" s="329"/>
      <c r="C80" s="365"/>
      <c r="D80" s="321"/>
      <c r="E80" s="321"/>
      <c r="F80" s="329"/>
      <c r="G80" s="255"/>
      <c r="H80" s="311"/>
      <c r="I80" s="255"/>
      <c r="J80" s="255"/>
      <c r="K80" s="255"/>
      <c r="L80" s="255"/>
      <c r="M80" s="255"/>
      <c r="N80" s="255"/>
      <c r="O80" s="255"/>
      <c r="P80" s="255"/>
      <c r="Q80" s="255"/>
      <c r="R80" s="255"/>
      <c r="S80" s="255"/>
      <c r="T80" s="255"/>
      <c r="U80" s="255"/>
      <c r="V80" s="255"/>
      <c r="W80" s="311"/>
      <c r="X80" s="255"/>
      <c r="Y80" s="255"/>
      <c r="Z80" s="255"/>
      <c r="AA80" s="255"/>
      <c r="AB80" s="255"/>
      <c r="AC80" s="255"/>
      <c r="AD80" s="255"/>
      <c r="AE80" s="255"/>
      <c r="AF80" s="255"/>
      <c r="AG80" s="255"/>
    </row>
    <row r="81" spans="1:33" ht="12" customHeight="1">
      <c r="A81" s="255"/>
      <c r="B81" s="329"/>
      <c r="C81" s="365"/>
      <c r="D81" s="321"/>
      <c r="E81" s="321"/>
      <c r="F81" s="329"/>
      <c r="G81" s="255"/>
      <c r="H81" s="311"/>
      <c r="I81" s="255"/>
      <c r="J81" s="255"/>
      <c r="K81" s="255"/>
      <c r="L81" s="255"/>
      <c r="M81" s="255"/>
      <c r="N81" s="255"/>
      <c r="O81" s="255"/>
      <c r="P81" s="255"/>
      <c r="Q81" s="255"/>
      <c r="R81" s="255"/>
      <c r="S81" s="255"/>
      <c r="T81" s="255"/>
      <c r="U81" s="255"/>
      <c r="V81" s="255"/>
      <c r="W81" s="311"/>
      <c r="X81" s="255"/>
      <c r="Y81" s="255"/>
      <c r="Z81" s="255"/>
      <c r="AA81" s="255"/>
      <c r="AB81" s="255"/>
      <c r="AC81" s="255"/>
      <c r="AD81" s="255"/>
      <c r="AE81" s="255"/>
      <c r="AF81" s="255"/>
      <c r="AG81" s="255"/>
    </row>
    <row r="82" spans="1:33" ht="12" customHeight="1">
      <c r="A82" s="255"/>
      <c r="B82" s="329"/>
      <c r="C82" s="365"/>
      <c r="D82" s="321"/>
      <c r="E82" s="321"/>
      <c r="F82" s="329"/>
      <c r="G82" s="255"/>
      <c r="H82" s="311"/>
      <c r="I82" s="255"/>
      <c r="J82" s="255"/>
      <c r="K82" s="255"/>
      <c r="L82" s="255"/>
      <c r="M82" s="255"/>
      <c r="N82" s="255"/>
      <c r="O82" s="255"/>
      <c r="P82" s="255"/>
      <c r="Q82" s="255"/>
      <c r="R82" s="255"/>
      <c r="S82" s="255"/>
      <c r="T82" s="255"/>
      <c r="U82" s="255"/>
      <c r="V82" s="255"/>
      <c r="W82" s="311"/>
      <c r="X82" s="255"/>
      <c r="Y82" s="255"/>
      <c r="Z82" s="255"/>
      <c r="AA82" s="255"/>
      <c r="AB82" s="255"/>
      <c r="AC82" s="255"/>
      <c r="AD82" s="255"/>
      <c r="AE82" s="255"/>
      <c r="AF82" s="255"/>
      <c r="AG82" s="255"/>
    </row>
    <row r="83" spans="1:33" ht="12" customHeight="1">
      <c r="A83" s="255"/>
      <c r="B83" s="329"/>
      <c r="C83" s="365"/>
      <c r="D83" s="321"/>
      <c r="E83" s="321"/>
      <c r="F83" s="329"/>
      <c r="G83" s="255"/>
      <c r="H83" s="311"/>
      <c r="I83" s="255"/>
      <c r="J83" s="255"/>
      <c r="K83" s="255"/>
      <c r="L83" s="255"/>
      <c r="M83" s="255"/>
      <c r="N83" s="255"/>
      <c r="O83" s="255"/>
      <c r="P83" s="255"/>
      <c r="Q83" s="255"/>
      <c r="R83" s="255"/>
      <c r="S83" s="255"/>
      <c r="T83" s="255"/>
      <c r="U83" s="255"/>
      <c r="V83" s="255"/>
      <c r="W83" s="311"/>
      <c r="X83" s="255"/>
      <c r="Y83" s="255"/>
      <c r="Z83" s="255"/>
      <c r="AA83" s="255"/>
      <c r="AB83" s="255"/>
      <c r="AC83" s="255"/>
      <c r="AD83" s="255"/>
      <c r="AE83" s="255"/>
      <c r="AF83" s="255"/>
      <c r="AG83" s="255"/>
    </row>
    <row r="84" spans="1:33" ht="12" customHeight="1">
      <c r="A84" s="255"/>
      <c r="B84" s="329"/>
      <c r="C84" s="365"/>
      <c r="D84" s="321"/>
      <c r="E84" s="321"/>
      <c r="F84" s="329"/>
      <c r="G84" s="255"/>
      <c r="H84" s="311"/>
      <c r="I84" s="255"/>
      <c r="J84" s="255"/>
      <c r="K84" s="255"/>
      <c r="L84" s="255"/>
      <c r="M84" s="255"/>
      <c r="N84" s="255"/>
      <c r="O84" s="255"/>
      <c r="P84" s="255"/>
      <c r="Q84" s="255"/>
      <c r="R84" s="255"/>
      <c r="S84" s="255"/>
      <c r="T84" s="255"/>
      <c r="U84" s="255"/>
      <c r="V84" s="255"/>
      <c r="W84" s="311"/>
      <c r="X84" s="255"/>
      <c r="Y84" s="255"/>
      <c r="Z84" s="255"/>
      <c r="AA84" s="255"/>
      <c r="AB84" s="255"/>
      <c r="AC84" s="255"/>
      <c r="AD84" s="255"/>
      <c r="AE84" s="255"/>
      <c r="AF84" s="255"/>
      <c r="AG84" s="255"/>
    </row>
    <row r="85" spans="1:33" ht="12" customHeight="1">
      <c r="A85" s="255"/>
      <c r="B85" s="329"/>
      <c r="C85" s="365"/>
      <c r="D85" s="321"/>
      <c r="E85" s="321"/>
      <c r="F85" s="329"/>
      <c r="G85" s="255"/>
      <c r="H85" s="311"/>
      <c r="I85" s="255"/>
      <c r="J85" s="255"/>
      <c r="K85" s="255"/>
      <c r="L85" s="255"/>
      <c r="M85" s="255"/>
      <c r="N85" s="255"/>
      <c r="O85" s="255"/>
      <c r="P85" s="255"/>
      <c r="Q85" s="255"/>
      <c r="R85" s="255"/>
      <c r="S85" s="255"/>
      <c r="T85" s="255"/>
      <c r="U85" s="255"/>
      <c r="V85" s="255"/>
      <c r="W85" s="311"/>
      <c r="X85" s="255"/>
      <c r="Y85" s="255"/>
      <c r="Z85" s="255"/>
      <c r="AA85" s="255"/>
      <c r="AB85" s="255"/>
      <c r="AC85" s="255"/>
      <c r="AD85" s="255"/>
      <c r="AE85" s="255"/>
      <c r="AF85" s="255"/>
      <c r="AG85" s="255"/>
    </row>
    <row r="86" spans="1:33" ht="12" customHeight="1">
      <c r="A86" s="255"/>
      <c r="B86" s="329"/>
      <c r="C86" s="365"/>
      <c r="D86" s="321"/>
      <c r="E86" s="321"/>
      <c r="F86" s="329"/>
      <c r="G86" s="255"/>
      <c r="H86" s="311"/>
      <c r="I86" s="255"/>
      <c r="J86" s="255"/>
      <c r="K86" s="255"/>
      <c r="L86" s="255"/>
      <c r="M86" s="255"/>
      <c r="N86" s="255"/>
      <c r="O86" s="255"/>
      <c r="P86" s="255"/>
      <c r="Q86" s="255"/>
      <c r="R86" s="255"/>
      <c r="S86" s="255"/>
      <c r="T86" s="255"/>
      <c r="U86" s="255"/>
      <c r="V86" s="255"/>
      <c r="W86" s="311"/>
      <c r="X86" s="255"/>
      <c r="Y86" s="255"/>
      <c r="Z86" s="255"/>
      <c r="AA86" s="255"/>
      <c r="AB86" s="255"/>
      <c r="AC86" s="255"/>
      <c r="AD86" s="255"/>
      <c r="AE86" s="255"/>
      <c r="AF86" s="255"/>
      <c r="AG86" s="255"/>
    </row>
    <row r="87" spans="1:33" ht="12" customHeight="1">
      <c r="A87" s="255"/>
      <c r="B87" s="329"/>
      <c r="C87" s="365"/>
      <c r="D87" s="321"/>
      <c r="E87" s="321"/>
      <c r="F87" s="329"/>
      <c r="G87" s="255"/>
      <c r="H87" s="311"/>
      <c r="I87" s="255"/>
      <c r="J87" s="255"/>
      <c r="K87" s="255"/>
      <c r="L87" s="255"/>
      <c r="M87" s="255"/>
      <c r="N87" s="255"/>
      <c r="O87" s="255"/>
      <c r="P87" s="255"/>
      <c r="Q87" s="255"/>
      <c r="R87" s="255"/>
      <c r="S87" s="255"/>
      <c r="T87" s="255"/>
      <c r="U87" s="255"/>
      <c r="V87" s="255"/>
      <c r="W87" s="311"/>
      <c r="X87" s="255"/>
      <c r="Y87" s="255"/>
      <c r="Z87" s="255"/>
      <c r="AA87" s="255"/>
      <c r="AB87" s="255"/>
      <c r="AC87" s="255"/>
      <c r="AD87" s="255"/>
      <c r="AE87" s="255"/>
      <c r="AF87" s="255"/>
      <c r="AG87" s="255"/>
    </row>
    <row r="88" spans="1:33" ht="12" customHeight="1">
      <c r="A88" s="255"/>
      <c r="B88" s="329"/>
      <c r="C88" s="365"/>
      <c r="D88" s="321"/>
      <c r="E88" s="321"/>
      <c r="F88" s="329"/>
      <c r="G88" s="255"/>
      <c r="H88" s="311"/>
      <c r="I88" s="255"/>
      <c r="J88" s="255"/>
      <c r="K88" s="255"/>
      <c r="L88" s="255"/>
      <c r="M88" s="255"/>
      <c r="N88" s="255"/>
      <c r="O88" s="255"/>
      <c r="P88" s="255"/>
      <c r="Q88" s="255"/>
      <c r="R88" s="255"/>
      <c r="S88" s="255"/>
      <c r="T88" s="255"/>
      <c r="U88" s="255"/>
      <c r="V88" s="255"/>
      <c r="W88" s="311"/>
      <c r="X88" s="255"/>
      <c r="Y88" s="255"/>
      <c r="Z88" s="255"/>
      <c r="AA88" s="255"/>
      <c r="AB88" s="255"/>
      <c r="AC88" s="255"/>
      <c r="AD88" s="255"/>
      <c r="AE88" s="255"/>
      <c r="AF88" s="255"/>
      <c r="AG88" s="255"/>
    </row>
    <row r="89" spans="1:33" ht="12" customHeight="1">
      <c r="A89" s="255"/>
      <c r="B89" s="329"/>
      <c r="C89" s="365"/>
      <c r="D89" s="321"/>
      <c r="E89" s="321"/>
      <c r="F89" s="329"/>
      <c r="G89" s="255"/>
      <c r="H89" s="311"/>
      <c r="I89" s="255"/>
      <c r="J89" s="255"/>
      <c r="K89" s="255"/>
      <c r="L89" s="255"/>
      <c r="M89" s="255"/>
      <c r="N89" s="255"/>
      <c r="O89" s="255"/>
      <c r="P89" s="255"/>
      <c r="Q89" s="255"/>
      <c r="R89" s="255"/>
      <c r="S89" s="255"/>
      <c r="T89" s="255"/>
      <c r="U89" s="255"/>
      <c r="V89" s="255"/>
      <c r="W89" s="311"/>
      <c r="X89" s="255"/>
      <c r="Y89" s="255"/>
      <c r="Z89" s="255"/>
      <c r="AA89" s="255"/>
      <c r="AB89" s="255"/>
      <c r="AC89" s="255"/>
      <c r="AD89" s="255"/>
      <c r="AE89" s="255"/>
      <c r="AF89" s="255"/>
      <c r="AG89" s="255"/>
    </row>
    <row r="90" spans="1:33" ht="12" customHeight="1">
      <c r="A90" s="255"/>
      <c r="B90" s="329"/>
      <c r="C90" s="365"/>
      <c r="D90" s="321"/>
      <c r="E90" s="321"/>
      <c r="F90" s="329"/>
      <c r="G90" s="255"/>
      <c r="H90" s="311"/>
      <c r="I90" s="255"/>
      <c r="J90" s="255"/>
      <c r="K90" s="255"/>
      <c r="L90" s="255"/>
      <c r="M90" s="255"/>
      <c r="N90" s="255"/>
      <c r="O90" s="255"/>
      <c r="P90" s="255"/>
      <c r="Q90" s="255"/>
      <c r="R90" s="255"/>
      <c r="S90" s="255"/>
      <c r="T90" s="255"/>
      <c r="U90" s="255"/>
      <c r="V90" s="255"/>
      <c r="W90" s="311"/>
      <c r="X90" s="255"/>
      <c r="Y90" s="255"/>
      <c r="Z90" s="255"/>
      <c r="AA90" s="255"/>
      <c r="AB90" s="255"/>
      <c r="AC90" s="255"/>
      <c r="AD90" s="255"/>
      <c r="AE90" s="255"/>
      <c r="AF90" s="255"/>
      <c r="AG90" s="255"/>
    </row>
    <row r="91" spans="1:33" ht="12" customHeight="1">
      <c r="A91" s="255"/>
      <c r="B91" s="329"/>
      <c r="C91" s="365"/>
      <c r="D91" s="321"/>
      <c r="E91" s="321"/>
      <c r="F91" s="329"/>
      <c r="G91" s="255"/>
      <c r="H91" s="311"/>
      <c r="I91" s="255"/>
      <c r="J91" s="255"/>
      <c r="K91" s="255"/>
      <c r="L91" s="255"/>
      <c r="M91" s="255"/>
      <c r="N91" s="255"/>
      <c r="O91" s="255"/>
      <c r="P91" s="255"/>
      <c r="Q91" s="255"/>
      <c r="R91" s="255"/>
      <c r="S91" s="255"/>
      <c r="T91" s="255"/>
      <c r="U91" s="255"/>
      <c r="V91" s="255"/>
      <c r="W91" s="311"/>
      <c r="X91" s="255"/>
      <c r="Y91" s="255"/>
      <c r="Z91" s="255"/>
      <c r="AA91" s="255"/>
      <c r="AB91" s="255"/>
      <c r="AC91" s="255"/>
      <c r="AD91" s="255"/>
      <c r="AE91" s="255"/>
      <c r="AF91" s="255"/>
      <c r="AG91" s="255"/>
    </row>
    <row r="92" spans="1:33" ht="12" customHeight="1">
      <c r="A92" s="255"/>
      <c r="B92" s="329"/>
      <c r="C92" s="365"/>
      <c r="D92" s="321"/>
      <c r="E92" s="321"/>
      <c r="F92" s="329"/>
      <c r="G92" s="255"/>
      <c r="H92" s="311"/>
      <c r="I92" s="255"/>
      <c r="J92" s="255"/>
      <c r="K92" s="255"/>
      <c r="L92" s="255"/>
      <c r="M92" s="255"/>
      <c r="N92" s="255"/>
      <c r="O92" s="255"/>
      <c r="P92" s="255"/>
      <c r="Q92" s="255"/>
      <c r="R92" s="255"/>
      <c r="S92" s="255"/>
      <c r="T92" s="255"/>
      <c r="U92" s="255"/>
      <c r="V92" s="255"/>
      <c r="W92" s="311"/>
      <c r="X92" s="255"/>
      <c r="Y92" s="255"/>
      <c r="Z92" s="255"/>
      <c r="AA92" s="255"/>
      <c r="AB92" s="255"/>
      <c r="AC92" s="255"/>
      <c r="AD92" s="255"/>
      <c r="AE92" s="255"/>
      <c r="AF92" s="255"/>
      <c r="AG92" s="255"/>
    </row>
    <row r="93" spans="1:33" ht="12" customHeight="1">
      <c r="A93" s="255"/>
      <c r="B93" s="329"/>
      <c r="C93" s="365"/>
      <c r="D93" s="321"/>
      <c r="E93" s="321"/>
      <c r="F93" s="329"/>
      <c r="G93" s="255"/>
      <c r="H93" s="311"/>
      <c r="I93" s="255"/>
      <c r="J93" s="255"/>
      <c r="K93" s="255"/>
      <c r="L93" s="255"/>
      <c r="M93" s="255"/>
      <c r="N93" s="255"/>
      <c r="O93" s="255"/>
      <c r="P93" s="255"/>
      <c r="Q93" s="255"/>
      <c r="R93" s="255"/>
      <c r="S93" s="255"/>
      <c r="T93" s="255"/>
      <c r="U93" s="255"/>
      <c r="V93" s="255"/>
      <c r="W93" s="311"/>
      <c r="X93" s="255"/>
      <c r="Y93" s="255"/>
      <c r="Z93" s="255"/>
      <c r="AA93" s="255"/>
      <c r="AB93" s="255"/>
      <c r="AC93" s="255"/>
      <c r="AD93" s="255"/>
      <c r="AE93" s="255"/>
      <c r="AF93" s="255"/>
      <c r="AG93" s="255"/>
    </row>
    <row r="94" spans="1:33" ht="12" customHeight="1"/>
    <row r="95" spans="1:33" ht="12" customHeight="1"/>
    <row r="96" spans="1:3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D12 D16 D20 D24 D28 D32 D36 D40 D44 D48 D52 D56 D60 D64 H6 H14 H22 H30 H38 H46 H54 H62 L10 L26 L42 L58 P18 P50 T34 T56">
    <cfRule type="expression" dxfId="41" priority="1">
      <formula>IF(N(I62)&gt;N(I63),TRUE,FALSE)</formula>
    </cfRule>
  </conditionalFormatting>
  <conditionalFormatting sqref="C4 C8 C12 C16 C20 C24 C28 C32 C36 C40 C44 C48 C52 C56 C60 C64 G6 G14 G22 G30 G38 G46 G54 G62 K10 K26 K42 K58 O18 O50 S56">
    <cfRule type="expression" dxfId="40" priority="2">
      <formula>IF(N(E4)&gt;N(E5),TRUE,FALSE)</formula>
    </cfRule>
  </conditionalFormatting>
  <conditionalFormatting sqref="E4 E8 E12 E16 E20 E24 E28 E32 E36 E40 E44 E48 E52 E56 E60 E64 I6 I14 I22 I30 I38 I46 I54 I62 M10 M26 M42 M58 Q18 Q50 U34 U56">
    <cfRule type="expression" dxfId="39" priority="3">
      <formula>IF(N(I54)&gt;N(I55),TRUE,FALSE)</formula>
    </cfRule>
  </conditionalFormatting>
  <conditionalFormatting sqref="C5 C9 C13 C17 C21 C25 C29 C33 C37 C41 C45 C49 C53 C57 C61 C65 G7 G15 G23 G31 G39 G47 G55 G63 K11 K27 K43 K59 O19 O51 S35 S57">
    <cfRule type="expression" dxfId="38" priority="4">
      <formula>IF(N(E5)&gt;N(E4),TRUE,FALSE)</formula>
    </cfRule>
  </conditionalFormatting>
  <conditionalFormatting sqref="H7 H15 H23 H31 H39 H47 H55 H63 L11 L27 L43 L59 P19 P51 T35 T57">
    <cfRule type="expression" dxfId="37" priority="5">
      <formula>IF(N(U57)&gt;N(U56),TRUE,FALSE)</formula>
    </cfRule>
  </conditionalFormatting>
  <conditionalFormatting sqref="E5 E9 E13 E17 E21 E25 E29 E33 E37 E41 E45 E49 E53 E57 E61 E65 I7 I15 I23 I31 I39 I47 I55 I63 M11 M27 M43 M59 Q19 Q51 U35 U57">
    <cfRule type="expression" dxfId="36" priority="6">
      <formula>IF(N(I55)&gt;N(I54),TRUE,FALSE)</formula>
    </cfRule>
  </conditionalFormatting>
  <conditionalFormatting sqref="D5 D9 D13 D17 D21 D25 D29 D33 D37 D41 D45 D49 D53 D57 D61 D65">
    <cfRule type="expression" dxfId="35" priority="7">
      <formula>IF(N(E5)&gt;N(E4),TRUE,FALSE)</formula>
    </cfRule>
  </conditionalFormatting>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100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375" defaultRowHeight="15" customHeight="1"/>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2.875" customWidth="1"/>
    <col min="17" max="17" width="5" customWidth="1"/>
    <col min="18" max="18" width="2.375" customWidth="1"/>
    <col min="19" max="19" width="0.375" customWidth="1"/>
    <col min="20" max="20" width="25.375" customWidth="1"/>
    <col min="21" max="21" width="5" customWidth="1"/>
    <col min="22" max="30" width="8" customWidth="1"/>
  </cols>
  <sheetData>
    <row r="1" spans="1:30" ht="12" customHeight="1">
      <c r="B1" s="268"/>
      <c r="C1" s="288"/>
      <c r="D1" s="288"/>
      <c r="E1" s="288"/>
      <c r="F1" s="288"/>
      <c r="G1" s="288"/>
      <c r="H1" s="288"/>
      <c r="I1" s="288"/>
      <c r="J1" s="288"/>
      <c r="K1" s="288"/>
      <c r="L1" s="288"/>
      <c r="M1" s="288"/>
      <c r="N1" s="288"/>
      <c r="O1" s="288"/>
      <c r="P1" s="288"/>
      <c r="R1" s="255"/>
      <c r="S1" s="255"/>
      <c r="T1" s="255"/>
      <c r="U1" s="255"/>
      <c r="V1" s="293"/>
      <c r="W1" s="255"/>
      <c r="X1" s="255"/>
      <c r="Y1" s="255"/>
      <c r="Z1" s="293"/>
      <c r="AA1" s="255"/>
    </row>
    <row r="2" spans="1:30" ht="32.25" customHeight="1">
      <c r="A2" s="289"/>
      <c r="B2" s="290"/>
      <c r="C2" s="291">
        <v>16</v>
      </c>
      <c r="D2" s="292" t="s">
        <v>1883</v>
      </c>
      <c r="E2" s="293"/>
      <c r="F2" s="255"/>
      <c r="G2" s="294">
        <v>8</v>
      </c>
      <c r="H2" s="292" t="s">
        <v>1883</v>
      </c>
      <c r="I2" s="293"/>
      <c r="J2" s="255"/>
      <c r="K2" s="294">
        <v>4</v>
      </c>
      <c r="L2" s="292" t="s">
        <v>1884</v>
      </c>
      <c r="M2" s="255"/>
      <c r="N2" s="255"/>
      <c r="O2" s="294">
        <v>2</v>
      </c>
      <c r="P2" s="292" t="s">
        <v>1885</v>
      </c>
      <c r="Q2" s="255"/>
      <c r="R2" s="255"/>
      <c r="S2" s="294">
        <v>1</v>
      </c>
      <c r="T2" s="295" t="s">
        <v>1886</v>
      </c>
      <c r="U2" s="255"/>
      <c r="V2" s="255"/>
      <c r="W2" s="255"/>
      <c r="X2" s="255"/>
      <c r="Y2" s="255"/>
      <c r="Z2" s="293"/>
      <c r="AA2" s="255"/>
    </row>
    <row r="3" spans="1:30" ht="28.5" customHeight="1">
      <c r="A3" s="255"/>
      <c r="B3" s="296"/>
      <c r="C3" s="381"/>
      <c r="D3" s="298" t="s">
        <v>1887</v>
      </c>
      <c r="E3" s="299">
        <v>2</v>
      </c>
      <c r="F3" s="300"/>
      <c r="G3" s="300"/>
      <c r="H3" s="302"/>
      <c r="I3" s="303"/>
      <c r="J3" s="300"/>
      <c r="K3" s="300"/>
      <c r="L3" s="302"/>
      <c r="M3" s="303"/>
      <c r="N3" s="300"/>
      <c r="O3" s="300"/>
      <c r="P3" s="302"/>
      <c r="Q3" s="303"/>
      <c r="R3" s="300"/>
      <c r="S3" s="300"/>
      <c r="T3" s="304"/>
      <c r="U3" s="382"/>
      <c r="V3" s="293"/>
      <c r="W3" s="255"/>
      <c r="X3" s="255"/>
      <c r="Y3" s="255"/>
      <c r="Z3" s="293"/>
      <c r="AA3" s="255"/>
    </row>
    <row r="4" spans="1:30" ht="18" customHeight="1">
      <c r="A4" s="305" t="str">
        <f>VLOOKUP(C4,Postupy!$A$3:$C$18,3,0)</f>
        <v>A1</v>
      </c>
      <c r="B4" s="255"/>
      <c r="C4" s="307">
        <v>1</v>
      </c>
      <c r="D4" s="373" t="str">
        <f ca="1">VLOOKUP(C4,Postupy!$A$3:$AT$18,46,0)</f>
        <v>Carreau Brno - Michálek Ivo</v>
      </c>
      <c r="E4" s="309">
        <v>1</v>
      </c>
      <c r="F4" s="310"/>
      <c r="G4" s="255"/>
      <c r="H4" s="383"/>
      <c r="I4" s="255"/>
      <c r="J4" s="255"/>
      <c r="K4" s="255"/>
      <c r="L4" s="317"/>
      <c r="M4" s="255"/>
      <c r="N4" s="255"/>
      <c r="O4" s="255"/>
      <c r="P4" s="255"/>
      <c r="Q4" s="255"/>
      <c r="R4" s="255"/>
      <c r="S4" s="255"/>
      <c r="T4" s="311"/>
      <c r="U4" s="255"/>
      <c r="V4" s="255"/>
      <c r="W4" s="255"/>
      <c r="X4" s="255"/>
      <c r="Y4" s="255"/>
      <c r="Z4" s="255"/>
      <c r="AA4" s="255"/>
      <c r="AB4" s="255"/>
    </row>
    <row r="5" spans="1:30" ht="18" customHeight="1">
      <c r="A5" s="305" t="str">
        <f>VLOOKUP(C5,Postupy!$A$3:$C$18,3,0)</f>
        <v>B2</v>
      </c>
      <c r="B5" s="255"/>
      <c r="C5" s="312">
        <v>16</v>
      </c>
      <c r="D5" s="373" t="str">
        <f ca="1">VLOOKUP(C5,Postupy!$A$3:$AT$18,46,0)</f>
        <v>UBU Únětice - Kot Pavel</v>
      </c>
      <c r="E5" s="314">
        <f>VLOOKUP(C5,Postupy!$A$3:$AU$18,47,0)</f>
        <v>0</v>
      </c>
      <c r="F5" s="315"/>
      <c r="G5" s="326"/>
      <c r="H5" s="298" t="s">
        <v>1887</v>
      </c>
      <c r="I5" s="299" t="str">
        <f ca="1">IF(OR(TRIM(H6)="-",TRIM(H7)="-"),"",VLOOKUP(MIN(G6,G7),Hřiště!$B$11:$E$42,4,0))</f>
        <v/>
      </c>
      <c r="J5" s="255"/>
      <c r="K5" s="255"/>
      <c r="L5" s="317"/>
      <c r="M5" s="255"/>
      <c r="N5" s="255"/>
      <c r="O5" s="255"/>
      <c r="P5" s="255"/>
      <c r="Q5" s="255"/>
      <c r="R5" s="255"/>
      <c r="S5" s="255"/>
      <c r="T5" s="311"/>
      <c r="U5" s="255"/>
      <c r="V5" s="255"/>
      <c r="W5" s="255"/>
      <c r="X5" s="255"/>
      <c r="Y5" s="255"/>
      <c r="Z5" s="255"/>
      <c r="AA5" s="255"/>
      <c r="AB5" s="255"/>
    </row>
    <row r="6" spans="1:30" ht="18" customHeight="1">
      <c r="A6" s="318"/>
      <c r="B6" s="365"/>
      <c r="C6" s="268"/>
      <c r="D6" s="384"/>
      <c r="E6" s="268"/>
      <c r="F6" s="255"/>
      <c r="G6" s="307">
        <v>1</v>
      </c>
      <c r="H6" s="308" t="str">
        <f ca="1">IF(OR(TRIM(D4)="-",TRIM(D5)="-"),IF(TRIM(D4)="-",D5,D4),IF(AND(E4="",E5="")," ",IF(N(E4)=N(E5)," ",IF(N(E4)&gt;N(E5),D4,D5))))</f>
        <v>Carreau Brno - Michálek Ivo</v>
      </c>
      <c r="I6" s="309">
        <f>VLOOKUP(G6,Postupy!$A$3:$AW$18,49,0)</f>
        <v>0</v>
      </c>
      <c r="J6" s="310"/>
      <c r="K6" s="293"/>
      <c r="L6" s="327"/>
      <c r="M6" s="293"/>
      <c r="N6" s="255"/>
      <c r="O6" s="255"/>
      <c r="P6" s="255"/>
      <c r="Q6" s="255"/>
      <c r="R6" s="255"/>
      <c r="S6" s="255"/>
      <c r="T6" s="255"/>
      <c r="U6" s="255"/>
      <c r="V6" s="293"/>
      <c r="W6" s="255"/>
      <c r="X6" s="255"/>
      <c r="Y6" s="255"/>
      <c r="Z6" s="293"/>
      <c r="AA6" s="255"/>
      <c r="AB6" s="255"/>
      <c r="AC6" s="255"/>
      <c r="AD6" s="311"/>
    </row>
    <row r="7" spans="1:30" ht="18" customHeight="1">
      <c r="A7" s="323"/>
      <c r="B7" s="296"/>
      <c r="C7" s="255"/>
      <c r="D7" s="298" t="s">
        <v>1887</v>
      </c>
      <c r="E7" s="299">
        <v>4</v>
      </c>
      <c r="F7" s="255"/>
      <c r="G7" s="312">
        <v>8</v>
      </c>
      <c r="H7" s="313" t="str">
        <f ca="1">IF(OR(TRIM(D8)="-",TRIM(D9)="-"),IF(TRIM(D8)="-",D9,D8),IF(AND(E8="",E9="")," ",IF(N(E8)=N(E9)," ",IF(N(E8)&gt;N(E9),D8,D9))))</f>
        <v>Carreau Brno - Grepl Jiří</v>
      </c>
      <c r="I7" s="314">
        <f>VLOOKUP(G7,Postupy!$A$3:$AW$18,49,0)</f>
        <v>0</v>
      </c>
      <c r="J7" s="315"/>
      <c r="K7" s="326"/>
      <c r="L7" s="327"/>
      <c r="M7" s="293"/>
      <c r="N7" s="255"/>
      <c r="O7" s="255"/>
      <c r="P7" s="255"/>
      <c r="Q7" s="255"/>
      <c r="R7" s="255"/>
      <c r="S7" s="255"/>
      <c r="T7" s="255"/>
      <c r="U7" s="255"/>
      <c r="V7" s="293"/>
      <c r="W7" s="255"/>
      <c r="X7" s="255"/>
      <c r="Y7" s="255"/>
      <c r="Z7" s="293"/>
      <c r="AA7" s="255"/>
      <c r="AB7" s="255"/>
      <c r="AC7" s="255"/>
      <c r="AD7" s="255"/>
    </row>
    <row r="8" spans="1:30" ht="18" customHeight="1">
      <c r="A8" s="305" t="str">
        <f>VLOOKUP(C8,Postupy!$A$3:$C$18,3,0)</f>
        <v>G2</v>
      </c>
      <c r="B8" s="255"/>
      <c r="C8" s="307">
        <v>9</v>
      </c>
      <c r="D8" s="373" t="str">
        <f ca="1">VLOOKUP(C8,Postupy!$A$3:$AT$18,46,0)</f>
        <v>Orel Řečkovice - Olbort Tomáš</v>
      </c>
      <c r="E8" s="309">
        <f>VLOOKUP(C8,Postupy!$A$3:$AU$18,47,0)</f>
        <v>0</v>
      </c>
      <c r="F8" s="328"/>
      <c r="G8" s="326"/>
      <c r="H8" s="385"/>
      <c r="I8" s="293"/>
      <c r="J8" s="255"/>
      <c r="K8" s="326"/>
      <c r="L8" s="327"/>
      <c r="M8" s="293"/>
      <c r="N8" s="255"/>
      <c r="O8" s="255"/>
      <c r="P8" s="255"/>
      <c r="Q8" s="255"/>
      <c r="R8" s="255"/>
      <c r="S8" s="255"/>
      <c r="T8" s="255"/>
      <c r="U8" s="255"/>
      <c r="V8" s="293"/>
      <c r="W8" s="255"/>
      <c r="X8" s="255"/>
      <c r="Y8" s="255"/>
      <c r="Z8" s="293"/>
      <c r="AA8" s="255"/>
      <c r="AB8" s="255"/>
      <c r="AC8" s="255"/>
      <c r="AD8" s="255"/>
    </row>
    <row r="9" spans="1:30" ht="18" customHeight="1">
      <c r="A9" s="305" t="str">
        <f>VLOOKUP(C9,Postupy!$A$3:$C$18,3,0)</f>
        <v>H1</v>
      </c>
      <c r="B9" s="255"/>
      <c r="C9" s="312">
        <v>8</v>
      </c>
      <c r="D9" s="373" t="str">
        <f ca="1">VLOOKUP(C9,Postupy!$A$3:$AT$18,46,0)</f>
        <v>Carreau Brno - Grepl Jiří</v>
      </c>
      <c r="E9" s="314">
        <v>1</v>
      </c>
      <c r="F9" s="268"/>
      <c r="G9" s="255"/>
      <c r="H9" s="385"/>
      <c r="I9" s="255"/>
      <c r="J9" s="255"/>
      <c r="K9" s="326"/>
      <c r="L9" s="298" t="s">
        <v>1887</v>
      </c>
      <c r="M9" s="299" t="str">
        <f ca="1">IF(OR(TRIM(L10)="-",TRIM(L11)="-"),"",VLOOKUP(MIN(K10,K11),Hřiště!$B$11:$E$42,4,0))</f>
        <v/>
      </c>
      <c r="N9" s="255"/>
      <c r="O9" s="255"/>
      <c r="P9" s="255"/>
      <c r="Q9" s="255"/>
      <c r="R9" s="255"/>
      <c r="S9" s="255"/>
      <c r="T9" s="311"/>
      <c r="U9" s="255"/>
      <c r="V9" s="255"/>
      <c r="W9" s="255"/>
      <c r="X9" s="255"/>
      <c r="Y9" s="255"/>
      <c r="Z9" s="255"/>
      <c r="AA9" s="255"/>
      <c r="AB9" s="255"/>
    </row>
    <row r="10" spans="1:30" ht="18" customHeight="1">
      <c r="A10" s="318"/>
      <c r="B10" s="386"/>
      <c r="C10" s="387"/>
      <c r="D10" s="388"/>
      <c r="E10" s="255"/>
      <c r="F10" s="255"/>
      <c r="G10" s="255"/>
      <c r="H10" s="389"/>
      <c r="I10" s="311"/>
      <c r="J10" s="311"/>
      <c r="K10" s="307">
        <v>1</v>
      </c>
      <c r="L10" s="308" t="str">
        <f ca="1">IF(OR(TRIM(H6)="-",TRIM(H7)="-"),IF(TRIM(H6)="-",H7,H6),IF(AND(I6="",I7="")," ",IF(N(I6)=N(I7)," ",IF(N(I6)&gt;N(I7),H6,H7))))</f>
        <v xml:space="preserve"> </v>
      </c>
      <c r="M10" s="309">
        <f>VLOOKUP(K10,Postupy!$A$3:$AY$18,51,0)</f>
        <v>0</v>
      </c>
      <c r="N10" s="311"/>
      <c r="O10" s="269"/>
      <c r="P10" s="269"/>
      <c r="Q10" s="269"/>
      <c r="R10" s="255"/>
      <c r="S10" s="311"/>
      <c r="T10" s="255"/>
      <c r="U10" s="255"/>
      <c r="V10" s="255"/>
      <c r="W10" s="255"/>
      <c r="X10" s="255"/>
      <c r="Y10" s="255"/>
      <c r="Z10" s="255"/>
      <c r="AA10" s="255"/>
    </row>
    <row r="11" spans="1:30" ht="18" customHeight="1">
      <c r="A11" s="323"/>
      <c r="B11" s="365"/>
      <c r="C11" s="255"/>
      <c r="D11" s="298" t="s">
        <v>1887</v>
      </c>
      <c r="E11" s="299">
        <v>6</v>
      </c>
      <c r="F11" s="255"/>
      <c r="G11" s="255"/>
      <c r="H11" s="390"/>
      <c r="I11" s="311"/>
      <c r="J11" s="311"/>
      <c r="K11" s="312">
        <v>4</v>
      </c>
      <c r="L11" s="313" t="str">
        <f ca="1">IF(OR(TRIM(H14)="-",TRIM(H15)="-"),IF(TRIM(H14)="-",H15,H14),IF(AND(I14="",I15="")," ",IF(N(I14)=N(I15)," ",IF(N(I14)&gt;N(I15),H14,H15))))</f>
        <v xml:space="preserve"> </v>
      </c>
      <c r="M11" s="314">
        <f>VLOOKUP(K11,Postupy!$A$3:$AY$18,51,0)</f>
        <v>0</v>
      </c>
      <c r="N11" s="315"/>
      <c r="O11" s="342"/>
      <c r="P11" s="343"/>
      <c r="Q11" s="255"/>
      <c r="R11" s="255"/>
      <c r="S11" s="255"/>
      <c r="T11" s="255"/>
      <c r="U11" s="255"/>
      <c r="V11" s="255"/>
      <c r="W11" s="255"/>
      <c r="X11" s="255"/>
      <c r="Y11" s="293"/>
      <c r="Z11" s="255"/>
      <c r="AA11" s="255"/>
      <c r="AB11" s="255"/>
      <c r="AC11" s="311"/>
    </row>
    <row r="12" spans="1:30" ht="18" customHeight="1">
      <c r="A12" s="305" t="str">
        <f>VLOOKUP(C12,Postupy!$A$3:$C$18,3,0)</f>
        <v>E1</v>
      </c>
      <c r="B12" s="255"/>
      <c r="C12" s="307">
        <v>5</v>
      </c>
      <c r="D12" s="373" t="str">
        <f ca="1">VLOOKUP(C12,Postupy!$A$3:$AT$18,46,0)</f>
        <v>SKP Kulová osma - Krejčín Leoš</v>
      </c>
      <c r="E12" s="309">
        <v>3</v>
      </c>
      <c r="F12" s="310"/>
      <c r="G12" s="255"/>
      <c r="H12" s="390"/>
      <c r="I12" s="311"/>
      <c r="J12" s="322"/>
      <c r="K12" s="293"/>
      <c r="L12" s="385"/>
      <c r="M12" s="311"/>
      <c r="N12" s="311"/>
      <c r="O12" s="342"/>
      <c r="P12" s="343"/>
      <c r="Q12" s="311"/>
      <c r="R12" s="255"/>
      <c r="S12" s="311"/>
      <c r="T12" s="255"/>
      <c r="U12" s="255"/>
      <c r="V12" s="255"/>
      <c r="W12" s="255"/>
      <c r="X12" s="255"/>
      <c r="Y12" s="293"/>
      <c r="Z12" s="255"/>
      <c r="AA12" s="255"/>
      <c r="AB12" s="255"/>
      <c r="AC12" s="255"/>
    </row>
    <row r="13" spans="1:30" ht="18" customHeight="1">
      <c r="A13" s="305" t="str">
        <f>VLOOKUP(C13,Postupy!$A$3:$C$18,3,0)</f>
        <v>F2</v>
      </c>
      <c r="B13" s="255"/>
      <c r="C13" s="312">
        <v>12</v>
      </c>
      <c r="D13" s="373" t="str">
        <f ca="1">VLOOKUP(C13,Postupy!$A$3:$AT$18,46,0)</f>
        <v>SKP Hranice VI-Valšovice - Jakeš Zbyněk</v>
      </c>
      <c r="E13" s="314">
        <v>13</v>
      </c>
      <c r="F13" s="315"/>
      <c r="G13" s="326"/>
      <c r="H13" s="298" t="s">
        <v>1887</v>
      </c>
      <c r="I13" s="299" t="str">
        <f ca="1">IF(OR(TRIM(H14)="-",TRIM(H15)="-"),"",VLOOKUP(MIN(G14,G15),Hřiště!$B$11:$E$42,4,0))</f>
        <v/>
      </c>
      <c r="J13" s="322"/>
      <c r="K13" s="293"/>
      <c r="L13" s="388"/>
      <c r="M13" s="311"/>
      <c r="N13" s="311"/>
      <c r="O13" s="342"/>
      <c r="P13" s="343"/>
      <c r="Q13" s="311"/>
      <c r="R13" s="255"/>
      <c r="S13" s="311"/>
      <c r="T13" s="255"/>
      <c r="U13" s="255"/>
      <c r="V13" s="255"/>
      <c r="W13" s="255"/>
      <c r="X13" s="255"/>
      <c r="Y13" s="255"/>
      <c r="Z13" s="255"/>
      <c r="AA13" s="255"/>
    </row>
    <row r="14" spans="1:30" ht="18" customHeight="1">
      <c r="A14" s="318"/>
      <c r="B14" s="365"/>
      <c r="C14" s="255"/>
      <c r="D14" s="385"/>
      <c r="E14" s="255"/>
      <c r="F14" s="255"/>
      <c r="G14" s="307">
        <v>5</v>
      </c>
      <c r="H14" s="308" t="str">
        <f ca="1">IF(OR(TRIM(D12)="-",TRIM(D13)="-"),IF(TRIM(D12)="-",D13,D12),IF(AND(E12="",E13="")," ",IF(N(E12)=N(E13)," ",IF(N(E12)&gt;N(E13),D12,D13))))</f>
        <v>SKP Hranice VI-Valšovice - Jakeš Zbyněk</v>
      </c>
      <c r="I14" s="309">
        <f>VLOOKUP(G14,Postupy!$A$3:$AW$18,49,0)</f>
        <v>0</v>
      </c>
      <c r="J14" s="328"/>
      <c r="K14" s="255"/>
      <c r="L14" s="390"/>
      <c r="M14" s="311"/>
      <c r="N14" s="311"/>
      <c r="O14" s="342"/>
      <c r="P14" s="343"/>
      <c r="Q14" s="255"/>
      <c r="R14" s="255"/>
      <c r="S14" s="255"/>
      <c r="T14" s="255"/>
      <c r="U14" s="311"/>
      <c r="V14" s="255"/>
      <c r="W14" s="255"/>
      <c r="X14" s="255"/>
      <c r="Y14" s="311"/>
      <c r="Z14" s="255"/>
      <c r="AA14" s="255"/>
    </row>
    <row r="15" spans="1:30" ht="18" customHeight="1">
      <c r="A15" s="323"/>
      <c r="B15" s="296"/>
      <c r="C15" s="255"/>
      <c r="D15" s="298" t="s">
        <v>1887</v>
      </c>
      <c r="E15" s="299">
        <v>8</v>
      </c>
      <c r="F15" s="255"/>
      <c r="G15" s="312">
        <v>4</v>
      </c>
      <c r="H15" s="313" t="str">
        <f ca="1">IF(OR(TRIM(D16)="-",TRIM(D17)="-"),IF(TRIM(D16)="-",D17,D16),IF(AND(E16="",E17="")," ",IF(N(E16)=N(E17)," ",IF(N(E16)&gt;N(E17),D16,D17))))</f>
        <v>P.C.B.D. - Hejl ml. Pavel</v>
      </c>
      <c r="I15" s="314">
        <f>VLOOKUP(G15,Postupy!$A$3:$AW$18,49,0)</f>
        <v>0</v>
      </c>
      <c r="J15" s="268"/>
      <c r="K15" s="255"/>
      <c r="L15" s="390"/>
      <c r="M15" s="311"/>
      <c r="N15" s="311"/>
      <c r="O15" s="342"/>
      <c r="P15" s="343"/>
      <c r="Q15" s="255"/>
      <c r="R15" s="255"/>
      <c r="S15" s="255"/>
      <c r="T15" s="255"/>
      <c r="U15" s="311"/>
      <c r="V15" s="255"/>
      <c r="W15" s="255"/>
      <c r="X15" s="255"/>
      <c r="Y15" s="311"/>
      <c r="Z15" s="255"/>
      <c r="AA15" s="255"/>
    </row>
    <row r="16" spans="1:30" ht="19.5" customHeight="1">
      <c r="A16" s="305" t="str">
        <f>VLOOKUP(C16,Postupy!$A$3:$C$18,3,0)</f>
        <v>C2</v>
      </c>
      <c r="B16" s="255"/>
      <c r="C16" s="307">
        <v>13</v>
      </c>
      <c r="D16" s="373" t="str">
        <f ca="1">VLOOKUP(C16,Postupy!$A$3:$AT$18,46,0)</f>
        <v>Kulový blesk Olomouc - Hildenbrand Benjamin</v>
      </c>
      <c r="E16" s="309">
        <f>VLOOKUP(C16,Postupy!$A$3:$AU$18,47,0)</f>
        <v>0</v>
      </c>
      <c r="F16" s="328"/>
      <c r="G16" s="326"/>
      <c r="H16" s="385"/>
      <c r="I16" s="293"/>
      <c r="J16" s="255"/>
      <c r="K16" s="255"/>
      <c r="L16" s="390"/>
      <c r="M16" s="311"/>
      <c r="N16" s="311"/>
      <c r="O16" s="342"/>
      <c r="P16" s="355" t="s">
        <v>1885</v>
      </c>
      <c r="Q16" s="311"/>
      <c r="R16" s="255"/>
      <c r="S16" s="311"/>
      <c r="T16" s="317"/>
      <c r="U16" s="255"/>
      <c r="V16" s="255"/>
      <c r="W16" s="255"/>
      <c r="X16" s="255"/>
      <c r="Y16" s="255"/>
      <c r="Z16" s="255"/>
      <c r="AA16" s="255"/>
    </row>
    <row r="17" spans="1:29" ht="18" customHeight="1">
      <c r="A17" s="305" t="str">
        <f>VLOOKUP(C17,Postupy!$A$3:$C$18,3,0)</f>
        <v>D1</v>
      </c>
      <c r="B17" s="255"/>
      <c r="C17" s="312">
        <v>4</v>
      </c>
      <c r="D17" s="373" t="str">
        <f ca="1">VLOOKUP(C17,Postupy!$A$3:$AT$18,46,0)</f>
        <v>P.C.B.D. - Hejl ml. Pavel</v>
      </c>
      <c r="E17" s="314">
        <v>1</v>
      </c>
      <c r="F17" s="268"/>
      <c r="G17" s="255"/>
      <c r="H17" s="385"/>
      <c r="I17" s="255"/>
      <c r="J17" s="255"/>
      <c r="K17" s="255"/>
      <c r="L17" s="390"/>
      <c r="M17" s="311"/>
      <c r="N17" s="311"/>
      <c r="O17" s="391"/>
      <c r="P17" s="298" t="s">
        <v>1887</v>
      </c>
      <c r="Q17" s="299" t="str">
        <f ca="1">IF(OR(TRIM(P18)="-",TRIM(P19)="-"),"",VLOOKUP(MIN(O18,O19),Hřiště!$B$11:$E$42,4,0))</f>
        <v/>
      </c>
      <c r="R17" s="255"/>
      <c r="S17" s="311"/>
      <c r="T17" s="374"/>
      <c r="U17" s="255"/>
      <c r="V17" s="255"/>
      <c r="W17" s="255"/>
      <c r="X17" s="255"/>
      <c r="Y17" s="255"/>
      <c r="Z17" s="255"/>
      <c r="AA17" s="255"/>
    </row>
    <row r="18" spans="1:29" ht="18" customHeight="1">
      <c r="A18" s="318"/>
      <c r="B18" s="365"/>
      <c r="C18" s="255"/>
      <c r="D18" s="385"/>
      <c r="E18" s="255"/>
      <c r="F18" s="255"/>
      <c r="G18" s="255"/>
      <c r="H18" s="392"/>
      <c r="I18" s="255"/>
      <c r="J18" s="255"/>
      <c r="K18" s="255"/>
      <c r="L18" s="392"/>
      <c r="M18" s="255"/>
      <c r="N18" s="255"/>
      <c r="O18" s="307">
        <v>1</v>
      </c>
      <c r="P18" s="308" t="str">
        <f ca="1">IF(OR(TRIM(L10)="-",TRIM(L11)="-"),IF(TRIM(L10)="-",L11,L10),IF(AND(M10="",M11="")," ",IF(N(M10)=N(M11)," ",IF(N(M10)&gt;N(M11),L10,L11))))</f>
        <v xml:space="preserve"> </v>
      </c>
      <c r="Q18" s="309">
        <f>VLOOKUP(O18,Postupy!$A$3:$BA$6,53,0)</f>
        <v>0</v>
      </c>
      <c r="R18" s="328"/>
      <c r="S18" s="351">
        <v>1</v>
      </c>
      <c r="T18" s="363" t="str">
        <f>IF(AND(Q18="",Q19="")," ",IF(N(Q18)=N(Q19)," ",IF(N(Q18)&gt;N(Q19),P18,P19)))</f>
        <v xml:space="preserve"> </v>
      </c>
      <c r="U18" s="364">
        <v>1</v>
      </c>
      <c r="V18" s="255"/>
      <c r="W18" s="255"/>
      <c r="X18" s="255"/>
      <c r="Y18" s="255"/>
      <c r="Z18" s="255"/>
      <c r="AA18" s="255"/>
    </row>
    <row r="19" spans="1:29" ht="18" customHeight="1">
      <c r="A19" s="323"/>
      <c r="B19" s="296"/>
      <c r="C19" s="255"/>
      <c r="D19" s="298" t="s">
        <v>1887</v>
      </c>
      <c r="E19" s="299">
        <v>10</v>
      </c>
      <c r="F19" s="255"/>
      <c r="G19" s="255"/>
      <c r="H19" s="392"/>
      <c r="I19" s="255"/>
      <c r="J19" s="255"/>
      <c r="K19" s="255"/>
      <c r="L19" s="392"/>
      <c r="M19" s="255"/>
      <c r="N19" s="255"/>
      <c r="O19" s="312">
        <v>2</v>
      </c>
      <c r="P19" s="313" t="str">
        <f ca="1">IF(OR(TRIM(L26)="-",TRIM(L27)="-"),IF(TRIM(L26)="-",L27,L26),IF(AND(M26="",M27="")," ",IF(N(M26)=N(M27)," ",IF(N(M26)&gt;N(M27),L26,L27))))</f>
        <v xml:space="preserve"> </v>
      </c>
      <c r="Q19" s="314">
        <f>VLOOKUP(O19,Postupy!$A$3:$BA$6,53,0)</f>
        <v>0</v>
      </c>
      <c r="R19" s="255"/>
      <c r="S19" s="351">
        <v>2</v>
      </c>
      <c r="T19" s="367" t="str">
        <f>IF(AND(Q18="",Q19="")," ",IF(N(Q19)=N(Q18)," ",IF(N(Q19)&gt;N(Q18),P18,P19)))</f>
        <v xml:space="preserve"> </v>
      </c>
      <c r="U19" s="368">
        <v>2</v>
      </c>
      <c r="V19" s="255"/>
      <c r="W19" s="255"/>
      <c r="X19" s="255"/>
      <c r="Y19" s="255"/>
      <c r="Z19" s="255"/>
      <c r="AA19" s="255"/>
    </row>
    <row r="20" spans="1:29" ht="18" customHeight="1">
      <c r="A20" s="305" t="str">
        <f>VLOOKUP(C20,Postupy!$A$3:$C$18,3,0)</f>
        <v>C1</v>
      </c>
      <c r="B20" s="255"/>
      <c r="C20" s="307">
        <v>3</v>
      </c>
      <c r="D20" s="373" t="str">
        <f ca="1">VLOOKUP(C20,Postupy!$A$3:$AT$18,46,0)</f>
        <v>SKP Hranice VI-Valšovice - Kutá Miloslava</v>
      </c>
      <c r="E20" s="309">
        <v>13</v>
      </c>
      <c r="F20" s="310"/>
      <c r="G20" s="255"/>
      <c r="H20" s="392"/>
      <c r="I20" s="255"/>
      <c r="J20" s="255"/>
      <c r="K20" s="255"/>
      <c r="L20" s="390"/>
      <c r="M20" s="311"/>
      <c r="N20" s="311"/>
      <c r="O20" s="326"/>
      <c r="P20" s="317"/>
      <c r="Q20" s="293"/>
      <c r="R20" s="255"/>
      <c r="S20" s="255"/>
      <c r="T20" s="255"/>
      <c r="U20" s="255"/>
      <c r="V20" s="255"/>
      <c r="W20" s="255"/>
      <c r="X20" s="255"/>
      <c r="Y20" s="255"/>
      <c r="Z20" s="255"/>
      <c r="AA20" s="255"/>
    </row>
    <row r="21" spans="1:29" ht="18" customHeight="1">
      <c r="A21" s="305" t="str">
        <f>VLOOKUP(C21,Postupy!$A$3:$C$18,3,0)</f>
        <v>D2</v>
      </c>
      <c r="B21" s="255"/>
      <c r="C21" s="312">
        <v>14</v>
      </c>
      <c r="D21" s="373" t="str">
        <f ca="1">VLOOKUP(C21,Postupy!$A$3:$AT$18,46,0)</f>
        <v>PAK Albrechtice - Valík Václav</v>
      </c>
      <c r="E21" s="314">
        <v>0</v>
      </c>
      <c r="F21" s="315"/>
      <c r="G21" s="326"/>
      <c r="H21" s="298" t="s">
        <v>1887</v>
      </c>
      <c r="I21" s="299">
        <v>10</v>
      </c>
      <c r="J21" s="255"/>
      <c r="K21" s="255"/>
      <c r="L21" s="390"/>
      <c r="M21" s="311"/>
      <c r="N21" s="311"/>
      <c r="O21" s="326"/>
      <c r="P21" s="317"/>
      <c r="Q21" s="293"/>
      <c r="R21" s="255"/>
      <c r="S21" s="255"/>
      <c r="T21" s="255"/>
      <c r="U21" s="255"/>
      <c r="V21" s="255"/>
      <c r="W21" s="255"/>
      <c r="X21" s="255"/>
      <c r="Y21" s="255"/>
      <c r="Z21" s="255"/>
      <c r="AA21" s="255"/>
    </row>
    <row r="22" spans="1:29" ht="18" customHeight="1">
      <c r="A22" s="318"/>
      <c r="B22" s="365"/>
      <c r="C22" s="255"/>
      <c r="D22" s="385"/>
      <c r="E22" s="255"/>
      <c r="F22" s="255"/>
      <c r="G22" s="307">
        <v>3</v>
      </c>
      <c r="H22" s="308" t="str">
        <f ca="1">IF(OR(TRIM(D20)="-",TRIM(D21)="-"),IF(TRIM(D20)="-",D21,D20),IF(AND(E20="",E21="")," ",IF(N(E20)=N(E21)," ",IF(N(E20)&gt;N(E21),D20,D21))))</f>
        <v>SKP Hranice VI-Valšovice - Kutá Miloslava</v>
      </c>
      <c r="I22" s="309">
        <f>VLOOKUP(G22,Postupy!$A$3:$AW$18,49,0)</f>
        <v>0</v>
      </c>
      <c r="J22" s="310"/>
      <c r="K22" s="293"/>
      <c r="L22" s="390"/>
      <c r="M22" s="311"/>
      <c r="N22" s="311"/>
      <c r="O22" s="326"/>
      <c r="P22" s="293"/>
      <c r="Q22" s="293"/>
      <c r="R22" s="255"/>
      <c r="S22" s="255"/>
      <c r="T22" s="255"/>
      <c r="U22" s="255"/>
      <c r="V22" s="255"/>
      <c r="W22" s="255"/>
      <c r="X22" s="311"/>
      <c r="Y22" s="255"/>
      <c r="Z22" s="255"/>
    </row>
    <row r="23" spans="1:29" ht="18" customHeight="1">
      <c r="A23" s="323"/>
      <c r="B23" s="296"/>
      <c r="C23" s="255"/>
      <c r="D23" s="298" t="s">
        <v>1887</v>
      </c>
      <c r="E23" s="299">
        <v>12</v>
      </c>
      <c r="F23" s="255"/>
      <c r="G23" s="312">
        <v>6</v>
      </c>
      <c r="H23" s="313" t="str">
        <f ca="1">IF(OR(TRIM(D24)="-",TRIM(D25)="-"),IF(TRIM(D24)="-",D25,D24),IF(AND(E24="",E25="")," ",IF(N(E24)=N(E25)," ",IF(N(E24)&gt;N(E25),D24,D25))))</f>
        <v>HRODE KRUMSÍN - Krpec Miroslav</v>
      </c>
      <c r="I23" s="314">
        <f>VLOOKUP(G23,Postupy!$A$3:$AW$18,49,0)</f>
        <v>0</v>
      </c>
      <c r="J23" s="315"/>
      <c r="K23" s="326"/>
      <c r="L23" s="390"/>
      <c r="M23" s="311"/>
      <c r="N23" s="311"/>
      <c r="O23" s="326"/>
      <c r="P23" s="293"/>
      <c r="Q23" s="293"/>
      <c r="R23" s="255"/>
      <c r="S23" s="255"/>
      <c r="T23" s="255"/>
      <c r="U23" s="311"/>
      <c r="V23" s="255"/>
      <c r="W23" s="255"/>
      <c r="X23" s="311"/>
      <c r="Y23" s="255"/>
      <c r="Z23" s="255"/>
      <c r="AA23" s="311"/>
      <c r="AB23" s="255"/>
      <c r="AC23" s="255"/>
    </row>
    <row r="24" spans="1:29" ht="18" customHeight="1">
      <c r="A24" s="305" t="str">
        <f>VLOOKUP(C24,Postupy!$A$3:$C$18,3,0)</f>
        <v>E2</v>
      </c>
      <c r="B24" s="255"/>
      <c r="C24" s="307">
        <v>11</v>
      </c>
      <c r="D24" s="373" t="str">
        <f ca="1">VLOOKUP(C24,Postupy!$A$3:$AT$18,46,0)</f>
        <v>HRODE KRUMSÍN - Krpec Miroslav</v>
      </c>
      <c r="E24" s="309">
        <v>13</v>
      </c>
      <c r="F24" s="328"/>
      <c r="G24" s="326"/>
      <c r="H24" s="385"/>
      <c r="I24" s="293"/>
      <c r="J24" s="255"/>
      <c r="K24" s="326"/>
      <c r="L24" s="390"/>
      <c r="M24" s="311"/>
      <c r="N24" s="311"/>
      <c r="O24" s="326"/>
      <c r="P24" s="293"/>
      <c r="Q24" s="293"/>
      <c r="R24" s="255"/>
      <c r="S24" s="255"/>
      <c r="T24" s="255"/>
      <c r="U24" s="255"/>
      <c r="V24" s="255"/>
      <c r="W24" s="255"/>
      <c r="X24" s="255"/>
      <c r="Y24" s="255"/>
      <c r="Z24" s="255"/>
      <c r="AA24" s="255"/>
    </row>
    <row r="25" spans="1:29" ht="18" customHeight="1">
      <c r="A25" s="305" t="str">
        <f>VLOOKUP(C25,Postupy!$A$3:$C$18,3,0)</f>
        <v>F1</v>
      </c>
      <c r="B25" s="255"/>
      <c r="C25" s="312">
        <v>6</v>
      </c>
      <c r="D25" s="373" t="str">
        <f ca="1">VLOOKUP(C25,Postupy!$A$3:$AT$18,46,0)</f>
        <v>TOP - ORLOVÁ - Bačo David</v>
      </c>
      <c r="E25" s="314">
        <v>5</v>
      </c>
      <c r="F25" s="268"/>
      <c r="G25" s="255"/>
      <c r="H25" s="385"/>
      <c r="I25" s="255"/>
      <c r="J25" s="255"/>
      <c r="K25" s="326"/>
      <c r="L25" s="298" t="s">
        <v>1887</v>
      </c>
      <c r="M25" s="299" t="str">
        <f ca="1">IF(OR(TRIM(L26)="-",TRIM(L27)="-"),"",VLOOKUP(MIN(K26,K27),Hřiště!$B$11:$E$42,4,0))</f>
        <v/>
      </c>
      <c r="N25" s="311"/>
      <c r="O25" s="326"/>
      <c r="P25" s="293"/>
      <c r="Q25" s="293"/>
      <c r="R25" s="255"/>
      <c r="S25" s="255"/>
      <c r="T25" s="255"/>
      <c r="U25" s="255"/>
      <c r="V25" s="255"/>
      <c r="W25" s="255"/>
      <c r="X25" s="255"/>
      <c r="Y25" s="255"/>
      <c r="Z25" s="255"/>
      <c r="AA25" s="255"/>
    </row>
    <row r="26" spans="1:29" ht="18" customHeight="1">
      <c r="A26" s="318"/>
      <c r="B26" s="365"/>
      <c r="C26" s="255"/>
      <c r="D26" s="385"/>
      <c r="E26" s="255"/>
      <c r="F26" s="255"/>
      <c r="G26" s="255"/>
      <c r="H26" s="390"/>
      <c r="I26" s="311"/>
      <c r="J26" s="311"/>
      <c r="K26" s="307">
        <v>3</v>
      </c>
      <c r="L26" s="308" t="str">
        <f ca="1">IF(OR(TRIM(H22)="-",TRIM(H23)="-"),IF(TRIM(H22)="-",H23,H22),IF(AND(I22="",I23="")," ",IF(N(I22)=N(I23)," ",IF(N(I22)&gt;N(I23),H22,H23))))</f>
        <v xml:space="preserve"> </v>
      </c>
      <c r="M26" s="309">
        <f>VLOOKUP(K26,Postupy!$A$3:$AY$18,51,0)</f>
        <v>0</v>
      </c>
      <c r="N26" s="328"/>
      <c r="O26" s="326"/>
      <c r="P26" s="293"/>
      <c r="Q26" s="293"/>
      <c r="R26" s="255"/>
      <c r="S26" s="255"/>
      <c r="T26" s="255"/>
      <c r="U26" s="255"/>
      <c r="V26" s="255"/>
      <c r="W26" s="255"/>
      <c r="X26" s="255"/>
      <c r="Y26" s="255"/>
      <c r="Z26" s="255"/>
      <c r="AA26" s="255"/>
    </row>
    <row r="27" spans="1:29" ht="18" customHeight="1">
      <c r="A27" s="323"/>
      <c r="B27" s="296"/>
      <c r="C27" s="255"/>
      <c r="D27" s="298" t="s">
        <v>1887</v>
      </c>
      <c r="E27" s="299">
        <v>14</v>
      </c>
      <c r="F27" s="255"/>
      <c r="G27" s="255"/>
      <c r="H27" s="390"/>
      <c r="I27" s="311"/>
      <c r="J27" s="311"/>
      <c r="K27" s="312">
        <v>2</v>
      </c>
      <c r="L27" s="313" t="str">
        <f ca="1">IF(OR(TRIM(H30)="-",TRIM(H31)="-"),IF(TRIM(H30)="-",H31,H30),IF(AND(I30="",I31="")," ",IF(N(I30)=N(I31)," ",IF(N(I30)&gt;N(I31),H30,H31))))</f>
        <v xml:space="preserve"> </v>
      </c>
      <c r="M27" s="314">
        <f>VLOOKUP(K27,Postupy!$A$3:$AY$18,51,0)</f>
        <v>0</v>
      </c>
      <c r="N27" s="268"/>
      <c r="O27" s="255"/>
      <c r="P27" s="255"/>
      <c r="Q27" s="255"/>
      <c r="R27" s="255"/>
      <c r="S27" s="255"/>
      <c r="T27" s="255"/>
      <c r="U27" s="255"/>
      <c r="V27" s="255"/>
      <c r="W27" s="255"/>
      <c r="X27" s="255"/>
      <c r="Y27" s="255"/>
      <c r="Z27" s="255"/>
      <c r="AA27" s="255"/>
    </row>
    <row r="28" spans="1:29" ht="18" customHeight="1">
      <c r="A28" s="305" t="str">
        <f>VLOOKUP(C28,Postupy!$A$3:$C$18,3,0)</f>
        <v>G1</v>
      </c>
      <c r="B28" s="255"/>
      <c r="C28" s="307">
        <v>7</v>
      </c>
      <c r="D28" s="373" t="str">
        <f ca="1">VLOOKUP(C28,Postupy!$A$3:$AT$18,46,0)</f>
        <v>Carreau Brno - Hodboď Pavel</v>
      </c>
      <c r="E28" s="309">
        <v>13</v>
      </c>
      <c r="F28" s="310"/>
      <c r="G28" s="255"/>
      <c r="H28" s="390"/>
      <c r="I28" s="311"/>
      <c r="J28" s="322"/>
      <c r="K28" s="293"/>
      <c r="L28" s="317"/>
      <c r="M28" s="293"/>
      <c r="N28" s="255"/>
      <c r="O28" s="255"/>
      <c r="P28" s="255"/>
      <c r="Q28" s="255"/>
      <c r="R28" s="255"/>
      <c r="S28" s="255"/>
      <c r="T28" s="255"/>
      <c r="U28" s="255"/>
      <c r="V28" s="255"/>
      <c r="W28" s="255"/>
      <c r="X28" s="255"/>
      <c r="Y28" s="255"/>
      <c r="Z28" s="255"/>
      <c r="AA28" s="255"/>
    </row>
    <row r="29" spans="1:29" ht="18" customHeight="1">
      <c r="A29" s="305" t="str">
        <f>VLOOKUP(C29,Postupy!$A$3:$C$18,3,0)</f>
        <v>H2</v>
      </c>
      <c r="B29" s="255"/>
      <c r="C29" s="312">
        <v>10</v>
      </c>
      <c r="D29" s="373" t="str">
        <f ca="1">VLOOKUP(C29,Postupy!$A$3:$AT$18,46,0)</f>
        <v>SOKOL Staříč - Šimíček Ladislav</v>
      </c>
      <c r="E29" s="314">
        <v>9</v>
      </c>
      <c r="F29" s="315"/>
      <c r="G29" s="326"/>
      <c r="H29" s="298" t="s">
        <v>1887</v>
      </c>
      <c r="I29" s="299">
        <v>19</v>
      </c>
      <c r="J29" s="322"/>
      <c r="K29" s="293"/>
      <c r="L29" s="317"/>
      <c r="M29" s="293"/>
      <c r="N29" s="255"/>
      <c r="O29" s="255"/>
      <c r="P29" s="370" t="s">
        <v>1888</v>
      </c>
      <c r="Q29" s="255"/>
      <c r="R29" s="255"/>
      <c r="S29" s="255"/>
      <c r="T29" s="255"/>
      <c r="U29" s="255"/>
      <c r="V29" s="255"/>
      <c r="W29" s="255"/>
      <c r="X29" s="255"/>
      <c r="Y29" s="255"/>
      <c r="Z29" s="255"/>
      <c r="AA29" s="255"/>
    </row>
    <row r="30" spans="1:29" ht="18" customHeight="1">
      <c r="A30" s="318"/>
      <c r="B30" s="365"/>
      <c r="C30" s="255"/>
      <c r="D30" s="385"/>
      <c r="E30" s="255"/>
      <c r="F30" s="255"/>
      <c r="G30" s="307">
        <v>7</v>
      </c>
      <c r="H30" s="308" t="str">
        <f ca="1">IF(OR(TRIM(D28)="-",TRIM(D29)="-"),IF(TRIM(D28)="-",D29,D28),IF(AND(E28="",E29="")," ",IF(N(E28)=N(E29)," ",IF(N(E28)&gt;N(E29),D28,D29))))</f>
        <v>Carreau Brno - Hodboď Pavel</v>
      </c>
      <c r="I30" s="309">
        <f>VLOOKUP(G30,Postupy!$A$3:$AW$18,49,0)</f>
        <v>0</v>
      </c>
      <c r="J30" s="328"/>
      <c r="K30" s="255"/>
      <c r="L30" s="317"/>
      <c r="M30" s="255"/>
      <c r="N30" s="255"/>
      <c r="O30" s="255"/>
      <c r="P30" s="371" t="s">
        <v>1889</v>
      </c>
      <c r="Q30" s="255"/>
      <c r="R30" s="255"/>
      <c r="S30" s="255"/>
      <c r="T30" s="255"/>
      <c r="U30" s="255"/>
      <c r="V30" s="255"/>
      <c r="W30" s="255"/>
      <c r="X30" s="255"/>
      <c r="Y30" s="255"/>
      <c r="Z30" s="255"/>
      <c r="AA30" s="255"/>
      <c r="AB30" s="255"/>
      <c r="AC30" s="255"/>
    </row>
    <row r="31" spans="1:29" ht="18" customHeight="1">
      <c r="A31" s="323"/>
      <c r="B31" s="296"/>
      <c r="C31" s="255"/>
      <c r="D31" s="298" t="s">
        <v>1887</v>
      </c>
      <c r="E31" s="299">
        <v>24</v>
      </c>
      <c r="F31" s="255"/>
      <c r="G31" s="312">
        <v>2</v>
      </c>
      <c r="H31" s="313" t="str">
        <f ca="1">IF(OR(TRIM(D32)="-",TRIM(D33)="-"),IF(TRIM(D32)="-",D33,D32),IF(AND(E32="",E33="")," ",IF(N(E32)=N(E33)," ",IF(N(E32)&gt;N(E33),D32,D33))))</f>
        <v>PLUK Jablonec - Lukáš Vojtěch</v>
      </c>
      <c r="I31" s="314">
        <f>VLOOKUP(G31,Postupy!$A$3:$AW$18,49,0)</f>
        <v>0</v>
      </c>
      <c r="J31" s="268"/>
      <c r="K31" s="255"/>
      <c r="L31" s="317"/>
      <c r="M31" s="255"/>
      <c r="N31" s="255"/>
      <c r="O31" s="255"/>
      <c r="P31" s="298" t="s">
        <v>1887</v>
      </c>
      <c r="Q31" s="299" t="str">
        <f ca="1">IF(OR(TRIM(P32)="-",TRIM(P33)="-"),"",VLOOKUP(MIN(O32,O33),Hřiště!$B$11:$E$42,4,0))</f>
        <v/>
      </c>
      <c r="R31" s="255"/>
      <c r="S31" s="255"/>
      <c r="T31" s="255"/>
      <c r="U31" s="255"/>
      <c r="V31" s="255"/>
      <c r="W31" s="255"/>
      <c r="X31" s="255"/>
      <c r="Y31" s="255"/>
      <c r="Z31" s="255"/>
      <c r="AA31" s="255"/>
      <c r="AB31" s="255"/>
      <c r="AC31" s="255"/>
    </row>
    <row r="32" spans="1:29" ht="18" customHeight="1">
      <c r="A32" s="305" t="str">
        <f>VLOOKUP(C32,Postupy!$A$3:$C$18,3,0)</f>
        <v>A2</v>
      </c>
      <c r="B32" s="255"/>
      <c r="C32" s="307">
        <v>15</v>
      </c>
      <c r="D32" s="373" t="str">
        <f ca="1">VLOOKUP(C32,Postupy!$A$3:$AT$18,46,0)</f>
        <v>1. Starobrněnský PK - Strouhalová Terezie</v>
      </c>
      <c r="E32" s="309">
        <v>3</v>
      </c>
      <c r="F32" s="328"/>
      <c r="G32" s="326"/>
      <c r="H32" s="317"/>
      <c r="I32" s="293"/>
      <c r="J32" s="255"/>
      <c r="K32" s="255"/>
      <c r="L32" s="255"/>
      <c r="M32" s="255"/>
      <c r="N32" s="255"/>
      <c r="O32" s="307">
        <v>4</v>
      </c>
      <c r="P32" s="308" t="str">
        <f ca="1">IF(OR(TRIM(L10)="-",TRIM(L11)="-"),IF(TRIM(L10)="-",L11,L10),IF(AND(M10="",M11="")," ",IF(N(M11)=N(M10)," ",IF(N(M11)&gt;N(M10),L10,L11))))</f>
        <v xml:space="preserve"> </v>
      </c>
      <c r="Q32" s="309">
        <f>VLOOKUP(O32,Postupy!$A$3:$BA$6,53,0)</f>
        <v>0</v>
      </c>
      <c r="R32" s="328"/>
      <c r="S32" s="351">
        <v>3</v>
      </c>
      <c r="T32" s="367" t="str">
        <f>IF(AND(Q32="",Q33="")," ",IF(N(Q32)=N(Q33)," ",IF(N(Q32)&gt;N(Q33),P32,P33)))</f>
        <v xml:space="preserve"> </v>
      </c>
      <c r="U32" s="368">
        <v>3</v>
      </c>
      <c r="V32" s="255"/>
      <c r="W32" s="255"/>
      <c r="X32" s="255"/>
      <c r="Y32" s="255"/>
      <c r="Z32" s="255"/>
      <c r="AA32" s="255"/>
    </row>
    <row r="33" spans="1:27" ht="18" customHeight="1">
      <c r="A33" s="305" t="str">
        <f>VLOOKUP(C33,Postupy!$A$3:$C$18,3,0)</f>
        <v>B1</v>
      </c>
      <c r="B33" s="255"/>
      <c r="C33" s="312">
        <v>2</v>
      </c>
      <c r="D33" s="373" t="str">
        <f ca="1">VLOOKUP(C33,Postupy!$A$3:$AT$18,46,0)</f>
        <v>PLUK Jablonec - Lukáš Vojtěch</v>
      </c>
      <c r="E33" s="314">
        <v>13</v>
      </c>
      <c r="F33" s="268"/>
      <c r="G33" s="255"/>
      <c r="H33" s="317"/>
      <c r="I33" s="255"/>
      <c r="J33" s="255"/>
      <c r="K33" s="255"/>
      <c r="L33" s="255"/>
      <c r="M33" s="255"/>
      <c r="N33" s="255"/>
      <c r="O33" s="312">
        <v>3</v>
      </c>
      <c r="P33" s="313" t="str">
        <f ca="1">IF(OR(TRIM(L26)="-",TRIM(L27)="-"),IF(TRIM(L26)="-",L27,L26),IF(AND(M26="",M27="")," ",IF(N(M27)=N(M26)," ",IF(N(M27)&gt;N(M26),L26,L27))))</f>
        <v xml:space="preserve"> </v>
      </c>
      <c r="Q33" s="314">
        <f>VLOOKUP(O33,Postupy!$A$3:$BA$6,53,0)</f>
        <v>0</v>
      </c>
      <c r="R33" s="315"/>
      <c r="S33" s="351">
        <v>4</v>
      </c>
      <c r="T33" s="367" t="str">
        <f>IF(AND(Q32="",Q33="")," ",IF(N(Q33)=N(Q32)," ",IF(N(Q33)&gt;N(Q32),P32,P33)))</f>
        <v xml:space="preserve"> </v>
      </c>
      <c r="U33" s="368">
        <v>4</v>
      </c>
      <c r="V33" s="255"/>
      <c r="W33" s="255"/>
      <c r="X33" s="255"/>
      <c r="Y33" s="255"/>
      <c r="Z33" s="255"/>
      <c r="AA33" s="255"/>
    </row>
    <row r="34" spans="1:27" ht="12" customHeight="1">
      <c r="A34" s="318"/>
      <c r="B34" s="386"/>
      <c r="C34" s="393">
        <f>SUM(C32:C33)</f>
        <v>17</v>
      </c>
      <c r="D34" s="353"/>
      <c r="E34" s="336"/>
      <c r="F34" s="255"/>
      <c r="G34" s="255"/>
      <c r="H34" s="354"/>
      <c r="I34" s="255"/>
      <c r="J34" s="255"/>
      <c r="K34" s="255"/>
      <c r="L34" s="255"/>
      <c r="M34" s="255"/>
      <c r="N34" s="255"/>
      <c r="O34" s="255"/>
      <c r="P34" s="255"/>
      <c r="Q34" s="255"/>
      <c r="R34" s="255"/>
      <c r="S34" s="311"/>
      <c r="T34" s="255"/>
      <c r="U34" s="255"/>
      <c r="V34" s="255"/>
      <c r="W34" s="255"/>
      <c r="X34" s="255"/>
      <c r="Y34" s="255"/>
      <c r="Z34" s="255"/>
      <c r="AA34" s="255"/>
    </row>
    <row r="35" spans="1:27" ht="12" customHeight="1">
      <c r="A35" s="323"/>
      <c r="B35" s="386"/>
      <c r="C35" s="387"/>
      <c r="D35" s="311"/>
      <c r="E35" s="255"/>
      <c r="F35" s="255"/>
      <c r="G35" s="255"/>
      <c r="H35" s="356"/>
      <c r="I35" s="255"/>
      <c r="J35" s="255"/>
      <c r="K35" s="255"/>
      <c r="L35" s="255"/>
      <c r="M35" s="255"/>
      <c r="N35" s="255"/>
      <c r="O35" s="255"/>
      <c r="P35" s="255"/>
      <c r="Q35" s="255"/>
      <c r="R35" s="255"/>
      <c r="S35" s="311"/>
      <c r="T35" s="255"/>
      <c r="U35" s="255"/>
      <c r="V35" s="255"/>
      <c r="W35" s="255"/>
      <c r="X35" s="255"/>
      <c r="Y35" s="255"/>
      <c r="Z35" s="255"/>
      <c r="AA35" s="255"/>
    </row>
    <row r="36" spans="1:27" ht="12" customHeight="1">
      <c r="A36" s="255"/>
      <c r="B36" s="365"/>
      <c r="C36" s="255"/>
      <c r="D36" s="255"/>
      <c r="E36" s="255"/>
      <c r="F36" s="255"/>
      <c r="G36" s="255"/>
      <c r="H36" s="255"/>
      <c r="I36" s="255"/>
      <c r="J36" s="255"/>
      <c r="K36" s="255"/>
      <c r="L36" s="255"/>
      <c r="M36" s="255"/>
      <c r="N36" s="255"/>
      <c r="O36" s="255"/>
      <c r="P36" s="255"/>
      <c r="Q36" s="255"/>
      <c r="R36" s="255"/>
      <c r="S36" s="311"/>
      <c r="T36" s="255"/>
      <c r="U36" s="255"/>
      <c r="V36" s="255"/>
      <c r="W36" s="255"/>
      <c r="X36" s="255"/>
      <c r="Y36" s="255"/>
      <c r="Z36" s="255"/>
      <c r="AA36" s="255"/>
    </row>
    <row r="37" spans="1:27" ht="12" customHeight="1">
      <c r="A37" s="255"/>
      <c r="B37" s="365"/>
      <c r="C37" s="255"/>
      <c r="D37" s="255"/>
      <c r="E37" s="321"/>
      <c r="F37" s="255"/>
      <c r="G37" s="255"/>
      <c r="H37" s="255"/>
      <c r="I37" s="255"/>
      <c r="J37" s="255"/>
      <c r="K37" s="255"/>
      <c r="L37" s="255"/>
      <c r="M37" s="255"/>
      <c r="N37" s="255"/>
      <c r="O37" s="255"/>
      <c r="P37" s="255"/>
      <c r="Q37" s="255"/>
      <c r="R37" s="255"/>
      <c r="S37" s="311"/>
      <c r="T37" s="255"/>
      <c r="U37" s="255"/>
      <c r="V37" s="255"/>
      <c r="W37" s="255"/>
      <c r="X37" s="255"/>
      <c r="Y37" s="255"/>
      <c r="Z37" s="255"/>
      <c r="AA37" s="255"/>
    </row>
    <row r="38" spans="1:27" ht="12" customHeight="1">
      <c r="A38" s="255"/>
      <c r="B38" s="365"/>
      <c r="C38" s="255"/>
      <c r="D38" s="311"/>
      <c r="E38" s="255"/>
      <c r="F38" s="255"/>
      <c r="G38" s="255"/>
      <c r="H38" s="255"/>
      <c r="I38" s="255"/>
      <c r="J38" s="255"/>
      <c r="K38" s="255"/>
      <c r="L38" s="255"/>
      <c r="M38" s="255"/>
      <c r="N38" s="255"/>
      <c r="O38" s="255"/>
      <c r="P38" s="255"/>
      <c r="Q38" s="255"/>
      <c r="R38" s="255"/>
      <c r="S38" s="311"/>
      <c r="T38" s="255"/>
      <c r="U38" s="255"/>
      <c r="V38" s="255"/>
      <c r="W38" s="255"/>
      <c r="X38" s="255"/>
      <c r="Y38" s="255"/>
      <c r="Z38" s="255"/>
      <c r="AA38" s="255"/>
    </row>
    <row r="39" spans="1:27" ht="12" customHeight="1">
      <c r="A39" s="255"/>
      <c r="B39" s="365"/>
      <c r="C39" s="255"/>
      <c r="D39" s="311"/>
      <c r="E39" s="255"/>
      <c r="F39" s="255"/>
      <c r="G39" s="255"/>
      <c r="H39" s="255"/>
      <c r="I39" s="255"/>
      <c r="J39" s="255"/>
      <c r="K39" s="255"/>
      <c r="L39" s="255"/>
      <c r="M39" s="255"/>
      <c r="N39" s="255"/>
      <c r="O39" s="255"/>
      <c r="P39" s="255"/>
      <c r="Q39" s="255"/>
      <c r="R39" s="255"/>
      <c r="S39" s="311"/>
      <c r="T39" s="255"/>
      <c r="U39" s="255"/>
      <c r="V39" s="255"/>
      <c r="W39" s="255"/>
      <c r="X39" s="255"/>
      <c r="Y39" s="255"/>
      <c r="Z39" s="255"/>
      <c r="AA39" s="255"/>
    </row>
    <row r="40" spans="1:27" ht="12" customHeight="1">
      <c r="A40" s="255"/>
      <c r="B40" s="365"/>
      <c r="C40" s="255"/>
      <c r="D40" s="311"/>
      <c r="E40" s="255"/>
      <c r="F40" s="255"/>
      <c r="G40" s="255"/>
      <c r="H40" s="255"/>
      <c r="I40" s="255"/>
      <c r="J40" s="255"/>
      <c r="K40" s="255"/>
      <c r="L40" s="255"/>
      <c r="M40" s="255"/>
      <c r="N40" s="255"/>
      <c r="O40" s="255"/>
      <c r="P40" s="255"/>
      <c r="Q40" s="255"/>
      <c r="R40" s="255"/>
      <c r="S40" s="311"/>
      <c r="T40" s="255"/>
      <c r="U40" s="255"/>
      <c r="V40" s="255"/>
      <c r="W40" s="255"/>
      <c r="X40" s="255"/>
      <c r="Y40" s="255"/>
      <c r="Z40" s="255"/>
      <c r="AA40" s="255"/>
    </row>
    <row r="41" spans="1:27" ht="12" customHeight="1">
      <c r="A41" s="255"/>
      <c r="B41" s="365"/>
      <c r="C41" s="255"/>
      <c r="D41" s="311"/>
      <c r="E41" s="255"/>
      <c r="F41" s="255"/>
      <c r="G41" s="255"/>
      <c r="H41" s="255"/>
      <c r="I41" s="255"/>
      <c r="J41" s="255"/>
      <c r="K41" s="255"/>
      <c r="L41" s="255"/>
      <c r="M41" s="255"/>
      <c r="N41" s="255"/>
      <c r="O41" s="255"/>
      <c r="P41" s="255"/>
      <c r="Q41" s="255"/>
      <c r="R41" s="255"/>
      <c r="S41" s="311"/>
      <c r="T41" s="255"/>
      <c r="U41" s="255"/>
      <c r="V41" s="255"/>
      <c r="W41" s="255"/>
      <c r="X41" s="255"/>
      <c r="Y41" s="255"/>
      <c r="Z41" s="255"/>
      <c r="AA41" s="255"/>
    </row>
    <row r="42" spans="1:27" ht="12" customHeight="1">
      <c r="A42" s="255"/>
      <c r="B42" s="365"/>
      <c r="C42" s="255"/>
      <c r="D42" s="311"/>
      <c r="E42" s="255"/>
      <c r="F42" s="255"/>
      <c r="G42" s="255"/>
      <c r="H42" s="255"/>
      <c r="I42" s="255"/>
      <c r="J42" s="255"/>
      <c r="K42" s="255"/>
      <c r="L42" s="255"/>
      <c r="M42" s="255"/>
      <c r="N42" s="255"/>
      <c r="O42" s="255"/>
      <c r="P42" s="255"/>
      <c r="Q42" s="255"/>
      <c r="R42" s="255"/>
      <c r="S42" s="311"/>
      <c r="T42" s="255"/>
      <c r="U42" s="255"/>
      <c r="V42" s="255"/>
      <c r="W42" s="255"/>
      <c r="X42" s="255"/>
      <c r="Y42" s="255"/>
      <c r="Z42" s="255"/>
      <c r="AA42" s="255"/>
    </row>
    <row r="43" spans="1:27" ht="12" customHeight="1">
      <c r="A43" s="255"/>
      <c r="B43" s="365"/>
      <c r="C43" s="255"/>
      <c r="D43" s="311"/>
      <c r="E43" s="255"/>
      <c r="F43" s="255"/>
      <c r="G43" s="255"/>
      <c r="H43" s="255"/>
      <c r="I43" s="255"/>
      <c r="J43" s="255"/>
      <c r="K43" s="255"/>
      <c r="L43" s="255"/>
      <c r="M43" s="255"/>
      <c r="N43" s="255"/>
      <c r="O43" s="255"/>
      <c r="P43" s="255"/>
      <c r="Q43" s="255"/>
      <c r="R43" s="255"/>
      <c r="S43" s="311"/>
      <c r="T43" s="255"/>
      <c r="U43" s="255"/>
      <c r="V43" s="255"/>
      <c r="W43" s="255"/>
      <c r="X43" s="255"/>
      <c r="Y43" s="255"/>
      <c r="Z43" s="255"/>
      <c r="AA43" s="255"/>
    </row>
    <row r="44" spans="1:27" ht="12" customHeight="1">
      <c r="A44" s="255"/>
      <c r="B44" s="365"/>
      <c r="C44" s="255"/>
      <c r="D44" s="311"/>
      <c r="E44" s="255"/>
      <c r="F44" s="255"/>
      <c r="G44" s="255"/>
      <c r="H44" s="255"/>
      <c r="I44" s="255"/>
      <c r="J44" s="255"/>
      <c r="K44" s="255"/>
      <c r="L44" s="255"/>
      <c r="M44" s="255"/>
      <c r="N44" s="255"/>
      <c r="O44" s="255"/>
      <c r="P44" s="255"/>
      <c r="Q44" s="255"/>
      <c r="R44" s="255"/>
      <c r="S44" s="311"/>
      <c r="T44" s="255"/>
      <c r="U44" s="255"/>
      <c r="V44" s="255"/>
      <c r="W44" s="255"/>
      <c r="X44" s="255"/>
      <c r="Y44" s="255"/>
      <c r="Z44" s="255"/>
      <c r="AA44" s="255"/>
    </row>
    <row r="45" spans="1:27" ht="12" customHeight="1">
      <c r="A45" s="255"/>
      <c r="B45" s="365"/>
      <c r="C45" s="255"/>
      <c r="D45" s="311"/>
      <c r="E45" s="255"/>
      <c r="F45" s="255"/>
      <c r="G45" s="255"/>
      <c r="H45" s="255"/>
      <c r="I45" s="255"/>
      <c r="J45" s="255"/>
      <c r="K45" s="255"/>
      <c r="L45" s="255"/>
      <c r="M45" s="255"/>
      <c r="N45" s="255"/>
      <c r="O45" s="255"/>
      <c r="P45" s="255"/>
      <c r="Q45" s="255"/>
      <c r="R45" s="255"/>
      <c r="S45" s="311"/>
      <c r="T45" s="255"/>
      <c r="U45" s="255"/>
      <c r="V45" s="255"/>
      <c r="W45" s="255"/>
      <c r="X45" s="255"/>
      <c r="Y45" s="255"/>
      <c r="Z45" s="255"/>
      <c r="AA45" s="255"/>
    </row>
    <row r="46" spans="1:27" ht="12" customHeight="1">
      <c r="A46" s="255"/>
      <c r="B46" s="365"/>
      <c r="C46" s="255"/>
      <c r="D46" s="311"/>
      <c r="E46" s="255"/>
      <c r="F46" s="255"/>
      <c r="G46" s="255"/>
      <c r="H46" s="255"/>
      <c r="I46" s="255"/>
      <c r="J46" s="255"/>
      <c r="K46" s="255"/>
      <c r="L46" s="255"/>
      <c r="M46" s="255"/>
      <c r="N46" s="255"/>
      <c r="O46" s="255"/>
      <c r="P46" s="255"/>
      <c r="Q46" s="255"/>
      <c r="R46" s="255"/>
      <c r="S46" s="311"/>
      <c r="T46" s="255"/>
      <c r="U46" s="255"/>
      <c r="V46" s="255"/>
      <c r="W46" s="255"/>
      <c r="X46" s="255"/>
      <c r="Y46" s="255"/>
      <c r="Z46" s="255"/>
      <c r="AA46" s="255"/>
    </row>
    <row r="47" spans="1:27" ht="12" customHeight="1">
      <c r="A47" s="255"/>
      <c r="B47" s="365"/>
      <c r="C47" s="255"/>
      <c r="D47" s="311"/>
      <c r="E47" s="255"/>
      <c r="F47" s="255"/>
      <c r="G47" s="255"/>
      <c r="H47" s="255"/>
      <c r="I47" s="255"/>
      <c r="J47" s="255"/>
      <c r="K47" s="255"/>
      <c r="L47" s="255"/>
      <c r="M47" s="255"/>
      <c r="N47" s="255"/>
      <c r="O47" s="255"/>
      <c r="P47" s="255"/>
      <c r="Q47" s="255"/>
      <c r="R47" s="255"/>
      <c r="S47" s="311"/>
      <c r="T47" s="255"/>
      <c r="U47" s="255"/>
      <c r="V47" s="255"/>
      <c r="W47" s="255"/>
      <c r="X47" s="255"/>
      <c r="Y47" s="255"/>
      <c r="Z47" s="255"/>
      <c r="AA47" s="255"/>
    </row>
    <row r="48" spans="1:27" ht="12" customHeight="1">
      <c r="A48" s="255"/>
      <c r="B48" s="365"/>
      <c r="C48" s="255"/>
      <c r="D48" s="311"/>
      <c r="E48" s="255"/>
      <c r="F48" s="255"/>
      <c r="G48" s="255"/>
      <c r="H48" s="255"/>
      <c r="I48" s="255"/>
      <c r="J48" s="255"/>
      <c r="K48" s="255"/>
      <c r="L48" s="255"/>
      <c r="M48" s="255"/>
      <c r="N48" s="255"/>
      <c r="O48" s="255"/>
      <c r="P48" s="255"/>
      <c r="Q48" s="255"/>
      <c r="R48" s="255"/>
      <c r="S48" s="311"/>
      <c r="T48" s="255"/>
      <c r="U48" s="255"/>
      <c r="V48" s="255"/>
      <c r="W48" s="255"/>
      <c r="X48" s="255"/>
      <c r="Y48" s="255"/>
      <c r="Z48" s="255"/>
      <c r="AA48" s="255"/>
    </row>
    <row r="49" spans="1:27" ht="12" customHeight="1">
      <c r="A49" s="255"/>
      <c r="B49" s="365"/>
      <c r="C49" s="255"/>
      <c r="D49" s="311"/>
      <c r="E49" s="255"/>
      <c r="F49" s="255"/>
      <c r="G49" s="255"/>
      <c r="H49" s="255"/>
      <c r="I49" s="255"/>
      <c r="J49" s="255"/>
      <c r="K49" s="255"/>
      <c r="L49" s="255"/>
      <c r="M49" s="255"/>
      <c r="N49" s="255"/>
      <c r="O49" s="255"/>
      <c r="P49" s="255"/>
      <c r="Q49" s="255"/>
      <c r="R49" s="255"/>
      <c r="S49" s="311"/>
      <c r="T49" s="255"/>
      <c r="U49" s="255"/>
      <c r="V49" s="255"/>
      <c r="W49" s="255"/>
      <c r="X49" s="255"/>
      <c r="Y49" s="255"/>
      <c r="Z49" s="255"/>
      <c r="AA49" s="255"/>
    </row>
    <row r="50" spans="1:27" ht="12" customHeight="1">
      <c r="A50" s="255"/>
      <c r="B50" s="365"/>
      <c r="C50" s="255"/>
      <c r="D50" s="311"/>
      <c r="E50" s="255"/>
      <c r="F50" s="255"/>
      <c r="G50" s="255"/>
      <c r="H50" s="255"/>
      <c r="I50" s="255"/>
      <c r="J50" s="255"/>
      <c r="K50" s="255"/>
      <c r="L50" s="255"/>
      <c r="M50" s="255"/>
      <c r="N50" s="255"/>
      <c r="O50" s="255"/>
      <c r="P50" s="255"/>
      <c r="Q50" s="255"/>
      <c r="R50" s="255"/>
      <c r="S50" s="311"/>
      <c r="T50" s="255"/>
      <c r="U50" s="255"/>
      <c r="V50" s="255"/>
      <c r="W50" s="255"/>
      <c r="X50" s="255"/>
      <c r="Y50" s="255"/>
      <c r="Z50" s="255"/>
      <c r="AA50" s="255"/>
    </row>
    <row r="51" spans="1:27" ht="12" customHeight="1">
      <c r="A51" s="255"/>
      <c r="B51" s="365"/>
      <c r="C51" s="255"/>
      <c r="D51" s="311"/>
      <c r="E51" s="255"/>
      <c r="F51" s="255"/>
      <c r="G51" s="255"/>
      <c r="H51" s="255"/>
      <c r="I51" s="255"/>
      <c r="J51" s="255"/>
      <c r="K51" s="255"/>
      <c r="L51" s="255"/>
      <c r="M51" s="255"/>
      <c r="N51" s="255"/>
      <c r="O51" s="255"/>
      <c r="P51" s="255"/>
      <c r="Q51" s="255"/>
      <c r="R51" s="255"/>
      <c r="S51" s="311"/>
      <c r="T51" s="255"/>
      <c r="U51" s="255"/>
      <c r="V51" s="255"/>
      <c r="W51" s="255"/>
      <c r="X51" s="255"/>
      <c r="Y51" s="255"/>
      <c r="Z51" s="255"/>
      <c r="AA51" s="255"/>
    </row>
    <row r="52" spans="1:27" ht="12" customHeight="1"/>
    <row r="53" spans="1:27" ht="12" customHeight="1"/>
    <row r="54" spans="1:27" ht="12" customHeight="1"/>
    <row r="55" spans="1:27" ht="12" customHeight="1"/>
    <row r="56" spans="1:27" ht="12" customHeight="1"/>
    <row r="57" spans="1:27" ht="12" customHeight="1"/>
    <row r="58" spans="1:27" ht="12" customHeight="1"/>
    <row r="59" spans="1:27" ht="12" customHeight="1"/>
    <row r="60" spans="1:27" ht="12" customHeight="1"/>
    <row r="61" spans="1:27" ht="12" customHeight="1"/>
    <row r="62" spans="1:27" ht="12" customHeight="1"/>
    <row r="63" spans="1:27" ht="12" customHeight="1"/>
    <row r="64" spans="1:27"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D12 D16 D20 D24 D28 D32 H6 H14 H22 H30 L10 L26 P18 P32">
    <cfRule type="expression" dxfId="34" priority="1">
      <formula>IF(N(E16)&gt;N(E17),TRUE,FALSE)</formula>
    </cfRule>
  </conditionalFormatting>
  <conditionalFormatting sqref="C4 C8 C12 C16 C20 C24 C28 C32 G6 G14 G22 G30 K10 K26 O18 O32">
    <cfRule type="expression" dxfId="33" priority="2">
      <formula>IF(N(E4)&gt;N(E5),TRUE,FALSE)</formula>
    </cfRule>
  </conditionalFormatting>
  <conditionalFormatting sqref="E4 E8 E12 E16 E20 E24 E28 E32 I6 I14 I22 I30 M10 M26 Q18 Q32">
    <cfRule type="expression" dxfId="32" priority="3">
      <formula>IF(N(M26)&gt;N(M27),TRUE,FALSE)</formula>
    </cfRule>
  </conditionalFormatting>
  <conditionalFormatting sqref="C5 C9 C13 C17 C21 C25 C29 C33 G7 G15 G23 G31 K11 K27 O19 O33">
    <cfRule type="expression" dxfId="31" priority="4">
      <formula>IF(N(E5)&gt;N(E4),TRUE,FALSE)</formula>
    </cfRule>
  </conditionalFormatting>
  <conditionalFormatting sqref="H7 H15 H23 H31 L11 L27 P19 P33">
    <cfRule type="expression" dxfId="30" priority="5">
      <formula>IF(N(I15)&gt;N(I14),TRUE,FALSE)</formula>
    </cfRule>
  </conditionalFormatting>
  <conditionalFormatting sqref="E5 E9 E13 E17 E21 E25 E29 E33 I7 I15 I23 I31 M11 M27 Q19 Q33">
    <cfRule type="expression" dxfId="29" priority="6">
      <formula>IF(N(M27)&gt;N(M26),TRUE,FALSE)</formula>
    </cfRule>
  </conditionalFormatting>
  <conditionalFormatting sqref="D5 D9 D13 D17 D21 D25 D29 D33">
    <cfRule type="expression" dxfId="28" priority="7">
      <formula>IF(N(E5)&gt;N(E4),TRUE,FALSE)</formula>
    </cfRule>
  </conditionalFormatting>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375" defaultRowHeight="15" customHeight="1"/>
  <cols>
    <col min="1" max="1" width="6.375" hidden="1" customWidth="1"/>
    <col min="2" max="2" width="1.75" customWidth="1"/>
    <col min="3" max="3" width="5.375" customWidth="1"/>
    <col min="4" max="4" width="28.375" customWidth="1"/>
    <col min="5" max="5" width="5" customWidth="1"/>
    <col min="6" max="6" width="2.375" customWidth="1"/>
    <col min="7" max="7" width="0.375" customWidth="1"/>
    <col min="8" max="8" width="28.375" customWidth="1"/>
    <col min="9" max="9" width="5" customWidth="1"/>
    <col min="10" max="10" width="2.375" customWidth="1"/>
    <col min="11" max="11" width="0.375" customWidth="1"/>
    <col min="12" max="12" width="28.375" customWidth="1"/>
    <col min="13" max="13" width="5" customWidth="1"/>
    <col min="14" max="14" width="2.375" customWidth="1"/>
    <col min="15" max="15" width="0.375" customWidth="1"/>
    <col min="16" max="16" width="22.875" customWidth="1"/>
    <col min="17" max="17" width="5" customWidth="1"/>
    <col min="18" max="18" width="2.375" customWidth="1"/>
    <col min="19" max="19" width="5.375" customWidth="1"/>
    <col min="20" max="20" width="25.375" customWidth="1"/>
    <col min="21" max="21" width="5" customWidth="1"/>
    <col min="22" max="30" width="8" customWidth="1"/>
  </cols>
  <sheetData>
    <row r="1" spans="1:30" ht="12" customHeight="1">
      <c r="A1" s="394"/>
      <c r="B1" s="268"/>
      <c r="C1" s="288"/>
      <c r="D1" s="288"/>
      <c r="E1" s="288"/>
      <c r="F1" s="288"/>
      <c r="G1" s="288"/>
      <c r="H1" s="288"/>
      <c r="I1" s="288"/>
      <c r="J1" s="288"/>
      <c r="K1" s="288"/>
      <c r="L1" s="288"/>
      <c r="M1" s="288"/>
      <c r="N1" s="288"/>
      <c r="O1" s="288"/>
      <c r="P1" s="288"/>
      <c r="R1" s="255"/>
      <c r="S1" s="255"/>
      <c r="T1" s="255"/>
      <c r="U1" s="255"/>
      <c r="V1" s="293"/>
      <c r="W1" s="255"/>
      <c r="X1" s="255"/>
      <c r="Y1" s="255"/>
      <c r="Z1" s="293"/>
      <c r="AA1" s="255"/>
    </row>
    <row r="2" spans="1:30" ht="32.25" customHeight="1">
      <c r="A2" s="289"/>
      <c r="B2" s="365"/>
      <c r="C2" s="291">
        <v>16</v>
      </c>
      <c r="D2" s="395" t="s">
        <v>1890</v>
      </c>
      <c r="E2" s="293"/>
      <c r="F2" s="255"/>
      <c r="G2" s="255"/>
      <c r="H2" s="255"/>
      <c r="I2" s="255"/>
      <c r="J2" s="255"/>
      <c r="K2" s="255"/>
      <c r="L2" s="255"/>
      <c r="M2" s="255"/>
      <c r="N2" s="255"/>
      <c r="O2" s="255"/>
      <c r="P2" s="255"/>
      <c r="Q2" s="255"/>
      <c r="R2" s="255"/>
      <c r="S2" s="255"/>
      <c r="T2" s="255"/>
      <c r="U2" s="255"/>
      <c r="V2" s="293"/>
      <c r="W2" s="255"/>
      <c r="X2" s="255"/>
      <c r="Y2" s="255"/>
      <c r="Z2" s="293"/>
      <c r="AA2" s="255"/>
    </row>
    <row r="3" spans="1:30" ht="28.5" customHeight="1">
      <c r="A3" s="255"/>
      <c r="B3" s="296"/>
      <c r="C3" s="301"/>
      <c r="D3" s="298" t="s">
        <v>1887</v>
      </c>
      <c r="E3" s="299">
        <v>21</v>
      </c>
      <c r="F3" s="396"/>
      <c r="G3" s="397"/>
      <c r="H3" s="302"/>
      <c r="I3" s="398"/>
      <c r="J3" s="396"/>
      <c r="K3" s="396"/>
      <c r="L3" s="302"/>
      <c r="M3" s="398"/>
      <c r="N3" s="396"/>
      <c r="O3" s="396"/>
      <c r="P3" s="302"/>
      <c r="Q3" s="303"/>
      <c r="R3" s="255"/>
      <c r="S3" s="255"/>
      <c r="T3" s="255"/>
      <c r="U3" s="255"/>
      <c r="V3" s="293"/>
      <c r="W3" s="255"/>
      <c r="X3" s="255"/>
      <c r="Y3" s="255"/>
      <c r="Z3" s="293"/>
      <c r="AA3" s="255"/>
    </row>
    <row r="4" spans="1:30" ht="18" customHeight="1">
      <c r="A4" s="305" t="str">
        <f>VLOOKUP(C4,Postupy!$A$3:$C$34,3,0)</f>
        <v>B2</v>
      </c>
      <c r="B4" s="365"/>
      <c r="C4" s="307">
        <v>16</v>
      </c>
      <c r="D4" s="373" t="str">
        <f ca="1">IF(OR(TRIM('KO16'!D4)="-",TRIM('KO16'!D5)="-"),IF(TRIM('KO16'!D4)="-",'KO16'!D4,'KO16'!D5),IF(AND('KO16'!E4="",'KO16'!E5="")," ",IF(N('KO16'!E4)=N('KO16'!E5)," ",IF(N('KO16'!E4)&gt;N('KO16'!E5),'KO16'!D5,'KO16'!D4))))</f>
        <v>UBU Únětice - Kot Pavel</v>
      </c>
      <c r="E4" s="309">
        <v>2</v>
      </c>
      <c r="F4" s="310"/>
      <c r="G4" s="255"/>
      <c r="H4" s="383"/>
      <c r="I4" s="255"/>
      <c r="J4" s="255"/>
      <c r="K4" s="255"/>
      <c r="L4" s="317"/>
      <c r="M4" s="255"/>
      <c r="N4" s="255"/>
      <c r="O4" s="255"/>
      <c r="P4" s="255"/>
      <c r="Q4" s="255"/>
      <c r="R4" s="255"/>
      <c r="S4" s="255"/>
      <c r="T4" s="311"/>
      <c r="U4" s="255"/>
      <c r="V4" s="255"/>
      <c r="W4" s="255"/>
      <c r="X4" s="255"/>
      <c r="Y4" s="255"/>
      <c r="Z4" s="255"/>
      <c r="AA4" s="255"/>
      <c r="AB4" s="255"/>
    </row>
    <row r="5" spans="1:30" ht="18" customHeight="1">
      <c r="A5" s="305" t="str">
        <f>VLOOKUP(C5,Postupy!$A$3:$C$34,3,0)</f>
        <v>G2</v>
      </c>
      <c r="B5" s="296"/>
      <c r="C5" s="312">
        <v>9</v>
      </c>
      <c r="D5" s="399" t="str">
        <f ca="1">IF(OR(TRIM('KO16'!D8)="-",TRIM('KO16'!D9)="-"),IF(TRIM('KO16'!D8)="-",'KO16'!D8,'KO16'!D9),IF(AND('KO16'!E8="",'KO16'!E9="")," ",IF(N('KO16'!E8)=N('KO16'!E9)," ",IF(N('KO16'!E8)&gt;N('KO16'!E9),'KO16'!D9,'KO16'!D8))))</f>
        <v>Orel Řečkovice - Olbort Tomáš</v>
      </c>
      <c r="E5" s="314"/>
      <c r="F5" s="315"/>
      <c r="G5" s="326"/>
      <c r="H5" s="298" t="s">
        <v>1887</v>
      </c>
      <c r="I5" s="299">
        <v>4</v>
      </c>
      <c r="J5" s="255"/>
      <c r="K5" s="255"/>
      <c r="L5" s="317"/>
      <c r="M5" s="255"/>
      <c r="N5" s="255"/>
      <c r="O5" s="255"/>
      <c r="P5" s="255"/>
      <c r="Q5" s="255"/>
      <c r="R5" s="255"/>
      <c r="S5" s="255"/>
      <c r="T5" s="311"/>
      <c r="U5" s="255"/>
      <c r="V5" s="255"/>
      <c r="W5" s="255"/>
      <c r="X5" s="255"/>
      <c r="Y5" s="255"/>
      <c r="Z5" s="255"/>
      <c r="AA5" s="255"/>
      <c r="AB5" s="255"/>
    </row>
    <row r="6" spans="1:30" ht="18" customHeight="1">
      <c r="A6" s="318"/>
      <c r="B6" s="365"/>
      <c r="C6" s="255"/>
      <c r="D6" s="385"/>
      <c r="E6" s="255"/>
      <c r="F6" s="255"/>
      <c r="G6" s="307">
        <v>9</v>
      </c>
      <c r="H6" s="308" t="str">
        <f ca="1">IF(OR(TRIM(D4)="-",TRIM(D5)="-"),IF(TRIM(D4)="-",D5,D4),IF(AND(E4="",E5="")," ",IF(N(E4)=N(E5)," ",IF(N(E4)&gt;N(E5),D4,D5))))</f>
        <v>UBU Únětice - Kot Pavel</v>
      </c>
      <c r="I6" s="309">
        <v>6</v>
      </c>
      <c r="J6" s="310"/>
      <c r="K6" s="293"/>
      <c r="L6" s="327"/>
      <c r="M6" s="293"/>
      <c r="N6" s="255"/>
      <c r="O6" s="255"/>
      <c r="P6" s="255"/>
      <c r="Q6" s="255"/>
      <c r="R6" s="255"/>
      <c r="S6" s="255"/>
      <c r="T6" s="255"/>
      <c r="U6" s="255"/>
      <c r="V6" s="293"/>
      <c r="W6" s="255"/>
      <c r="X6" s="255"/>
      <c r="Y6" s="255"/>
      <c r="Z6" s="293"/>
      <c r="AA6" s="255"/>
      <c r="AB6" s="255"/>
      <c r="AC6" s="255"/>
      <c r="AD6" s="311"/>
    </row>
    <row r="7" spans="1:30" ht="18" customHeight="1">
      <c r="A7" s="323"/>
      <c r="B7" s="296"/>
      <c r="C7" s="255"/>
      <c r="D7" s="298" t="s">
        <v>1887</v>
      </c>
      <c r="E7" s="299">
        <v>20</v>
      </c>
      <c r="F7" s="255"/>
      <c r="G7" s="312">
        <v>12</v>
      </c>
      <c r="H7" s="313" t="str">
        <f ca="1">IF(OR(TRIM(D8)="-",TRIM(D9)="-"),IF(TRIM(D8)="-",D9,D8),IF(AND(E8="",E9="")," ",IF(N(E8)=N(E9)," ",IF(N(E8)&gt;N(E9),D8,D9))))</f>
        <v>SKP Kulová osma - Krejčín Leoš</v>
      </c>
      <c r="I7" s="314">
        <v>13</v>
      </c>
      <c r="J7" s="315"/>
      <c r="K7" s="326"/>
      <c r="L7" s="327"/>
      <c r="M7" s="293"/>
      <c r="N7" s="255"/>
      <c r="O7" s="255"/>
      <c r="P7" s="255"/>
      <c r="Q7" s="255"/>
      <c r="R7" s="255"/>
      <c r="S7" s="255"/>
      <c r="T7" s="255"/>
      <c r="U7" s="255"/>
      <c r="V7" s="293"/>
      <c r="W7" s="255"/>
      <c r="X7" s="255"/>
      <c r="Y7" s="255"/>
      <c r="Z7" s="293"/>
      <c r="AA7" s="255"/>
      <c r="AB7" s="255"/>
      <c r="AC7" s="255"/>
      <c r="AD7" s="255"/>
    </row>
    <row r="8" spans="1:30" ht="18" customHeight="1">
      <c r="A8" s="305" t="str">
        <f>VLOOKUP(C8,Postupy!$A$3:$C$34,3,0)</f>
        <v>F2</v>
      </c>
      <c r="B8" s="365"/>
      <c r="C8" s="307">
        <v>12</v>
      </c>
      <c r="D8" s="373" t="str">
        <f ca="1">IF(OR(TRIM('KO16'!D12)="-",TRIM('KO16'!D13)="-"),IF(TRIM('KO16'!D12)="-",'KO16'!D12,'KO16'!D13),IF(AND('KO16'!E12="",'KO16'!E13="")," ",IF(N('KO16'!E12)=N('KO16'!E13)," ",IF(N('KO16'!E12)&gt;N('KO16'!E13),'KO16'!D13,'KO16'!D12))))</f>
        <v>SKP Kulová osma - Krejčín Leoš</v>
      </c>
      <c r="E8" s="309">
        <v>13</v>
      </c>
      <c r="F8" s="328"/>
      <c r="G8" s="326"/>
      <c r="H8" s="385"/>
      <c r="I8" s="293"/>
      <c r="J8" s="255"/>
      <c r="K8" s="326"/>
      <c r="L8" s="327"/>
      <c r="M8" s="293"/>
      <c r="N8" s="255"/>
      <c r="O8" s="255"/>
      <c r="P8" s="255"/>
      <c r="Q8" s="255"/>
      <c r="R8" s="255"/>
      <c r="S8" s="255"/>
      <c r="T8" s="255"/>
      <c r="U8" s="255"/>
      <c r="V8" s="293"/>
      <c r="W8" s="255"/>
      <c r="X8" s="255"/>
      <c r="Y8" s="255"/>
      <c r="Z8" s="293"/>
      <c r="AA8" s="255"/>
      <c r="AB8" s="255"/>
      <c r="AC8" s="255"/>
      <c r="AD8" s="255"/>
    </row>
    <row r="9" spans="1:30" ht="18" customHeight="1">
      <c r="A9" s="305" t="str">
        <f>VLOOKUP(C9,Postupy!$A$3:$C$34,3,0)</f>
        <v>C2</v>
      </c>
      <c r="B9" s="296"/>
      <c r="C9" s="312">
        <v>13</v>
      </c>
      <c r="D9" s="399" t="str">
        <f ca="1">IF(OR(TRIM('KO16'!D16)="-",TRIM('KO16'!D17)="-"),IF(TRIM('KO16'!D16)="-",'KO16'!D16,'KO16'!D17),IF(AND('KO16'!E16="",'KO16'!E17="")," ",IF(N('KO16'!E16)=N('KO16'!E17)," ",IF(N('KO16'!E16)&gt;N('KO16'!E17),'KO16'!D17,'KO16'!D16))))</f>
        <v>Kulový blesk Olomouc - Hildenbrand Benjamin</v>
      </c>
      <c r="E9" s="314">
        <v>7</v>
      </c>
      <c r="F9" s="268"/>
      <c r="G9" s="255"/>
      <c r="H9" s="385"/>
      <c r="I9" s="255"/>
      <c r="J9" s="255"/>
      <c r="K9" s="326"/>
      <c r="L9" s="400" t="s">
        <v>1891</v>
      </c>
      <c r="M9" s="299" t="str">
        <f ca="1">IF(OR(TRIM(L10)="-",TRIM(L11)="-"),"",VLOOKUP(MIN(K10,K11),Hřiště!$B$11:$E$42,4,0))</f>
        <v/>
      </c>
      <c r="N9" s="255"/>
      <c r="O9" s="255"/>
      <c r="P9" s="255"/>
      <c r="Q9" s="255"/>
      <c r="R9" s="255"/>
      <c r="S9" s="255"/>
      <c r="T9" s="311"/>
      <c r="U9" s="255"/>
      <c r="V9" s="255"/>
      <c r="W9" s="255"/>
      <c r="X9" s="255"/>
      <c r="Y9" s="255"/>
      <c r="Z9" s="255"/>
      <c r="AA9" s="255"/>
      <c r="AB9" s="255"/>
    </row>
    <row r="10" spans="1:30" ht="18" customHeight="1">
      <c r="A10" s="318"/>
      <c r="B10" s="386"/>
      <c r="C10" s="387"/>
      <c r="D10" s="388"/>
      <c r="E10" s="255"/>
      <c r="F10" s="255"/>
      <c r="G10" s="255"/>
      <c r="H10" s="389"/>
      <c r="I10" s="311"/>
      <c r="J10" s="311"/>
      <c r="K10" s="307">
        <v>9</v>
      </c>
      <c r="L10" s="308" t="str">
        <f ca="1">IF(OR(TRIM(H6)="-",TRIM(H7)="-"),IF(TRIM(H6)="-",H7,H6),IF(AND(I6="",I7="")," ",IF(N(I6)=N(I7)," ",IF(N(I6)&gt;N(I7),H6,H7))))</f>
        <v>SKP Kulová osma - Krejčín Leoš</v>
      </c>
      <c r="M10" s="309">
        <v>13</v>
      </c>
      <c r="N10" s="328"/>
      <c r="O10" s="351">
        <v>9</v>
      </c>
      <c r="P10" s="363" t="str">
        <f ca="1">IF(AND(M10="",M11="")," ",IF(N(M10)=N(M11)," ",IF(N(M10)&gt;N(M11),L10,L11)))</f>
        <v>SKP Kulová osma - Krejčín Leoš</v>
      </c>
      <c r="Q10" s="364">
        <v>9</v>
      </c>
      <c r="R10" s="255"/>
      <c r="S10" s="311"/>
      <c r="T10" s="255"/>
      <c r="U10" s="255"/>
      <c r="V10" s="255"/>
      <c r="W10" s="255"/>
      <c r="X10" s="255"/>
      <c r="Y10" s="255"/>
      <c r="Z10" s="255"/>
      <c r="AA10" s="255"/>
    </row>
    <row r="11" spans="1:30" ht="18" customHeight="1">
      <c r="A11" s="323"/>
      <c r="B11" s="365"/>
      <c r="C11" s="255"/>
      <c r="D11" s="298" t="s">
        <v>1887</v>
      </c>
      <c r="E11" s="299">
        <v>19</v>
      </c>
      <c r="F11" s="255"/>
      <c r="G11" s="255"/>
      <c r="H11" s="390"/>
      <c r="I11" s="311"/>
      <c r="J11" s="311"/>
      <c r="K11" s="312">
        <v>10</v>
      </c>
      <c r="L11" s="313" t="str">
        <f ca="1">IF(OR(TRIM(H14)="-",TRIM(H15)="-"),IF(TRIM(H14)="-",H15,H14),IF(AND(I14="",I15="")," ",IF(N(I14)=N(I15)," ",IF(N(I14)&gt;N(I15),H14,H15))))</f>
        <v>TOP - ORLOVÁ - Bačo David</v>
      </c>
      <c r="M11" s="314">
        <v>3</v>
      </c>
      <c r="N11" s="315"/>
      <c r="O11" s="351">
        <v>10</v>
      </c>
      <c r="P11" s="367" t="str">
        <f ca="1">IF(AND(M10="",M11="")," ",IF(N(M11)=N(M10)," ",IF(N(M11)&gt;N(M10),L10,L11)))</f>
        <v>TOP - ORLOVÁ - Bačo David</v>
      </c>
      <c r="Q11" s="368">
        <v>10</v>
      </c>
      <c r="R11" s="255"/>
      <c r="S11" s="255"/>
      <c r="T11" s="255"/>
      <c r="U11" s="255"/>
      <c r="V11" s="255"/>
      <c r="W11" s="255"/>
      <c r="X11" s="255"/>
      <c r="Y11" s="293"/>
      <c r="Z11" s="255"/>
      <c r="AA11" s="255"/>
      <c r="AB11" s="255"/>
      <c r="AC11" s="311"/>
    </row>
    <row r="12" spans="1:30" ht="18" customHeight="1">
      <c r="A12" s="305" t="str">
        <f>VLOOKUP(C12,Postupy!$A$3:$C$34,3,0)</f>
        <v>D2</v>
      </c>
      <c r="B12" s="365"/>
      <c r="C12" s="307">
        <v>14</v>
      </c>
      <c r="D12" s="373" t="str">
        <f ca="1">IF(OR(TRIM('KO16'!D20)="-",TRIM('KO16'!D21)="-"),IF(TRIM('KO16'!D20)="-",'KO16'!D20,'KO16'!D21),IF(AND('KO16'!E20="",'KO16'!E21="")," ",IF(N('KO16'!E20)=N('KO16'!E21)," ",IF(N('KO16'!E20)&gt;N('KO16'!E21),'KO16'!D21,'KO16'!D20))))</f>
        <v>PAK Albrechtice - Valík Václav</v>
      </c>
      <c r="E12" s="309">
        <v>7</v>
      </c>
      <c r="F12" s="310"/>
      <c r="G12" s="255"/>
      <c r="H12" s="390"/>
      <c r="I12" s="311"/>
      <c r="J12" s="322"/>
      <c r="K12" s="293"/>
      <c r="L12" s="385"/>
      <c r="M12" s="311"/>
      <c r="N12" s="311"/>
      <c r="O12" s="387"/>
      <c r="P12" s="343"/>
      <c r="Q12" s="311"/>
      <c r="R12" s="255"/>
      <c r="S12" s="311"/>
      <c r="T12" s="255"/>
      <c r="U12" s="255"/>
      <c r="V12" s="255"/>
      <c r="W12" s="255"/>
      <c r="X12" s="255"/>
      <c r="Y12" s="293"/>
      <c r="Z12" s="255"/>
      <c r="AA12" s="255"/>
      <c r="AB12" s="255"/>
      <c r="AC12" s="255"/>
    </row>
    <row r="13" spans="1:30" ht="18" customHeight="1">
      <c r="A13" s="305" t="str">
        <f>VLOOKUP(C13,Postupy!$A$3:$C$34,3,0)</f>
        <v>E2</v>
      </c>
      <c r="B13" s="296"/>
      <c r="C13" s="312">
        <v>11</v>
      </c>
      <c r="D13" s="399" t="str">
        <f ca="1">IF(OR(TRIM('KO16'!D24)="-",TRIM('KO16'!D25)="-"),IF(TRIM('KO16'!D24)="-",'KO16'!D24,'KO16'!D25),IF(AND('KO16'!E24="",'KO16'!E25="")," ",IF(N('KO16'!E24)=N('KO16'!E25)," ",IF(N('KO16'!E24)&gt;N('KO16'!E25),'KO16'!D25,'KO16'!D24))))</f>
        <v>TOP - ORLOVÁ - Bačo David</v>
      </c>
      <c r="E13" s="314">
        <v>13</v>
      </c>
      <c r="F13" s="315"/>
      <c r="G13" s="326"/>
      <c r="H13" s="298" t="s">
        <v>1887</v>
      </c>
      <c r="I13" s="299">
        <v>14</v>
      </c>
      <c r="J13" s="322"/>
      <c r="K13" s="293"/>
      <c r="L13" s="388"/>
      <c r="M13" s="388"/>
      <c r="N13" s="388"/>
      <c r="O13" s="388"/>
      <c r="P13" s="388"/>
      <c r="Q13" s="388"/>
      <c r="R13" s="388"/>
      <c r="S13" s="388"/>
      <c r="T13" s="388"/>
      <c r="U13" s="388"/>
      <c r="V13" s="255"/>
      <c r="W13" s="255"/>
      <c r="X13" s="255"/>
      <c r="Y13" s="255"/>
      <c r="Z13" s="255"/>
      <c r="AA13" s="255"/>
    </row>
    <row r="14" spans="1:30" ht="18" customHeight="1">
      <c r="A14" s="318"/>
      <c r="B14" s="365"/>
      <c r="C14" s="255"/>
      <c r="D14" s="385"/>
      <c r="E14" s="255"/>
      <c r="F14" s="255"/>
      <c r="G14" s="307">
        <v>11</v>
      </c>
      <c r="H14" s="308" t="str">
        <f ca="1">IF(OR(TRIM(D12)="-",TRIM(D13)="-"),IF(TRIM(D12)="-",D13,D12),IF(AND(E12="",E13="")," ",IF(N(E12)=N(E13)," ",IF(N(E12)&gt;N(E13),D12,D13))))</f>
        <v>TOP - ORLOVÁ - Bačo David</v>
      </c>
      <c r="I14" s="309">
        <v>13</v>
      </c>
      <c r="J14" s="328"/>
      <c r="K14" s="255"/>
      <c r="L14" s="390"/>
      <c r="M14" s="390"/>
      <c r="N14" s="390"/>
      <c r="O14" s="390"/>
      <c r="P14" s="390"/>
      <c r="Q14" s="390"/>
      <c r="R14" s="390"/>
      <c r="S14" s="390"/>
      <c r="T14" s="390"/>
      <c r="U14" s="390"/>
      <c r="V14" s="255"/>
      <c r="W14" s="255"/>
      <c r="X14" s="255"/>
      <c r="Y14" s="311"/>
      <c r="Z14" s="255"/>
      <c r="AA14" s="255"/>
    </row>
    <row r="15" spans="1:30" ht="18" customHeight="1">
      <c r="A15" s="323"/>
      <c r="B15" s="296"/>
      <c r="C15" s="255"/>
      <c r="D15" s="298" t="s">
        <v>1887</v>
      </c>
      <c r="E15" s="299">
        <v>14</v>
      </c>
      <c r="F15" s="255"/>
      <c r="G15" s="312">
        <v>10</v>
      </c>
      <c r="H15" s="313" t="str">
        <f ca="1">IF(OR(TRIM(D16)="-",TRIM(D17)="-"),IF(TRIM(D16)="-",D17,D16),IF(AND(E16="",E17="")," ",IF(N(E16)=N(E17)," ",IF(N(E16)&gt;N(E17),D16,D17))))</f>
        <v>1. Starobrněnský PK - Strouhalová Terezie</v>
      </c>
      <c r="I15" s="314">
        <v>7</v>
      </c>
      <c r="J15" s="268"/>
      <c r="K15" s="255"/>
      <c r="L15" s="390"/>
      <c r="M15" s="390"/>
      <c r="N15" s="390"/>
      <c r="O15" s="390"/>
      <c r="P15" s="390"/>
      <c r="Q15" s="390"/>
      <c r="R15" s="390"/>
      <c r="S15" s="390"/>
      <c r="T15" s="390"/>
      <c r="U15" s="390"/>
      <c r="V15" s="255"/>
      <c r="W15" s="255"/>
      <c r="X15" s="255"/>
      <c r="Y15" s="311"/>
      <c r="Z15" s="255"/>
      <c r="AA15" s="255"/>
    </row>
    <row r="16" spans="1:30" ht="18" customHeight="1">
      <c r="A16" s="305" t="str">
        <f>VLOOKUP(C16,Postupy!$A$3:$C$34,3,0)</f>
        <v>H2</v>
      </c>
      <c r="B16" s="365"/>
      <c r="C16" s="307">
        <v>10</v>
      </c>
      <c r="D16" s="373" t="str">
        <f ca="1">IF(OR(TRIM('KO16'!D28)="-",TRIM('KO16'!D29)="-"),IF(TRIM('KO16'!D28)="-",'KO16'!D28,'KO16'!D29),IF(AND('KO16'!E28="",'KO16'!E29="")," ",IF(N('KO16'!E28)=N('KO16'!E29)," ",IF(N('KO16'!E28)&gt;N('KO16'!E29),'KO16'!D29,'KO16'!D28))))</f>
        <v>SOKOL Staříč - Šimíček Ladislav</v>
      </c>
      <c r="E16" s="309">
        <v>9</v>
      </c>
      <c r="F16" s="328"/>
      <c r="G16" s="326"/>
      <c r="H16" s="385"/>
      <c r="I16" s="293"/>
      <c r="J16" s="255"/>
      <c r="K16" s="255"/>
      <c r="L16" s="390"/>
      <c r="M16" s="390"/>
      <c r="N16" s="390"/>
      <c r="O16" s="390"/>
      <c r="P16" s="390"/>
      <c r="Q16" s="390"/>
      <c r="R16" s="390"/>
      <c r="S16" s="390"/>
      <c r="T16" s="390"/>
      <c r="U16" s="390"/>
      <c r="V16" s="255"/>
      <c r="W16" s="255"/>
      <c r="X16" s="255"/>
      <c r="Y16" s="255"/>
      <c r="Z16" s="255"/>
      <c r="AA16" s="255"/>
    </row>
    <row r="17" spans="1:27" ht="18" customHeight="1">
      <c r="A17" s="305" t="str">
        <f>VLOOKUP(C17,Postupy!$A$3:$C$34,3,0)</f>
        <v>A2</v>
      </c>
      <c r="B17" s="296"/>
      <c r="C17" s="312">
        <v>15</v>
      </c>
      <c r="D17" s="399" t="str">
        <f ca="1">IF(OR(TRIM('KO16'!D32)="-",TRIM('KO16'!D33)="-"),IF(TRIM('KO16'!D32)="-",'KO16'!D32,'KO16'!D33),IF(AND('KO16'!E32="",'KO16'!E33="")," ",IF(N('KO16'!E32)=N('KO16'!E33)," ",IF(N('KO16'!E32)&gt;N('KO16'!E33),'KO16'!D33,'KO16'!D32))))</f>
        <v>1. Starobrněnský PK - Strouhalová Terezie</v>
      </c>
      <c r="E17" s="314">
        <v>13</v>
      </c>
      <c r="F17" s="268"/>
      <c r="G17" s="255"/>
      <c r="H17" s="385"/>
      <c r="I17" s="255"/>
      <c r="J17" s="255"/>
      <c r="K17" s="255"/>
      <c r="L17" s="400" t="s">
        <v>1892</v>
      </c>
      <c r="M17" s="299">
        <v>13</v>
      </c>
      <c r="N17" s="390"/>
      <c r="O17" s="390"/>
      <c r="P17" s="390"/>
      <c r="Q17" s="390"/>
      <c r="R17" s="390"/>
      <c r="S17" s="390"/>
      <c r="T17" s="390"/>
      <c r="U17" s="390"/>
      <c r="V17" s="255"/>
      <c r="W17" s="255"/>
      <c r="X17" s="255"/>
      <c r="Y17" s="255"/>
      <c r="Z17" s="255"/>
      <c r="AA17" s="255"/>
    </row>
    <row r="18" spans="1:27" ht="18" customHeight="1">
      <c r="A18" s="318"/>
      <c r="B18" s="365"/>
      <c r="C18" s="255"/>
      <c r="D18" s="385"/>
      <c r="E18" s="255"/>
      <c r="F18" s="255"/>
      <c r="G18" s="255"/>
      <c r="H18" s="392"/>
      <c r="I18" s="255"/>
      <c r="J18" s="255"/>
      <c r="K18" s="307">
        <v>11</v>
      </c>
      <c r="L18" s="308" t="str">
        <f ca="1">IF(OR(TRIM(H6)="-",TRIM(H7)="-"),IF(TRIM(H6)="-",H7,H6),IF(AND(I6="",I7="")," ",IF(N(I7)=N(I6)," ",IF(N(I7)&gt;N(I6),H6,H7))))</f>
        <v>UBU Únětice - Kot Pavel</v>
      </c>
      <c r="M18" s="309"/>
      <c r="N18" s="328"/>
      <c r="O18" s="351">
        <v>11</v>
      </c>
      <c r="P18" s="367" t="str">
        <f ca="1">IF(AND(M18="",M19="")," ",IF(N(M18)=N(M19)," ",IF(N(M18)&gt;N(M19),L18,L19)))</f>
        <v>1. Starobrněnský PK - Strouhalová Terezie</v>
      </c>
      <c r="Q18" s="364">
        <v>11</v>
      </c>
      <c r="R18" s="392"/>
      <c r="S18" s="392"/>
      <c r="T18" s="392"/>
      <c r="U18" s="392"/>
      <c r="V18" s="255"/>
      <c r="W18" s="255"/>
      <c r="X18" s="255"/>
      <c r="Y18" s="255"/>
      <c r="Z18" s="255"/>
      <c r="AA18" s="255"/>
    </row>
    <row r="19" spans="1:27" ht="18" customHeight="1">
      <c r="A19" s="318"/>
      <c r="B19" s="401"/>
      <c r="C19" s="269"/>
      <c r="D19" s="402"/>
      <c r="E19" s="255"/>
      <c r="F19" s="255"/>
      <c r="G19" s="255"/>
      <c r="H19" s="392"/>
      <c r="I19" s="255"/>
      <c r="J19" s="255"/>
      <c r="K19" s="312">
        <v>12</v>
      </c>
      <c r="L19" s="313" t="str">
        <f ca="1">IF(OR(TRIM(H14)="-",TRIM(H15)="-"),IF(TRIM(H14)="-",H15,H14),IF(AND(I14="",I15="")," ",IF(N(I15)=N(I14)," ",IF(N(I15)&gt;N(I14),H14,H15))))</f>
        <v>1. Starobrněnský PK - Strouhalová Terezie</v>
      </c>
      <c r="M19" s="314">
        <v>1</v>
      </c>
      <c r="N19" s="315"/>
      <c r="O19" s="351">
        <v>12</v>
      </c>
      <c r="P19" s="367" t="str">
        <f ca="1">IF(AND(M18="",M19="")," ",IF(N(M19)=N(M18)," ",IF(N(M19)&gt;N(M18),L18,L19)))</f>
        <v>UBU Únětice - Kot Pavel</v>
      </c>
      <c r="Q19" s="368">
        <v>12</v>
      </c>
      <c r="R19" s="392"/>
      <c r="S19" s="392"/>
      <c r="T19" s="392"/>
      <c r="U19" s="392"/>
      <c r="V19" s="255"/>
      <c r="W19" s="255"/>
      <c r="X19" s="255"/>
      <c r="Y19" s="255"/>
      <c r="Z19" s="255"/>
      <c r="AA19" s="255"/>
    </row>
    <row r="20" spans="1:27" ht="12.75" customHeight="1">
      <c r="A20" s="255"/>
      <c r="B20" s="386"/>
      <c r="C20" s="403"/>
      <c r="D20" s="404"/>
      <c r="E20" s="336"/>
      <c r="F20" s="255"/>
      <c r="G20" s="255"/>
      <c r="H20" s="354"/>
      <c r="I20" s="255"/>
      <c r="J20" s="255"/>
      <c r="K20" s="255"/>
      <c r="L20" s="255"/>
      <c r="M20" s="255"/>
      <c r="N20" s="255"/>
      <c r="O20" s="255"/>
      <c r="P20" s="255"/>
      <c r="Q20" s="255"/>
      <c r="R20" s="255"/>
      <c r="S20" s="311"/>
      <c r="T20" s="255"/>
      <c r="U20" s="255"/>
      <c r="V20" s="255"/>
      <c r="W20" s="255"/>
      <c r="X20" s="255"/>
      <c r="Y20" s="255"/>
      <c r="Z20" s="255"/>
      <c r="AA20" s="255"/>
    </row>
    <row r="21" spans="1:27" ht="14.25" customHeight="1">
      <c r="A21" s="255"/>
      <c r="B21" s="386"/>
      <c r="C21" s="405"/>
      <c r="D21" s="406"/>
      <c r="E21" s="255"/>
      <c r="F21" s="255"/>
      <c r="G21" s="255"/>
      <c r="H21" s="400" t="s">
        <v>1893</v>
      </c>
      <c r="I21" s="299">
        <v>0</v>
      </c>
      <c r="J21" s="255"/>
      <c r="K21" s="255"/>
      <c r="L21" s="255"/>
      <c r="M21" s="255"/>
      <c r="N21" s="255"/>
      <c r="O21" s="255"/>
      <c r="P21" s="255"/>
      <c r="Q21" s="255"/>
      <c r="R21" s="255"/>
      <c r="S21" s="311"/>
      <c r="T21" s="255"/>
      <c r="U21" s="255"/>
      <c r="V21" s="255"/>
      <c r="W21" s="255"/>
      <c r="X21" s="255"/>
      <c r="Y21" s="255"/>
      <c r="Z21" s="255"/>
      <c r="AA21" s="255"/>
    </row>
    <row r="22" spans="1:27" ht="18" customHeight="1">
      <c r="A22" s="255"/>
      <c r="B22" s="365"/>
      <c r="C22" s="255"/>
      <c r="D22" s="255"/>
      <c r="E22" s="255"/>
      <c r="F22" s="255"/>
      <c r="G22" s="307">
        <v>16</v>
      </c>
      <c r="H22" s="308" t="str">
        <f ca="1">IF(OR(TRIM(D4)="-",TRIM(D5)="-"),IF(TRIM(D4)="-",D4,D5),IF(AND(E4="",E5="")," ",IF(N(E5)=N(E4)," ",IF(N(E5)&gt;N(E4),D4,D5))))</f>
        <v>Orel Řečkovice - Olbort Tomáš</v>
      </c>
      <c r="I22" s="309">
        <v>13</v>
      </c>
      <c r="J22" s="310"/>
      <c r="K22" s="293"/>
      <c r="L22" s="327"/>
      <c r="M22" s="293"/>
      <c r="N22" s="255"/>
      <c r="O22" s="255"/>
      <c r="P22" s="255"/>
      <c r="Q22" s="255"/>
      <c r="R22" s="255"/>
      <c r="S22" s="311"/>
      <c r="T22" s="255"/>
      <c r="U22" s="255"/>
      <c r="V22" s="255"/>
      <c r="W22" s="255"/>
      <c r="X22" s="255"/>
      <c r="Y22" s="255"/>
      <c r="Z22" s="255"/>
      <c r="AA22" s="255"/>
    </row>
    <row r="23" spans="1:27" ht="18" customHeight="1">
      <c r="A23" s="255"/>
      <c r="B23" s="386"/>
      <c r="C23" s="403"/>
      <c r="D23" s="404"/>
      <c r="E23" s="336"/>
      <c r="F23" s="255"/>
      <c r="G23" s="312">
        <v>13</v>
      </c>
      <c r="H23" s="313" t="str">
        <f ca="1">IF(OR(TRIM(D8)="-",TRIM(D9)="-"),IF(TRIM(D8)="-",D8,D9),IF(AND(E8="",E9="")," ",IF(N(E9)=N(E8)," ",IF(N(E9)&gt;N(E8),D8,D9))))</f>
        <v>Kulový blesk Olomouc - Hildenbrand Benjamin</v>
      </c>
      <c r="I23" s="314">
        <v>7</v>
      </c>
      <c r="J23" s="315"/>
      <c r="K23" s="326"/>
      <c r="L23" s="327"/>
      <c r="M23" s="293"/>
      <c r="N23" s="255"/>
      <c r="O23" s="255"/>
      <c r="P23" s="255"/>
      <c r="Q23" s="255"/>
      <c r="R23" s="255"/>
      <c r="S23" s="311"/>
      <c r="T23" s="255"/>
      <c r="U23" s="255"/>
      <c r="V23" s="255"/>
      <c r="W23" s="255"/>
      <c r="X23" s="255"/>
      <c r="Y23" s="255"/>
      <c r="Z23" s="255"/>
      <c r="AA23" s="255"/>
    </row>
    <row r="24" spans="1:27" ht="12.75" customHeight="1">
      <c r="A24" s="255"/>
      <c r="B24" s="386"/>
      <c r="C24" s="403"/>
      <c r="D24" s="404"/>
      <c r="E24" s="336"/>
      <c r="F24" s="407"/>
      <c r="G24" s="293"/>
      <c r="H24" s="385"/>
      <c r="I24" s="293"/>
      <c r="J24" s="255"/>
      <c r="K24" s="326"/>
      <c r="L24" s="327"/>
      <c r="M24" s="293"/>
      <c r="N24" s="255"/>
      <c r="O24" s="255"/>
      <c r="P24" s="255"/>
      <c r="Q24" s="255"/>
      <c r="R24" s="255"/>
      <c r="S24" s="311"/>
      <c r="T24" s="255"/>
      <c r="U24" s="255"/>
      <c r="V24" s="255"/>
      <c r="W24" s="255"/>
      <c r="X24" s="255"/>
      <c r="Y24" s="255"/>
      <c r="Z24" s="255"/>
      <c r="AA24" s="255"/>
    </row>
    <row r="25" spans="1:27" ht="14.25" customHeight="1">
      <c r="A25" s="255"/>
      <c r="B25" s="386"/>
      <c r="C25" s="403"/>
      <c r="D25" s="404"/>
      <c r="E25" s="336"/>
      <c r="F25" s="255"/>
      <c r="G25" s="255"/>
      <c r="H25" s="385"/>
      <c r="I25" s="255"/>
      <c r="J25" s="255"/>
      <c r="K25" s="326"/>
      <c r="L25" s="400" t="s">
        <v>1894</v>
      </c>
      <c r="M25" s="299">
        <v>18</v>
      </c>
      <c r="N25" s="255"/>
      <c r="O25" s="255"/>
      <c r="P25" s="255"/>
      <c r="Q25" s="255"/>
      <c r="R25" s="255"/>
      <c r="S25" s="311"/>
      <c r="T25" s="255"/>
      <c r="U25" s="255"/>
      <c r="V25" s="255"/>
      <c r="W25" s="255"/>
      <c r="X25" s="255"/>
      <c r="Y25" s="255"/>
      <c r="Z25" s="255"/>
      <c r="AA25" s="255"/>
    </row>
    <row r="26" spans="1:27" ht="18" customHeight="1">
      <c r="A26" s="255"/>
      <c r="B26" s="386"/>
      <c r="C26" s="403"/>
      <c r="D26" s="404"/>
      <c r="E26" s="336"/>
      <c r="F26" s="255"/>
      <c r="G26" s="255"/>
      <c r="H26" s="389"/>
      <c r="I26" s="311"/>
      <c r="J26" s="311"/>
      <c r="K26" s="307">
        <v>13</v>
      </c>
      <c r="L26" s="308" t="str">
        <f ca="1">IF(OR(TRIM(H22)="-",TRIM(H23)="-"),IF(TRIM(H22)="-",H23,H22),IF(AND(I22="",I23="")," ",IF(N(I22)=N(I23)," ",IF(N(I22)&gt;N(I23),H22,H23))))</f>
        <v>Orel Řečkovice - Olbort Tomáš</v>
      </c>
      <c r="M26" s="309">
        <v>1</v>
      </c>
      <c r="N26" s="328"/>
      <c r="O26" s="351">
        <v>13</v>
      </c>
      <c r="P26" s="367" t="str">
        <f ca="1">IF(AND(M26="",M27="")," ",IF(N(M26)=N(M27)," ",IF(N(M26)&gt;N(M27),L26,L27)))</f>
        <v>SOKOL Staříč - Šimíček Ladislav</v>
      </c>
      <c r="Q26" s="364">
        <v>13</v>
      </c>
      <c r="R26" s="255"/>
      <c r="S26" s="311"/>
      <c r="T26" s="255"/>
      <c r="U26" s="255"/>
      <c r="V26" s="255"/>
      <c r="W26" s="255"/>
      <c r="X26" s="255"/>
      <c r="Y26" s="255"/>
      <c r="Z26" s="255"/>
      <c r="AA26" s="255"/>
    </row>
    <row r="27" spans="1:27" ht="18" customHeight="1">
      <c r="A27" s="255"/>
      <c r="B27" s="386"/>
      <c r="C27" s="403"/>
      <c r="D27" s="404"/>
      <c r="E27" s="336"/>
      <c r="F27" s="255"/>
      <c r="G27" s="255"/>
      <c r="H27" s="390"/>
      <c r="I27" s="311"/>
      <c r="J27" s="311"/>
      <c r="K27" s="312">
        <v>14</v>
      </c>
      <c r="L27" s="313" t="str">
        <f ca="1">IF(OR(TRIM(H30)="-",TRIM(H31)="-"),IF(TRIM(H30)="-",H31,H30),IF(AND(I30="",I31="")," ",IF(N(I30)=N(I31)," ",IF(N(I30)&gt;N(I31),H30,H31))))</f>
        <v>SOKOL Staříč - Šimíček Ladislav</v>
      </c>
      <c r="M27" s="314">
        <v>13</v>
      </c>
      <c r="N27" s="315"/>
      <c r="O27" s="351">
        <v>14</v>
      </c>
      <c r="P27" s="367" t="str">
        <f ca="1">IF(AND(M26="",M27="")," ",IF(N(M27)=N(M26)," ",IF(N(M27)&gt;N(M26),L26,L27)))</f>
        <v>Orel Řečkovice - Olbort Tomáš</v>
      </c>
      <c r="Q27" s="368">
        <v>14</v>
      </c>
      <c r="R27" s="255"/>
      <c r="S27" s="311"/>
      <c r="T27" s="255"/>
      <c r="U27" s="255"/>
      <c r="V27" s="255"/>
      <c r="W27" s="255"/>
      <c r="X27" s="255"/>
      <c r="Y27" s="255"/>
      <c r="Z27" s="255"/>
      <c r="AA27" s="255"/>
    </row>
    <row r="28" spans="1:27" ht="15" customHeight="1">
      <c r="A28" s="255"/>
      <c r="B28" s="386"/>
      <c r="C28" s="403"/>
      <c r="D28" s="404"/>
      <c r="E28" s="336"/>
      <c r="F28" s="255"/>
      <c r="G28" s="255"/>
      <c r="H28" s="390"/>
      <c r="I28" s="311"/>
      <c r="J28" s="322"/>
      <c r="K28" s="293"/>
      <c r="L28" s="385"/>
      <c r="M28" s="311"/>
      <c r="N28" s="311"/>
      <c r="O28" s="387"/>
      <c r="P28" s="343"/>
      <c r="Q28" s="311"/>
      <c r="R28" s="255"/>
      <c r="S28" s="311"/>
      <c r="T28" s="255"/>
      <c r="U28" s="255"/>
      <c r="V28" s="255"/>
      <c r="W28" s="255"/>
      <c r="X28" s="255"/>
      <c r="Y28" s="255"/>
      <c r="Z28" s="255"/>
      <c r="AA28" s="255"/>
    </row>
    <row r="29" spans="1:27" ht="14.25" customHeight="1">
      <c r="A29" s="255"/>
      <c r="B29" s="386"/>
      <c r="C29" s="403"/>
      <c r="D29" s="404"/>
      <c r="E29" s="336"/>
      <c r="F29" s="407"/>
      <c r="G29" s="293"/>
      <c r="H29" s="400" t="s">
        <v>1893</v>
      </c>
      <c r="I29" s="299">
        <v>0</v>
      </c>
      <c r="J29" s="322"/>
      <c r="K29" s="293"/>
      <c r="L29" s="388"/>
      <c r="M29" s="388"/>
      <c r="N29" s="388"/>
      <c r="O29" s="388"/>
      <c r="P29" s="388"/>
      <c r="Q29" s="388"/>
      <c r="R29" s="255"/>
      <c r="S29" s="311"/>
      <c r="T29" s="255"/>
      <c r="U29" s="255"/>
      <c r="V29" s="255"/>
      <c r="W29" s="255"/>
      <c r="X29" s="255"/>
      <c r="Y29" s="255"/>
      <c r="Z29" s="255"/>
      <c r="AA29" s="255"/>
    </row>
    <row r="30" spans="1:27" ht="18" customHeight="1">
      <c r="A30" s="255"/>
      <c r="B30" s="386"/>
      <c r="C30" s="403"/>
      <c r="D30" s="404"/>
      <c r="E30" s="336"/>
      <c r="F30" s="255"/>
      <c r="G30" s="307">
        <v>14</v>
      </c>
      <c r="H30" s="308" t="str">
        <f ca="1">IF(OR(TRIM(D12)="-",TRIM(D13)="-"),IF(TRIM(D12)="-",D12,D13),IF(AND(E12="",E13="")," ",IF(N(E13)=N(E12)," ",IF(N(E13)&gt;N(E12),D12,D13))))</f>
        <v>PAK Albrechtice - Valík Václav</v>
      </c>
      <c r="I30" s="309"/>
      <c r="J30" s="328"/>
      <c r="K30" s="255"/>
      <c r="L30" s="390"/>
      <c r="M30" s="390"/>
      <c r="N30" s="390"/>
      <c r="O30" s="390"/>
      <c r="P30" s="390"/>
      <c r="Q30" s="390"/>
      <c r="R30" s="255"/>
      <c r="S30" s="311"/>
      <c r="T30" s="255"/>
      <c r="U30" s="255"/>
      <c r="V30" s="255"/>
      <c r="W30" s="255"/>
      <c r="X30" s="255"/>
      <c r="Y30" s="255"/>
      <c r="Z30" s="255"/>
      <c r="AA30" s="255"/>
    </row>
    <row r="31" spans="1:27" ht="18" customHeight="1">
      <c r="A31" s="255"/>
      <c r="B31" s="386"/>
      <c r="C31" s="403"/>
      <c r="D31" s="404"/>
      <c r="E31" s="336"/>
      <c r="F31" s="255"/>
      <c r="G31" s="312">
        <v>15</v>
      </c>
      <c r="H31" s="313" t="str">
        <f ca="1">IF(OR(TRIM(D16)="-",TRIM(D17)="-"),IF(TRIM(D16)="-",D16,D17),IF(AND(E16="",E17="")," ",IF(N(E17)=N(E16)," ",IF(N(E17)&gt;N(E16),D16,D17))))</f>
        <v>SOKOL Staříč - Šimíček Ladislav</v>
      </c>
      <c r="I31" s="314">
        <v>1</v>
      </c>
      <c r="J31" s="268"/>
      <c r="K31" s="255"/>
      <c r="L31" s="390"/>
      <c r="M31" s="390"/>
      <c r="N31" s="390"/>
      <c r="O31" s="390"/>
      <c r="P31" s="390"/>
      <c r="Q31" s="390"/>
      <c r="R31" s="255"/>
      <c r="S31" s="311"/>
      <c r="T31" s="255"/>
      <c r="U31" s="255"/>
      <c r="V31" s="255"/>
      <c r="W31" s="255"/>
      <c r="X31" s="255"/>
      <c r="Y31" s="255"/>
      <c r="Z31" s="255"/>
      <c r="AA31" s="255"/>
    </row>
    <row r="32" spans="1:27" ht="12.75" customHeight="1">
      <c r="A32" s="255"/>
      <c r="B32" s="386"/>
      <c r="C32" s="403"/>
      <c r="D32" s="404"/>
      <c r="E32" s="336"/>
      <c r="F32" s="255"/>
      <c r="G32" s="255"/>
      <c r="H32" s="354"/>
      <c r="I32" s="255"/>
      <c r="J32" s="255"/>
      <c r="K32" s="255"/>
      <c r="L32" s="255"/>
      <c r="M32" s="255"/>
      <c r="N32" s="255"/>
      <c r="O32" s="255"/>
      <c r="P32" s="255"/>
      <c r="Q32" s="255"/>
      <c r="R32" s="255"/>
      <c r="S32" s="311"/>
      <c r="T32" s="255"/>
      <c r="U32" s="255"/>
      <c r="V32" s="255"/>
      <c r="W32" s="255"/>
      <c r="X32" s="255"/>
      <c r="Y32" s="255"/>
      <c r="Z32" s="255"/>
      <c r="AA32" s="255"/>
    </row>
    <row r="33" spans="1:27" ht="14.25" customHeight="1">
      <c r="A33" s="255"/>
      <c r="B33" s="386"/>
      <c r="C33" s="403"/>
      <c r="D33" s="404"/>
      <c r="E33" s="336"/>
      <c r="F33" s="255"/>
      <c r="G33" s="255"/>
      <c r="H33" s="354"/>
      <c r="I33" s="255"/>
      <c r="J33" s="255"/>
      <c r="K33" s="255"/>
      <c r="L33" s="400" t="s">
        <v>1895</v>
      </c>
      <c r="M33" s="299">
        <v>0</v>
      </c>
      <c r="N33" s="255"/>
      <c r="O33" s="255"/>
      <c r="P33" s="255"/>
      <c r="Q33" s="255"/>
      <c r="R33" s="255"/>
      <c r="S33" s="311"/>
      <c r="T33" s="255"/>
      <c r="U33" s="255"/>
      <c r="V33" s="255"/>
      <c r="W33" s="255"/>
      <c r="X33" s="255"/>
      <c r="Y33" s="255"/>
      <c r="Z33" s="255"/>
      <c r="AA33" s="255"/>
    </row>
    <row r="34" spans="1:27" ht="18" customHeight="1">
      <c r="A34" s="255"/>
      <c r="B34" s="386"/>
      <c r="C34" s="403"/>
      <c r="D34" s="404"/>
      <c r="E34" s="336"/>
      <c r="F34" s="255"/>
      <c r="G34" s="255"/>
      <c r="H34" s="354"/>
      <c r="I34" s="255"/>
      <c r="J34" s="255"/>
      <c r="K34" s="307">
        <v>15</v>
      </c>
      <c r="L34" s="308" t="str">
        <f ca="1">IF(OR(TRIM(H22)="-",TRIM(H23)="-"),IF(TRIM(H22)="-",H22,H23),IF(AND(I22="",I23="")," ",IF(N(I23)=N(I22)," ",IF(N(I23)&gt;N(I22),H22,H23))))</f>
        <v>Kulový blesk Olomouc - Hildenbrand Benjamin</v>
      </c>
      <c r="M34" s="309">
        <v>1</v>
      </c>
      <c r="N34" s="328"/>
      <c r="O34" s="351">
        <v>15</v>
      </c>
      <c r="P34" s="367" t="str">
        <f ca="1">IF(AND(M34="",M35="")," ",IF(N(M34)=N(M35)," ",IF(N(M34)&gt;N(M35),L34,L35)))</f>
        <v>Kulový blesk Olomouc - Hildenbrand Benjamin</v>
      </c>
      <c r="Q34" s="364">
        <v>15</v>
      </c>
      <c r="R34" s="255"/>
      <c r="S34" s="311"/>
      <c r="T34" s="255"/>
      <c r="U34" s="255"/>
      <c r="V34" s="255"/>
      <c r="W34" s="255"/>
      <c r="X34" s="255"/>
      <c r="Y34" s="255"/>
      <c r="Z34" s="255"/>
      <c r="AA34" s="255"/>
    </row>
    <row r="35" spans="1:27" ht="18" customHeight="1">
      <c r="A35" s="255"/>
      <c r="B35" s="386"/>
      <c r="C35" s="403"/>
      <c r="D35" s="404"/>
      <c r="E35" s="336"/>
      <c r="F35" s="255"/>
      <c r="G35" s="255"/>
      <c r="H35" s="354"/>
      <c r="I35" s="255"/>
      <c r="J35" s="255"/>
      <c r="K35" s="312">
        <v>16</v>
      </c>
      <c r="L35" s="313" t="str">
        <f ca="1">IF(OR(TRIM(H30)="-",TRIM(H31)="-"),IF(TRIM(H30)="-",H30,H31),IF(AND(I30="",I31="")," ",IF(N(I31)=N(I30)," ",IF(N(I31)&gt;N(I30),H30,H31))))</f>
        <v>PAK Albrechtice - Valík Václav</v>
      </c>
      <c r="M35" s="314">
        <v>0</v>
      </c>
      <c r="N35" s="315"/>
      <c r="O35" s="351">
        <v>16</v>
      </c>
      <c r="P35" s="367" t="str">
        <f ca="1">IF(AND(M34="",M35="")," ",IF(N(M35)=N(M34)," ",IF(N(M35)&gt;N(M34),L34,L35)))</f>
        <v>PAK Albrechtice - Valík Václav</v>
      </c>
      <c r="Q35" s="368">
        <v>16</v>
      </c>
      <c r="R35" s="255"/>
      <c r="S35" s="311"/>
      <c r="T35" s="255"/>
      <c r="U35" s="255"/>
      <c r="V35" s="255"/>
      <c r="W35" s="255"/>
      <c r="X35" s="255"/>
      <c r="Y35" s="255"/>
      <c r="Z35" s="255"/>
      <c r="AA35" s="255"/>
    </row>
    <row r="36" spans="1:27" ht="12.75" customHeight="1">
      <c r="A36" s="255"/>
      <c r="B36" s="386"/>
      <c r="C36" s="403"/>
      <c r="D36" s="404"/>
      <c r="E36" s="336"/>
      <c r="F36" s="255"/>
      <c r="G36" s="255"/>
      <c r="H36" s="354"/>
      <c r="I36" s="255"/>
      <c r="J36" s="255"/>
      <c r="K36" s="255"/>
      <c r="L36" s="255"/>
      <c r="M36" s="255"/>
      <c r="N36" s="255"/>
      <c r="O36" s="255"/>
      <c r="P36" s="255"/>
      <c r="Q36" s="255"/>
      <c r="R36" s="255"/>
      <c r="S36" s="311"/>
      <c r="T36" s="255"/>
      <c r="U36" s="255"/>
      <c r="V36" s="255"/>
      <c r="W36" s="255"/>
      <c r="X36" s="255"/>
      <c r="Y36" s="255"/>
      <c r="Z36" s="255"/>
      <c r="AA36" s="255"/>
    </row>
    <row r="37" spans="1:27" ht="12.75" customHeight="1">
      <c r="A37" s="255"/>
      <c r="B37" s="386"/>
      <c r="C37" s="403"/>
      <c r="D37" s="404"/>
      <c r="E37" s="336"/>
      <c r="F37" s="255"/>
      <c r="G37" s="255"/>
      <c r="H37" s="354"/>
      <c r="I37" s="255"/>
      <c r="J37" s="255"/>
      <c r="K37" s="255"/>
      <c r="L37" s="255"/>
      <c r="M37" s="255"/>
      <c r="N37" s="255"/>
      <c r="O37" s="255"/>
      <c r="P37" s="255"/>
      <c r="Q37" s="255"/>
      <c r="R37" s="255"/>
      <c r="S37" s="311"/>
      <c r="T37" s="255"/>
      <c r="U37" s="255"/>
      <c r="V37" s="255"/>
      <c r="W37" s="255"/>
      <c r="X37" s="255"/>
      <c r="Y37" s="255"/>
      <c r="Z37" s="255"/>
      <c r="AA37" s="255"/>
    </row>
    <row r="38" spans="1:27" ht="12.75" customHeight="1">
      <c r="A38" s="255"/>
      <c r="B38" s="386"/>
      <c r="C38" s="403"/>
      <c r="D38" s="404"/>
      <c r="E38" s="336"/>
      <c r="F38" s="255"/>
      <c r="G38" s="255"/>
      <c r="H38" s="354"/>
      <c r="I38" s="255"/>
      <c r="J38" s="255"/>
      <c r="K38" s="255"/>
      <c r="L38" s="255"/>
      <c r="M38" s="255"/>
      <c r="N38" s="255"/>
      <c r="O38" s="255"/>
      <c r="P38" s="255"/>
      <c r="Q38" s="255"/>
      <c r="R38" s="255"/>
      <c r="S38" s="311"/>
      <c r="T38" s="255"/>
      <c r="U38" s="255"/>
      <c r="V38" s="255"/>
      <c r="W38" s="255"/>
      <c r="X38" s="255"/>
      <c r="Y38" s="255"/>
      <c r="Z38" s="255"/>
      <c r="AA38" s="255"/>
    </row>
    <row r="39" spans="1:27" ht="12.75" customHeight="1">
      <c r="A39" s="255"/>
      <c r="B39" s="386"/>
      <c r="C39" s="403"/>
      <c r="D39" s="404"/>
      <c r="E39" s="336"/>
      <c r="F39" s="255"/>
      <c r="G39" s="255"/>
      <c r="H39" s="354"/>
      <c r="I39" s="255"/>
      <c r="J39" s="255"/>
      <c r="K39" s="255"/>
      <c r="L39" s="255"/>
      <c r="M39" s="255"/>
      <c r="N39" s="255"/>
      <c r="O39" s="255"/>
      <c r="P39" s="255"/>
      <c r="Q39" s="255"/>
      <c r="R39" s="255"/>
      <c r="S39" s="311"/>
      <c r="T39" s="255"/>
      <c r="U39" s="255"/>
      <c r="V39" s="255"/>
      <c r="W39" s="255"/>
      <c r="X39" s="255"/>
      <c r="Y39" s="255"/>
      <c r="Z39" s="255"/>
      <c r="AA39" s="255"/>
    </row>
    <row r="40" spans="1:27" ht="12.75" customHeight="1">
      <c r="A40" s="255"/>
      <c r="B40" s="386"/>
      <c r="C40" s="403"/>
      <c r="D40" s="404"/>
      <c r="E40" s="336"/>
      <c r="F40" s="255"/>
      <c r="G40" s="255"/>
      <c r="H40" s="354"/>
      <c r="I40" s="255"/>
      <c r="J40" s="255"/>
      <c r="K40" s="255"/>
      <c r="L40" s="255"/>
      <c r="M40" s="255"/>
      <c r="N40" s="255"/>
      <c r="O40" s="255"/>
      <c r="P40" s="255"/>
      <c r="Q40" s="255"/>
      <c r="R40" s="255"/>
      <c r="S40" s="311"/>
      <c r="T40" s="255"/>
      <c r="U40" s="255"/>
      <c r="V40" s="255"/>
      <c r="W40" s="255"/>
      <c r="X40" s="255"/>
      <c r="Y40" s="255"/>
      <c r="Z40" s="255"/>
      <c r="AA40" s="255"/>
    </row>
    <row r="41" spans="1:27" ht="12.75" customHeight="1">
      <c r="A41" s="255"/>
      <c r="B41" s="386"/>
      <c r="C41" s="403"/>
      <c r="D41" s="404"/>
      <c r="E41" s="336"/>
      <c r="F41" s="255"/>
      <c r="G41" s="255"/>
      <c r="H41" s="354"/>
      <c r="I41" s="255"/>
      <c r="J41" s="255"/>
      <c r="K41" s="255"/>
      <c r="L41" s="255"/>
      <c r="M41" s="255"/>
      <c r="N41" s="255"/>
      <c r="O41" s="255"/>
      <c r="P41" s="255"/>
      <c r="Q41" s="255"/>
      <c r="R41" s="255"/>
      <c r="S41" s="311"/>
      <c r="T41" s="255"/>
      <c r="U41" s="255"/>
      <c r="V41" s="255"/>
      <c r="W41" s="255"/>
      <c r="X41" s="255"/>
      <c r="Y41" s="255"/>
      <c r="Z41" s="255"/>
      <c r="AA41" s="255"/>
    </row>
    <row r="42" spans="1:27" ht="12.75" customHeight="1">
      <c r="A42" s="255"/>
      <c r="B42" s="386"/>
      <c r="C42" s="403"/>
      <c r="D42" s="404"/>
      <c r="E42" s="336"/>
      <c r="F42" s="255"/>
      <c r="G42" s="255"/>
      <c r="H42" s="354"/>
      <c r="I42" s="255"/>
      <c r="J42" s="255"/>
      <c r="K42" s="255"/>
      <c r="L42" s="255"/>
      <c r="M42" s="255"/>
      <c r="N42" s="255"/>
      <c r="O42" s="255"/>
      <c r="P42" s="255"/>
      <c r="Q42" s="255"/>
      <c r="R42" s="255"/>
      <c r="S42" s="311"/>
      <c r="T42" s="255"/>
      <c r="U42" s="255"/>
      <c r="V42" s="255"/>
      <c r="W42" s="255"/>
      <c r="X42" s="255"/>
      <c r="Y42" s="255"/>
      <c r="Z42" s="255"/>
      <c r="AA42" s="255"/>
    </row>
    <row r="43" spans="1:27" ht="12.75" customHeight="1">
      <c r="A43" s="255"/>
      <c r="B43" s="386"/>
      <c r="C43" s="403"/>
      <c r="D43" s="404"/>
      <c r="E43" s="336"/>
      <c r="F43" s="255"/>
      <c r="G43" s="255"/>
      <c r="H43" s="354"/>
      <c r="I43" s="255"/>
      <c r="J43" s="255"/>
      <c r="K43" s="255"/>
      <c r="L43" s="255"/>
      <c r="M43" s="255"/>
      <c r="N43" s="255"/>
      <c r="O43" s="255"/>
      <c r="P43" s="255"/>
      <c r="Q43" s="255"/>
      <c r="R43" s="255"/>
      <c r="S43" s="311"/>
      <c r="T43" s="255"/>
      <c r="U43" s="255"/>
      <c r="V43" s="255"/>
      <c r="W43" s="255"/>
      <c r="X43" s="255"/>
      <c r="Y43" s="255"/>
      <c r="Z43" s="255"/>
      <c r="AA43" s="255"/>
    </row>
    <row r="44" spans="1:27" ht="12.75" customHeight="1">
      <c r="A44" s="255"/>
      <c r="B44" s="386"/>
      <c r="C44" s="403"/>
      <c r="D44" s="404"/>
      <c r="E44" s="336"/>
      <c r="F44" s="255"/>
      <c r="G44" s="255"/>
      <c r="H44" s="354"/>
      <c r="I44" s="255"/>
      <c r="J44" s="255"/>
      <c r="K44" s="255"/>
      <c r="L44" s="255"/>
      <c r="M44" s="255"/>
      <c r="N44" s="255"/>
      <c r="O44" s="255"/>
      <c r="P44" s="255"/>
      <c r="Q44" s="255"/>
      <c r="R44" s="255"/>
      <c r="S44" s="311"/>
      <c r="T44" s="255"/>
      <c r="U44" s="255"/>
      <c r="V44" s="255"/>
      <c r="W44" s="255"/>
      <c r="X44" s="255"/>
      <c r="Y44" s="255"/>
      <c r="Z44" s="255"/>
      <c r="AA44" s="255"/>
    </row>
    <row r="45" spans="1:27" ht="12.75" customHeight="1">
      <c r="A45" s="255"/>
      <c r="B45" s="386"/>
      <c r="C45" s="403"/>
      <c r="D45" s="404"/>
      <c r="E45" s="336"/>
      <c r="F45" s="255"/>
      <c r="G45" s="255"/>
      <c r="H45" s="354"/>
      <c r="I45" s="255"/>
      <c r="J45" s="255"/>
      <c r="K45" s="255"/>
      <c r="L45" s="255"/>
      <c r="M45" s="255"/>
      <c r="N45" s="255"/>
      <c r="O45" s="255"/>
      <c r="P45" s="255"/>
      <c r="Q45" s="255"/>
      <c r="R45" s="255"/>
      <c r="S45" s="311"/>
      <c r="T45" s="255"/>
      <c r="U45" s="255"/>
      <c r="V45" s="255"/>
      <c r="W45" s="255"/>
      <c r="X45" s="255"/>
      <c r="Y45" s="255"/>
      <c r="Z45" s="255"/>
      <c r="AA45" s="255"/>
    </row>
    <row r="46" spans="1:27" ht="12.75" customHeight="1">
      <c r="A46" s="255"/>
      <c r="B46" s="386"/>
      <c r="C46" s="403"/>
      <c r="D46" s="404"/>
      <c r="E46" s="336"/>
      <c r="F46" s="255"/>
      <c r="G46" s="255"/>
      <c r="H46" s="354"/>
      <c r="I46" s="255"/>
      <c r="J46" s="255"/>
      <c r="K46" s="255"/>
      <c r="L46" s="255"/>
      <c r="M46" s="255"/>
      <c r="N46" s="255"/>
      <c r="O46" s="255"/>
      <c r="P46" s="255"/>
      <c r="Q46" s="255"/>
      <c r="R46" s="255"/>
      <c r="S46" s="311"/>
      <c r="T46" s="255"/>
      <c r="U46" s="255"/>
      <c r="V46" s="255"/>
      <c r="W46" s="255"/>
      <c r="X46" s="255"/>
      <c r="Y46" s="255"/>
      <c r="Z46" s="255"/>
      <c r="AA46" s="255"/>
    </row>
    <row r="47" spans="1:27" ht="12.75" customHeight="1">
      <c r="A47" s="255"/>
      <c r="B47" s="386"/>
      <c r="C47" s="403"/>
      <c r="D47" s="404"/>
      <c r="E47" s="336"/>
      <c r="F47" s="255"/>
      <c r="G47" s="255"/>
      <c r="H47" s="354"/>
      <c r="I47" s="255"/>
      <c r="J47" s="255"/>
      <c r="K47" s="255"/>
      <c r="L47" s="255"/>
      <c r="M47" s="255"/>
      <c r="N47" s="255"/>
      <c r="O47" s="255"/>
      <c r="P47" s="255"/>
      <c r="Q47" s="255"/>
      <c r="R47" s="255"/>
      <c r="S47" s="311"/>
      <c r="T47" s="255"/>
      <c r="U47" s="255"/>
      <c r="V47" s="255"/>
      <c r="W47" s="255"/>
      <c r="X47" s="255"/>
      <c r="Y47" s="255"/>
      <c r="Z47" s="255"/>
      <c r="AA47" s="255"/>
    </row>
    <row r="48" spans="1:27" ht="12.75" customHeight="1">
      <c r="A48" s="255"/>
      <c r="B48" s="386"/>
      <c r="C48" s="403"/>
      <c r="D48" s="404"/>
      <c r="E48" s="336"/>
      <c r="F48" s="255"/>
      <c r="G48" s="255"/>
      <c r="H48" s="354"/>
      <c r="I48" s="255"/>
      <c r="J48" s="255"/>
      <c r="K48" s="255"/>
      <c r="L48" s="255"/>
      <c r="M48" s="255"/>
      <c r="N48" s="255"/>
      <c r="O48" s="255"/>
      <c r="P48" s="255"/>
      <c r="Q48" s="255"/>
      <c r="R48" s="255"/>
      <c r="S48" s="311"/>
      <c r="T48" s="255"/>
      <c r="U48" s="255"/>
      <c r="V48" s="255"/>
      <c r="W48" s="255"/>
      <c r="X48" s="255"/>
      <c r="Y48" s="255"/>
      <c r="Z48" s="255"/>
      <c r="AA48" s="255"/>
    </row>
    <row r="49" spans="1:27" ht="12.75" customHeight="1">
      <c r="A49" s="255"/>
      <c r="B49" s="386"/>
      <c r="C49" s="403"/>
      <c r="D49" s="404"/>
      <c r="E49" s="336"/>
      <c r="F49" s="255"/>
      <c r="G49" s="255"/>
      <c r="H49" s="354"/>
      <c r="I49" s="255"/>
      <c r="J49" s="255"/>
      <c r="K49" s="255"/>
      <c r="L49" s="255"/>
      <c r="M49" s="255"/>
      <c r="N49" s="255"/>
      <c r="O49" s="255"/>
      <c r="P49" s="255"/>
      <c r="Q49" s="255"/>
      <c r="R49" s="255"/>
      <c r="S49" s="311"/>
      <c r="T49" s="255"/>
      <c r="U49" s="255"/>
      <c r="V49" s="255"/>
      <c r="W49" s="255"/>
      <c r="X49" s="255"/>
      <c r="Y49" s="255"/>
      <c r="Z49" s="255"/>
      <c r="AA49" s="255"/>
    </row>
    <row r="50" spans="1:27" ht="12.75" customHeight="1">
      <c r="A50" s="255"/>
      <c r="B50" s="386"/>
      <c r="C50" s="403"/>
      <c r="D50" s="404"/>
      <c r="E50" s="336"/>
      <c r="F50" s="255"/>
      <c r="G50" s="255"/>
      <c r="H50" s="354"/>
      <c r="I50" s="255"/>
      <c r="J50" s="255"/>
      <c r="K50" s="255"/>
      <c r="L50" s="255"/>
      <c r="M50" s="255"/>
      <c r="N50" s="255"/>
      <c r="O50" s="255"/>
      <c r="P50" s="255"/>
      <c r="Q50" s="255"/>
      <c r="R50" s="255"/>
      <c r="S50" s="311"/>
      <c r="T50" s="255"/>
      <c r="U50" s="255"/>
      <c r="V50" s="255"/>
      <c r="W50" s="255"/>
      <c r="X50" s="255"/>
      <c r="Y50" s="255"/>
      <c r="Z50" s="255"/>
      <c r="AA50" s="255"/>
    </row>
    <row r="51" spans="1:27" ht="12.75" customHeight="1">
      <c r="A51" s="255"/>
      <c r="B51" s="386"/>
      <c r="C51" s="403"/>
      <c r="D51" s="404"/>
      <c r="E51" s="336"/>
      <c r="F51" s="255"/>
      <c r="G51" s="255"/>
      <c r="H51" s="354"/>
      <c r="I51" s="255"/>
      <c r="J51" s="255"/>
      <c r="K51" s="255"/>
      <c r="L51" s="255"/>
      <c r="M51" s="255"/>
      <c r="N51" s="255"/>
      <c r="O51" s="255"/>
      <c r="P51" s="255"/>
      <c r="Q51" s="255"/>
      <c r="R51" s="255"/>
      <c r="S51" s="311"/>
      <c r="T51" s="255"/>
      <c r="U51" s="255"/>
      <c r="V51" s="255"/>
      <c r="W51" s="255"/>
      <c r="X51" s="255"/>
      <c r="Y51" s="255"/>
      <c r="Z51" s="255"/>
      <c r="AA51" s="255"/>
    </row>
    <row r="52" spans="1:27" ht="12.75" customHeight="1">
      <c r="A52" s="255"/>
      <c r="B52" s="386"/>
      <c r="C52" s="403"/>
      <c r="D52" s="404"/>
      <c r="E52" s="336"/>
      <c r="F52" s="255"/>
      <c r="G52" s="255"/>
      <c r="H52" s="354"/>
      <c r="I52" s="255"/>
      <c r="J52" s="255"/>
      <c r="K52" s="255"/>
      <c r="L52" s="255"/>
      <c r="M52" s="255"/>
      <c r="N52" s="255"/>
      <c r="O52" s="255"/>
      <c r="P52" s="255"/>
      <c r="Q52" s="255"/>
      <c r="R52" s="255"/>
      <c r="S52" s="311"/>
      <c r="T52" s="255"/>
      <c r="U52" s="255"/>
      <c r="V52" s="255"/>
      <c r="W52" s="255"/>
      <c r="X52" s="255"/>
      <c r="Y52" s="255"/>
      <c r="Z52" s="255"/>
      <c r="AA52" s="255"/>
    </row>
    <row r="53" spans="1:27" ht="12.75" customHeight="1">
      <c r="A53" s="255"/>
      <c r="B53" s="386"/>
      <c r="C53" s="403"/>
      <c r="D53" s="404"/>
      <c r="E53" s="336"/>
      <c r="F53" s="255"/>
      <c r="G53" s="255"/>
      <c r="H53" s="354"/>
      <c r="I53" s="255"/>
      <c r="J53" s="255"/>
      <c r="K53" s="255"/>
      <c r="L53" s="255"/>
      <c r="M53" s="255"/>
      <c r="N53" s="255"/>
      <c r="O53" s="255"/>
      <c r="P53" s="255"/>
      <c r="Q53" s="255"/>
      <c r="R53" s="255"/>
      <c r="S53" s="311"/>
      <c r="T53" s="255"/>
      <c r="U53" s="255"/>
      <c r="V53" s="255"/>
      <c r="W53" s="255"/>
      <c r="X53" s="255"/>
      <c r="Y53" s="255"/>
      <c r="Z53" s="255"/>
      <c r="AA53" s="255"/>
    </row>
    <row r="54" spans="1:27" ht="12.75" customHeight="1">
      <c r="A54" s="255"/>
      <c r="B54" s="386"/>
      <c r="C54" s="403"/>
      <c r="D54" s="404"/>
      <c r="E54" s="336"/>
      <c r="F54" s="255"/>
      <c r="G54" s="255"/>
      <c r="H54" s="354"/>
      <c r="I54" s="255"/>
      <c r="J54" s="255"/>
      <c r="K54" s="255"/>
      <c r="L54" s="255"/>
      <c r="M54" s="255"/>
      <c r="N54" s="255"/>
      <c r="O54" s="255"/>
      <c r="P54" s="255"/>
      <c r="Q54" s="255"/>
      <c r="R54" s="255"/>
      <c r="S54" s="311"/>
      <c r="T54" s="255"/>
      <c r="U54" s="255"/>
      <c r="V54" s="255"/>
      <c r="W54" s="255"/>
      <c r="X54" s="255"/>
      <c r="Y54" s="255"/>
      <c r="Z54" s="255"/>
      <c r="AA54" s="255"/>
    </row>
    <row r="55" spans="1:27" ht="12.75" customHeight="1">
      <c r="A55" s="255"/>
      <c r="B55" s="386"/>
      <c r="C55" s="403"/>
      <c r="D55" s="404"/>
      <c r="E55" s="336"/>
      <c r="F55" s="255"/>
      <c r="G55" s="255"/>
      <c r="H55" s="354"/>
      <c r="I55" s="255"/>
      <c r="J55" s="255"/>
      <c r="K55" s="255"/>
      <c r="L55" s="255"/>
      <c r="M55" s="255"/>
      <c r="N55" s="255"/>
      <c r="O55" s="255"/>
      <c r="P55" s="255"/>
      <c r="Q55" s="255"/>
      <c r="R55" s="255"/>
      <c r="S55" s="311"/>
      <c r="T55" s="255"/>
      <c r="U55" s="255"/>
      <c r="V55" s="255"/>
      <c r="W55" s="255"/>
      <c r="X55" s="255"/>
      <c r="Y55" s="255"/>
      <c r="Z55" s="255"/>
      <c r="AA55" s="255"/>
    </row>
    <row r="56" spans="1:27" ht="12.75" customHeight="1">
      <c r="A56" s="255"/>
      <c r="B56" s="386"/>
      <c r="C56" s="403"/>
      <c r="D56" s="404"/>
      <c r="E56" s="336"/>
      <c r="F56" s="255"/>
      <c r="G56" s="255"/>
      <c r="H56" s="354"/>
      <c r="I56" s="255"/>
      <c r="J56" s="255"/>
      <c r="K56" s="255"/>
      <c r="L56" s="255"/>
      <c r="M56" s="255"/>
      <c r="N56" s="255"/>
      <c r="O56" s="255"/>
      <c r="P56" s="255"/>
      <c r="Q56" s="255"/>
      <c r="R56" s="255"/>
      <c r="S56" s="311"/>
      <c r="T56" s="255"/>
      <c r="U56" s="255"/>
      <c r="V56" s="255"/>
      <c r="W56" s="255"/>
      <c r="X56" s="255"/>
      <c r="Y56" s="255"/>
      <c r="Z56" s="255"/>
      <c r="AA56" s="255"/>
    </row>
    <row r="57" spans="1:27" ht="12" customHeight="1"/>
    <row r="58" spans="1:27" ht="12" customHeight="1"/>
    <row r="59" spans="1:27" ht="12" customHeight="1"/>
    <row r="60" spans="1:27" ht="12" customHeight="1"/>
    <row r="61" spans="1:27" ht="12" customHeight="1"/>
    <row r="62" spans="1:27" ht="12" customHeight="1"/>
    <row r="63" spans="1:27" ht="12" customHeight="1"/>
    <row r="64" spans="1:27"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D12 D16 H6 H14 H22 H30 L10 L18 L26 L34">
    <cfRule type="expression" dxfId="27" priority="1">
      <formula>IF(N(I14)&gt;N(I15),TRUE,FALSE)</formula>
    </cfRule>
  </conditionalFormatting>
  <conditionalFormatting sqref="C4 C8 C12 C16 G6 G14 G22 G30 K10 K18 K26 K34">
    <cfRule type="expression" dxfId="26" priority="2">
      <formula>IF(N(I14)&gt;N(I15),TRUE,FALSE)</formula>
    </cfRule>
  </conditionalFormatting>
  <conditionalFormatting sqref="E4 E8 E12 E16 I6 I14 I22 I30 M10 M18 M26 M34">
    <cfRule type="expression" dxfId="25" priority="3">
      <formula>IF(N(M18)&gt;N(M19),TRUE,FALSE)</formula>
    </cfRule>
  </conditionalFormatting>
  <conditionalFormatting sqref="C5 C9 C13 C17 G7 G15 G23 G31 K11 K19 K27 K35">
    <cfRule type="expression" dxfId="24" priority="4">
      <formula>IF(N(I15)&gt;N(I14),TRUE,FALSE)</formula>
    </cfRule>
  </conditionalFormatting>
  <conditionalFormatting sqref="D5 D9 D13 D17 H7 H15 H23 H31 L11 L19 L27 L35">
    <cfRule type="expression" dxfId="23" priority="5">
      <formula>IF(N(M35)&gt;N(M34),TRUE,FALSE)</formula>
    </cfRule>
  </conditionalFormatting>
  <conditionalFormatting sqref="E5 E9 E13 E17 I7 I15 I23 I31 M11 M19 M27 M35">
    <cfRule type="expression" dxfId="22" priority="6">
      <formula>IF(N(M19)&gt;N(M18),TRUE,FALSE)</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CCFF"/>
  </sheetPr>
  <dimension ref="A1:H1000"/>
  <sheetViews>
    <sheetView workbookViewId="0"/>
  </sheetViews>
  <sheetFormatPr defaultColWidth="14.375" defaultRowHeight="15" customHeight="1"/>
  <cols>
    <col min="1" max="1" width="13.75" customWidth="1"/>
    <col min="2" max="2" width="39.75" customWidth="1"/>
    <col min="3" max="3" width="28.875" customWidth="1"/>
    <col min="4" max="4" width="17.375" customWidth="1"/>
    <col min="5" max="5" width="5.375" customWidth="1"/>
    <col min="6" max="6" width="9.375" customWidth="1"/>
    <col min="7" max="26" width="8" customWidth="1"/>
  </cols>
  <sheetData>
    <row r="1" spans="1:8" ht="30.75" customHeight="1">
      <c r="A1" s="49"/>
      <c r="B1" s="49"/>
      <c r="C1" s="49"/>
      <c r="D1" s="49"/>
      <c r="E1" s="50">
        <v>23014</v>
      </c>
      <c r="F1" s="50"/>
      <c r="G1" s="51" t="s">
        <v>1491</v>
      </c>
      <c r="H1" s="17"/>
    </row>
    <row r="2" spans="1:8" ht="12.75" customHeight="1">
      <c r="A2" s="49"/>
      <c r="B2" s="49" t="s">
        <v>1492</v>
      </c>
      <c r="C2" s="52"/>
      <c r="D2" s="49"/>
      <c r="E2" s="49"/>
      <c r="F2" s="49"/>
      <c r="H2" s="17"/>
    </row>
    <row r="3" spans="1:8" ht="12.75" customHeight="1">
      <c r="A3" s="53" t="s">
        <v>1493</v>
      </c>
      <c r="B3" s="53" t="s">
        <v>1494</v>
      </c>
      <c r="C3" s="54" t="s">
        <v>1495</v>
      </c>
      <c r="D3" s="53"/>
      <c r="E3" s="55">
        <v>45038</v>
      </c>
      <c r="F3" s="56" t="s">
        <v>1496</v>
      </c>
      <c r="G3" s="11" t="s">
        <v>1497</v>
      </c>
      <c r="H3" s="17"/>
    </row>
    <row r="4" spans="1:8" ht="10.5" customHeight="1">
      <c r="A4" s="49"/>
      <c r="B4" s="49"/>
      <c r="C4" s="49"/>
      <c r="D4" s="49"/>
      <c r="E4" s="49"/>
      <c r="F4" s="49"/>
      <c r="G4" s="11" t="s">
        <v>1498</v>
      </c>
      <c r="H4" s="17"/>
    </row>
    <row r="5" spans="1:8" ht="12.75" customHeight="1">
      <c r="A5" s="49"/>
      <c r="B5" s="49"/>
      <c r="C5" s="49"/>
      <c r="D5" s="49"/>
      <c r="E5" s="49"/>
      <c r="F5" s="49"/>
      <c r="G5" s="11" t="s">
        <v>1499</v>
      </c>
      <c r="H5" s="17"/>
    </row>
    <row r="6" spans="1:8" ht="26.25" customHeight="1">
      <c r="A6" s="49"/>
      <c r="B6" s="49"/>
      <c r="C6" s="49"/>
      <c r="D6" s="49"/>
      <c r="E6" s="49"/>
      <c r="F6" s="49"/>
      <c r="G6" s="17"/>
      <c r="H6" s="17"/>
    </row>
    <row r="7" spans="1:8" ht="8.25" customHeight="1">
      <c r="A7" s="49"/>
      <c r="B7" s="49"/>
      <c r="C7" s="49"/>
      <c r="D7" s="49"/>
      <c r="E7" s="49"/>
      <c r="F7" s="49"/>
      <c r="G7" s="17"/>
      <c r="H7" s="17"/>
    </row>
    <row r="8" spans="1:8" ht="26.25" customHeight="1">
      <c r="A8" s="57" t="s">
        <v>1500</v>
      </c>
      <c r="B8" s="58" t="s">
        <v>1501</v>
      </c>
      <c r="C8" s="59" t="s">
        <v>1502</v>
      </c>
      <c r="D8" s="59">
        <v>1</v>
      </c>
      <c r="E8" s="57" t="s">
        <v>1503</v>
      </c>
      <c r="F8" s="57" t="s">
        <v>1504</v>
      </c>
      <c r="G8" s="11"/>
      <c r="H8" s="17"/>
    </row>
    <row r="9" spans="1:8" ht="13.5" customHeight="1">
      <c r="A9" s="60">
        <v>99532</v>
      </c>
      <c r="B9" s="61" t="s">
        <v>1505</v>
      </c>
      <c r="C9" s="61" t="s">
        <v>221</v>
      </c>
      <c r="D9" s="61"/>
      <c r="E9" s="60">
        <v>2</v>
      </c>
      <c r="F9" s="60">
        <v>55.375</v>
      </c>
      <c r="G9" s="11" t="s">
        <v>1506</v>
      </c>
      <c r="H9" s="17"/>
    </row>
    <row r="10" spans="1:8" ht="13.5" customHeight="1">
      <c r="A10" s="60">
        <v>21774</v>
      </c>
      <c r="B10" s="61" t="s">
        <v>1507</v>
      </c>
      <c r="C10" s="61" t="s">
        <v>221</v>
      </c>
      <c r="D10" s="61"/>
      <c r="E10" s="60">
        <v>8</v>
      </c>
      <c r="F10" s="60">
        <v>57.5</v>
      </c>
      <c r="G10" s="11" t="s">
        <v>1508</v>
      </c>
      <c r="H10" s="17"/>
    </row>
    <row r="11" spans="1:8" ht="12" customHeight="1">
      <c r="A11" s="60">
        <v>21775</v>
      </c>
      <c r="B11" s="61" t="s">
        <v>1509</v>
      </c>
      <c r="C11" s="61" t="s">
        <v>221</v>
      </c>
      <c r="D11" s="61"/>
      <c r="E11" s="60">
        <v>20</v>
      </c>
      <c r="F11" s="60">
        <v>37.5</v>
      </c>
      <c r="H11" s="17"/>
    </row>
    <row r="12" spans="1:8" ht="13.5" customHeight="1">
      <c r="A12" s="49"/>
      <c r="B12" s="49"/>
      <c r="C12" s="49"/>
      <c r="D12" s="49"/>
      <c r="E12" s="49"/>
      <c r="F12" s="49"/>
      <c r="G12" s="11"/>
      <c r="H12" s="17"/>
    </row>
    <row r="13" spans="1:8" ht="13.5" customHeight="1">
      <c r="A13" s="57" t="s">
        <v>1500</v>
      </c>
      <c r="B13" s="58" t="s">
        <v>1501</v>
      </c>
      <c r="C13" s="59" t="s">
        <v>1502</v>
      </c>
      <c r="D13" s="59">
        <v>2</v>
      </c>
      <c r="E13" s="57" t="s">
        <v>1503</v>
      </c>
      <c r="F13" s="57" t="s">
        <v>1510</v>
      </c>
      <c r="G13" s="11"/>
      <c r="H13" s="17"/>
    </row>
    <row r="14" spans="1:8" ht="13.5" customHeight="1">
      <c r="A14" s="60">
        <v>11039</v>
      </c>
      <c r="B14" s="61" t="s">
        <v>1511</v>
      </c>
      <c r="C14" s="61" t="s">
        <v>1011</v>
      </c>
      <c r="D14" s="61"/>
      <c r="E14" s="60">
        <v>5</v>
      </c>
      <c r="F14" s="60">
        <v>61.5</v>
      </c>
      <c r="G14" s="11"/>
      <c r="H14" s="17"/>
    </row>
    <row r="15" spans="1:8" ht="13.5" customHeight="1">
      <c r="A15" s="60">
        <v>28007</v>
      </c>
      <c r="B15" s="61" t="s">
        <v>1512</v>
      </c>
      <c r="C15" s="61" t="s">
        <v>1513</v>
      </c>
      <c r="D15" s="61"/>
      <c r="E15" s="60">
        <v>190</v>
      </c>
      <c r="F15" s="60">
        <v>22.25</v>
      </c>
      <c r="G15" s="11"/>
      <c r="H15" s="17"/>
    </row>
    <row r="16" spans="1:8" ht="12.75" customHeight="1">
      <c r="A16" s="60">
        <v>21912</v>
      </c>
      <c r="B16" s="61" t="s">
        <v>1514</v>
      </c>
      <c r="C16" s="61" t="s">
        <v>714</v>
      </c>
      <c r="D16" s="61"/>
      <c r="E16" s="60">
        <v>13</v>
      </c>
      <c r="F16" s="60">
        <v>43.25</v>
      </c>
      <c r="G16" s="11"/>
      <c r="H16" s="17"/>
    </row>
    <row r="17" spans="1:8" ht="13.5" customHeight="1">
      <c r="A17" s="49"/>
      <c r="B17" s="49"/>
      <c r="C17" s="49"/>
      <c r="D17" s="49"/>
      <c r="E17" s="49"/>
      <c r="F17" s="49"/>
      <c r="G17" s="11"/>
      <c r="H17" s="17"/>
    </row>
    <row r="18" spans="1:8" ht="18" customHeight="1">
      <c r="A18" s="57" t="s">
        <v>1500</v>
      </c>
      <c r="B18" s="58" t="s">
        <v>1501</v>
      </c>
      <c r="C18" s="59" t="s">
        <v>1502</v>
      </c>
      <c r="D18" s="59">
        <v>3</v>
      </c>
      <c r="E18" s="57" t="s">
        <v>1503</v>
      </c>
      <c r="F18" s="57" t="s">
        <v>1515</v>
      </c>
      <c r="G18" s="11"/>
      <c r="H18" s="17"/>
    </row>
    <row r="19" spans="1:8" ht="13.5" customHeight="1">
      <c r="A19" s="60">
        <v>27030</v>
      </c>
      <c r="B19" s="61" t="s">
        <v>1516</v>
      </c>
      <c r="C19" s="61" t="s">
        <v>1517</v>
      </c>
      <c r="D19" s="61"/>
      <c r="E19" s="60">
        <v>22</v>
      </c>
      <c r="F19" s="60">
        <v>40.375</v>
      </c>
      <c r="G19" s="11"/>
      <c r="H19" s="17"/>
    </row>
    <row r="20" spans="1:8" ht="12" customHeight="1">
      <c r="A20" s="60">
        <v>28004</v>
      </c>
      <c r="B20" s="61" t="s">
        <v>1518</v>
      </c>
      <c r="C20" s="61" t="s">
        <v>1517</v>
      </c>
      <c r="D20" s="61"/>
      <c r="E20" s="60">
        <v>28</v>
      </c>
      <c r="F20" s="60">
        <v>43.625</v>
      </c>
      <c r="G20" s="17"/>
      <c r="H20" s="17"/>
    </row>
    <row r="21" spans="1:8" ht="12" customHeight="1">
      <c r="A21" s="60">
        <v>15001</v>
      </c>
      <c r="B21" s="61" t="s">
        <v>1519</v>
      </c>
      <c r="C21" s="61" t="s">
        <v>163</v>
      </c>
      <c r="D21" s="61"/>
      <c r="E21" s="60">
        <v>47</v>
      </c>
      <c r="F21" s="60">
        <v>37.375</v>
      </c>
      <c r="G21" s="17"/>
      <c r="H21" s="17"/>
    </row>
    <row r="22" spans="1:8" ht="12" customHeight="1">
      <c r="A22" s="49"/>
      <c r="B22" s="49"/>
      <c r="C22" s="49"/>
      <c r="D22" s="49"/>
      <c r="E22" s="49"/>
      <c r="F22" s="49"/>
      <c r="G22" s="17"/>
      <c r="H22" s="17"/>
    </row>
    <row r="23" spans="1:8" ht="18" customHeight="1">
      <c r="A23" s="57" t="s">
        <v>1500</v>
      </c>
      <c r="B23" s="58" t="s">
        <v>1501</v>
      </c>
      <c r="C23" s="59" t="s">
        <v>1502</v>
      </c>
      <c r="D23" s="59">
        <v>4</v>
      </c>
      <c r="E23" s="57" t="s">
        <v>1503</v>
      </c>
      <c r="F23" s="57" t="s">
        <v>1520</v>
      </c>
      <c r="G23" s="17"/>
      <c r="H23" s="17"/>
    </row>
    <row r="24" spans="1:8" ht="12" customHeight="1">
      <c r="A24" s="60">
        <v>10048</v>
      </c>
      <c r="B24" s="61" t="s">
        <v>1521</v>
      </c>
      <c r="C24" s="61" t="s">
        <v>144</v>
      </c>
      <c r="D24" s="61"/>
      <c r="E24" s="60">
        <v>134</v>
      </c>
      <c r="F24" s="60">
        <v>37.688000000000002</v>
      </c>
      <c r="G24" s="17"/>
      <c r="H24" s="17"/>
    </row>
    <row r="25" spans="1:8" ht="12" customHeight="1">
      <c r="A25" s="60">
        <v>10047</v>
      </c>
      <c r="B25" s="61" t="s">
        <v>1522</v>
      </c>
      <c r="C25" s="61" t="s">
        <v>144</v>
      </c>
      <c r="D25" s="61"/>
      <c r="E25" s="60">
        <v>162</v>
      </c>
      <c r="F25" s="60">
        <v>36.625</v>
      </c>
      <c r="G25" s="17"/>
      <c r="H25" s="17"/>
    </row>
    <row r="26" spans="1:8" ht="12" customHeight="1">
      <c r="A26" s="60">
        <v>99555</v>
      </c>
      <c r="B26" s="61" t="s">
        <v>1523</v>
      </c>
      <c r="C26" s="61" t="s">
        <v>1513</v>
      </c>
      <c r="D26" s="61"/>
      <c r="E26" s="60">
        <v>94</v>
      </c>
      <c r="F26" s="60">
        <v>40.5</v>
      </c>
      <c r="G26" s="17"/>
      <c r="H26" s="17"/>
    </row>
    <row r="27" spans="1:8" ht="12" customHeight="1">
      <c r="A27" s="49"/>
      <c r="B27" s="49"/>
      <c r="C27" s="49"/>
      <c r="D27" s="49"/>
      <c r="E27" s="49"/>
      <c r="F27" s="49"/>
      <c r="G27" s="17"/>
      <c r="H27" s="17"/>
    </row>
    <row r="28" spans="1:8" ht="18" customHeight="1">
      <c r="A28" s="57" t="s">
        <v>1500</v>
      </c>
      <c r="B28" s="58" t="s">
        <v>1501</v>
      </c>
      <c r="C28" s="59" t="s">
        <v>1502</v>
      </c>
      <c r="D28" s="59">
        <v>5</v>
      </c>
      <c r="E28" s="57" t="s">
        <v>1503</v>
      </c>
      <c r="F28" s="57" t="s">
        <v>1524</v>
      </c>
      <c r="G28" s="17"/>
      <c r="H28" s="17"/>
    </row>
    <row r="29" spans="1:8" ht="12" customHeight="1">
      <c r="A29" s="60">
        <v>29040</v>
      </c>
      <c r="B29" s="61" t="s">
        <v>1525</v>
      </c>
      <c r="C29" s="61" t="s">
        <v>1513</v>
      </c>
      <c r="D29" s="61"/>
      <c r="E29" s="60">
        <v>27</v>
      </c>
      <c r="F29" s="60">
        <v>40.438000000000002</v>
      </c>
      <c r="G29" s="17"/>
      <c r="H29" s="17"/>
    </row>
    <row r="30" spans="1:8" ht="12" customHeight="1">
      <c r="A30" s="60">
        <v>16105</v>
      </c>
      <c r="B30" s="61" t="s">
        <v>1526</v>
      </c>
      <c r="C30" s="61" t="s">
        <v>1513</v>
      </c>
      <c r="D30" s="61"/>
      <c r="E30" s="60">
        <v>103</v>
      </c>
      <c r="F30" s="60">
        <v>34</v>
      </c>
      <c r="G30" s="17"/>
      <c r="H30" s="17"/>
    </row>
    <row r="31" spans="1:8" ht="12" customHeight="1">
      <c r="A31" s="60">
        <v>29039</v>
      </c>
      <c r="B31" s="61" t="s">
        <v>1527</v>
      </c>
      <c r="C31" s="61" t="s">
        <v>1513</v>
      </c>
      <c r="D31" s="61"/>
      <c r="E31" s="60">
        <v>54</v>
      </c>
      <c r="F31" s="60">
        <v>34.000999999999998</v>
      </c>
      <c r="G31" s="17"/>
      <c r="H31" s="17"/>
    </row>
    <row r="32" spans="1:8" ht="12" customHeight="1">
      <c r="A32" s="49"/>
      <c r="B32" s="49"/>
      <c r="C32" s="49"/>
      <c r="D32" s="49"/>
      <c r="E32" s="49"/>
      <c r="F32" s="49"/>
      <c r="G32" s="17"/>
      <c r="H32" s="17"/>
    </row>
    <row r="33" spans="1:8" ht="12" customHeight="1">
      <c r="A33" s="57" t="s">
        <v>1500</v>
      </c>
      <c r="B33" s="58" t="s">
        <v>1501</v>
      </c>
      <c r="C33" s="59" t="s">
        <v>1502</v>
      </c>
      <c r="D33" s="59">
        <v>6</v>
      </c>
      <c r="E33" s="57" t="s">
        <v>1503</v>
      </c>
      <c r="F33" s="57" t="s">
        <v>1528</v>
      </c>
      <c r="G33" s="17"/>
      <c r="H33" s="17"/>
    </row>
    <row r="34" spans="1:8" ht="12" customHeight="1">
      <c r="A34" s="60">
        <v>14008</v>
      </c>
      <c r="B34" s="61" t="s">
        <v>1529</v>
      </c>
      <c r="C34" s="61" t="s">
        <v>163</v>
      </c>
      <c r="D34" s="61"/>
      <c r="E34" s="60">
        <v>38</v>
      </c>
      <c r="F34" s="60">
        <v>45</v>
      </c>
      <c r="G34" s="17"/>
      <c r="H34" s="17"/>
    </row>
    <row r="35" spans="1:8" ht="12" customHeight="1">
      <c r="A35" s="60">
        <v>98307</v>
      </c>
      <c r="B35" s="61" t="s">
        <v>1530</v>
      </c>
      <c r="C35" s="61" t="s">
        <v>163</v>
      </c>
      <c r="D35" s="61"/>
      <c r="E35" s="60">
        <v>142</v>
      </c>
      <c r="F35" s="60">
        <v>26.75</v>
      </c>
      <c r="G35" s="17"/>
      <c r="H35" s="17"/>
    </row>
    <row r="36" spans="1:8" ht="12" customHeight="1">
      <c r="A36" s="60">
        <v>18001</v>
      </c>
      <c r="B36" s="61" t="s">
        <v>1531</v>
      </c>
      <c r="C36" s="61" t="s">
        <v>685</v>
      </c>
      <c r="D36" s="61"/>
      <c r="E36" s="60">
        <v>146</v>
      </c>
      <c r="F36" s="60">
        <v>33.25</v>
      </c>
      <c r="G36" s="17"/>
      <c r="H36" s="17"/>
    </row>
    <row r="37" spans="1:8" ht="12" customHeight="1">
      <c r="A37" s="49"/>
      <c r="B37" s="49"/>
      <c r="C37" s="49"/>
      <c r="D37" s="49"/>
      <c r="E37" s="49"/>
      <c r="F37" s="49"/>
      <c r="G37" s="17"/>
      <c r="H37" s="17"/>
    </row>
    <row r="38" spans="1:8" ht="18" customHeight="1">
      <c r="A38" s="57" t="s">
        <v>1500</v>
      </c>
      <c r="B38" s="58" t="s">
        <v>1501</v>
      </c>
      <c r="C38" s="59" t="s">
        <v>1502</v>
      </c>
      <c r="D38" s="59">
        <v>7</v>
      </c>
      <c r="E38" s="57" t="s">
        <v>1503</v>
      </c>
      <c r="F38" s="57" t="s">
        <v>1532</v>
      </c>
      <c r="G38" s="17"/>
      <c r="H38" s="17"/>
    </row>
    <row r="39" spans="1:8" ht="12" customHeight="1">
      <c r="A39" s="60">
        <v>21053</v>
      </c>
      <c r="B39" s="61" t="s">
        <v>1533</v>
      </c>
      <c r="C39" s="61" t="s">
        <v>1513</v>
      </c>
      <c r="D39" s="61"/>
      <c r="E39" s="60">
        <v>71</v>
      </c>
      <c r="F39" s="60">
        <v>24.562999999999999</v>
      </c>
      <c r="G39" s="17"/>
      <c r="H39" s="17"/>
    </row>
    <row r="40" spans="1:8" ht="12" customHeight="1">
      <c r="A40" s="60">
        <v>20554</v>
      </c>
      <c r="B40" s="61" t="s">
        <v>1534</v>
      </c>
      <c r="C40" s="61" t="s">
        <v>1513</v>
      </c>
      <c r="D40" s="61"/>
      <c r="E40" s="60">
        <v>65</v>
      </c>
      <c r="F40" s="60">
        <v>28.75</v>
      </c>
      <c r="G40" s="17"/>
      <c r="H40" s="17"/>
    </row>
    <row r="41" spans="1:8" ht="12" customHeight="1">
      <c r="A41" s="60">
        <v>11046</v>
      </c>
      <c r="B41" s="61" t="s">
        <v>1535</v>
      </c>
      <c r="C41" s="61" t="s">
        <v>1513</v>
      </c>
      <c r="D41" s="61"/>
      <c r="E41" s="60">
        <v>19</v>
      </c>
      <c r="F41" s="60">
        <v>48.75</v>
      </c>
      <c r="G41" s="17"/>
      <c r="H41" s="17"/>
    </row>
    <row r="42" spans="1:8" ht="12" customHeight="1">
      <c r="A42" s="49"/>
      <c r="B42" s="49"/>
      <c r="C42" s="49"/>
      <c r="D42" s="49"/>
      <c r="E42" s="49"/>
      <c r="F42" s="49"/>
      <c r="G42" s="17"/>
      <c r="H42" s="17"/>
    </row>
    <row r="43" spans="1:8" ht="18" customHeight="1">
      <c r="A43" s="57" t="s">
        <v>1500</v>
      </c>
      <c r="B43" s="58" t="s">
        <v>1501</v>
      </c>
      <c r="C43" s="59" t="s">
        <v>1502</v>
      </c>
      <c r="D43" s="59">
        <v>8</v>
      </c>
      <c r="E43" s="57" t="s">
        <v>1503</v>
      </c>
      <c r="F43" s="57" t="s">
        <v>1536</v>
      </c>
      <c r="G43" s="17"/>
      <c r="H43" s="17"/>
    </row>
    <row r="44" spans="1:8" ht="12" customHeight="1">
      <c r="A44" s="60">
        <v>28006</v>
      </c>
      <c r="B44" s="61" t="s">
        <v>1537</v>
      </c>
      <c r="C44" s="61" t="s">
        <v>221</v>
      </c>
      <c r="D44" s="61"/>
      <c r="E44" s="60">
        <v>21</v>
      </c>
      <c r="F44" s="60">
        <v>36.25</v>
      </c>
      <c r="G44" s="17"/>
      <c r="H44" s="17"/>
    </row>
    <row r="45" spans="1:8" ht="12" customHeight="1">
      <c r="A45" s="60">
        <v>15009</v>
      </c>
      <c r="B45" s="61" t="s">
        <v>1538</v>
      </c>
      <c r="C45" s="61" t="s">
        <v>141</v>
      </c>
      <c r="D45" s="61"/>
      <c r="E45" s="60">
        <v>45</v>
      </c>
      <c r="F45" s="60">
        <v>39.75</v>
      </c>
      <c r="G45" s="17"/>
      <c r="H45" s="17"/>
    </row>
    <row r="46" spans="1:8" ht="12" customHeight="1">
      <c r="A46" s="60">
        <v>22017</v>
      </c>
      <c r="B46" s="61" t="s">
        <v>1539</v>
      </c>
      <c r="C46" s="61" t="s">
        <v>221</v>
      </c>
      <c r="D46" s="61"/>
      <c r="E46" s="60">
        <v>149</v>
      </c>
      <c r="F46" s="60">
        <v>20.329000000000001</v>
      </c>
      <c r="G46" s="17"/>
      <c r="H46" s="17"/>
    </row>
    <row r="47" spans="1:8" ht="12" customHeight="1">
      <c r="A47" s="49"/>
      <c r="B47" s="49"/>
      <c r="C47" s="49"/>
      <c r="D47" s="49"/>
      <c r="E47" s="49"/>
      <c r="F47" s="49"/>
      <c r="G47" s="17"/>
      <c r="H47" s="17"/>
    </row>
    <row r="48" spans="1:8" ht="18" customHeight="1">
      <c r="A48" s="57" t="s">
        <v>1500</v>
      </c>
      <c r="B48" s="58" t="s">
        <v>1501</v>
      </c>
      <c r="C48" s="59" t="s">
        <v>1502</v>
      </c>
      <c r="D48" s="59">
        <v>9</v>
      </c>
      <c r="E48" s="57" t="s">
        <v>1503</v>
      </c>
      <c r="F48" s="57" t="s">
        <v>1540</v>
      </c>
      <c r="G48" s="17"/>
      <c r="H48" s="17"/>
    </row>
    <row r="49" spans="1:8" ht="12" customHeight="1">
      <c r="A49" s="60">
        <v>98373</v>
      </c>
      <c r="B49" s="61" t="s">
        <v>1541</v>
      </c>
      <c r="C49" s="61" t="s">
        <v>502</v>
      </c>
      <c r="D49" s="61"/>
      <c r="E49" s="60">
        <v>255</v>
      </c>
      <c r="F49" s="60">
        <v>11</v>
      </c>
      <c r="G49" s="17"/>
      <c r="H49" s="17"/>
    </row>
    <row r="50" spans="1:8" ht="12" customHeight="1">
      <c r="A50" s="60">
        <v>14075</v>
      </c>
      <c r="B50" s="61" t="s">
        <v>1542</v>
      </c>
      <c r="C50" s="61" t="s">
        <v>337</v>
      </c>
      <c r="D50" s="61"/>
      <c r="E50" s="60">
        <v>9</v>
      </c>
      <c r="F50" s="60">
        <v>55.5</v>
      </c>
      <c r="G50" s="17"/>
      <c r="H50" s="17"/>
    </row>
    <row r="51" spans="1:8" ht="12" customHeight="1">
      <c r="A51" s="60">
        <v>24235</v>
      </c>
      <c r="B51" s="61" t="s">
        <v>1543</v>
      </c>
      <c r="C51" s="61" t="s">
        <v>141</v>
      </c>
      <c r="D51" s="61"/>
      <c r="E51" s="60">
        <v>115</v>
      </c>
      <c r="F51" s="60">
        <v>28.939</v>
      </c>
      <c r="G51" s="17"/>
      <c r="H51" s="17"/>
    </row>
    <row r="52" spans="1:8" ht="12" customHeight="1">
      <c r="A52" s="49"/>
      <c r="B52" s="49"/>
      <c r="C52" s="49"/>
      <c r="D52" s="49"/>
      <c r="E52" s="49"/>
      <c r="F52" s="49"/>
      <c r="G52" s="17"/>
      <c r="H52" s="17"/>
    </row>
    <row r="53" spans="1:8" ht="18" customHeight="1">
      <c r="A53" s="57" t="s">
        <v>1500</v>
      </c>
      <c r="B53" s="58" t="s">
        <v>1501</v>
      </c>
      <c r="C53" s="59" t="s">
        <v>1502</v>
      </c>
      <c r="D53" s="59">
        <v>10</v>
      </c>
      <c r="E53" s="57" t="s">
        <v>1503</v>
      </c>
      <c r="F53" s="57" t="s">
        <v>1544</v>
      </c>
      <c r="G53" s="17"/>
      <c r="H53" s="17"/>
    </row>
    <row r="54" spans="1:8" ht="12" customHeight="1">
      <c r="A54" s="60">
        <v>16077</v>
      </c>
      <c r="B54" s="61" t="s">
        <v>1545</v>
      </c>
      <c r="C54" s="61" t="s">
        <v>1546</v>
      </c>
      <c r="D54" s="61"/>
      <c r="E54" s="60">
        <v>99</v>
      </c>
      <c r="F54" s="60">
        <v>26.375</v>
      </c>
      <c r="G54" s="17"/>
      <c r="H54" s="17"/>
    </row>
    <row r="55" spans="1:8" ht="12" customHeight="1">
      <c r="A55" s="60">
        <v>99510</v>
      </c>
      <c r="B55" s="61" t="s">
        <v>1547</v>
      </c>
      <c r="C55" s="61" t="s">
        <v>120</v>
      </c>
      <c r="D55" s="61"/>
      <c r="E55" s="60">
        <v>48</v>
      </c>
      <c r="F55" s="60">
        <v>30.812999999999999</v>
      </c>
      <c r="G55" s="17"/>
      <c r="H55" s="17"/>
    </row>
    <row r="56" spans="1:8" ht="12" customHeight="1">
      <c r="A56" s="60">
        <v>99574</v>
      </c>
      <c r="B56" s="61" t="s">
        <v>1548</v>
      </c>
      <c r="C56" s="61" t="s">
        <v>120</v>
      </c>
      <c r="D56" s="61"/>
      <c r="E56" s="60">
        <v>32</v>
      </c>
      <c r="F56" s="60">
        <v>36.875</v>
      </c>
      <c r="G56" s="17"/>
      <c r="H56" s="17"/>
    </row>
    <row r="57" spans="1:8" ht="12" customHeight="1">
      <c r="A57" s="49"/>
      <c r="B57" s="49"/>
      <c r="C57" s="49"/>
      <c r="D57" s="49"/>
      <c r="E57" s="49"/>
      <c r="F57" s="49"/>
      <c r="G57" s="17"/>
      <c r="H57" s="17"/>
    </row>
    <row r="58" spans="1:8" ht="18" customHeight="1">
      <c r="A58" s="57" t="s">
        <v>1500</v>
      </c>
      <c r="B58" s="58" t="s">
        <v>1501</v>
      </c>
      <c r="C58" s="59" t="s">
        <v>1502</v>
      </c>
      <c r="D58" s="59">
        <v>11</v>
      </c>
      <c r="E58" s="57" t="s">
        <v>1503</v>
      </c>
      <c r="F58" s="57" t="s">
        <v>1549</v>
      </c>
      <c r="G58" s="17"/>
      <c r="H58" s="17"/>
    </row>
    <row r="59" spans="1:8" ht="12" customHeight="1">
      <c r="A59" s="60">
        <v>25055</v>
      </c>
      <c r="B59" s="61" t="s">
        <v>1550</v>
      </c>
      <c r="C59" s="61" t="s">
        <v>1517</v>
      </c>
      <c r="D59" s="61"/>
      <c r="E59" s="60">
        <v>24</v>
      </c>
      <c r="F59" s="60">
        <v>40.25</v>
      </c>
      <c r="G59" s="17"/>
      <c r="H59" s="17"/>
    </row>
    <row r="60" spans="1:8" ht="12" customHeight="1">
      <c r="A60" s="60">
        <v>25054</v>
      </c>
      <c r="B60" s="61" t="s">
        <v>1551</v>
      </c>
      <c r="C60" s="61" t="s">
        <v>1517</v>
      </c>
      <c r="D60" s="61"/>
      <c r="E60" s="60">
        <v>127</v>
      </c>
      <c r="F60" s="60">
        <v>27.36</v>
      </c>
      <c r="G60" s="17"/>
      <c r="H60" s="17"/>
    </row>
    <row r="61" spans="1:8" ht="12" customHeight="1">
      <c r="A61" s="60">
        <v>28055</v>
      </c>
      <c r="B61" s="61" t="s">
        <v>1552</v>
      </c>
      <c r="C61" s="61" t="s">
        <v>1517</v>
      </c>
      <c r="D61" s="61"/>
      <c r="E61" s="60">
        <v>89</v>
      </c>
      <c r="F61" s="60">
        <v>24.751000000000001</v>
      </c>
      <c r="G61" s="17"/>
      <c r="H61" s="17"/>
    </row>
    <row r="62" spans="1:8" ht="12" customHeight="1">
      <c r="A62" s="49"/>
      <c r="B62" s="49"/>
      <c r="C62" s="49"/>
      <c r="D62" s="49"/>
      <c r="E62" s="49"/>
      <c r="F62" s="49"/>
      <c r="G62" s="17"/>
      <c r="H62" s="17"/>
    </row>
    <row r="63" spans="1:8" ht="18" customHeight="1">
      <c r="A63" s="57" t="s">
        <v>1500</v>
      </c>
      <c r="B63" s="58" t="s">
        <v>1501</v>
      </c>
      <c r="C63" s="59" t="s">
        <v>1502</v>
      </c>
      <c r="D63" s="59">
        <v>12</v>
      </c>
      <c r="E63" s="57" t="s">
        <v>1503</v>
      </c>
      <c r="F63" s="57" t="s">
        <v>1553</v>
      </c>
      <c r="G63" s="17"/>
      <c r="H63" s="17"/>
    </row>
    <row r="64" spans="1:8" ht="12" customHeight="1">
      <c r="A64" s="60">
        <v>12038</v>
      </c>
      <c r="B64" s="61" t="s">
        <v>1554</v>
      </c>
      <c r="C64" s="61" t="s">
        <v>488</v>
      </c>
      <c r="D64" s="61"/>
      <c r="E64" s="60">
        <v>53</v>
      </c>
      <c r="F64" s="60">
        <v>32.125</v>
      </c>
      <c r="G64" s="17"/>
      <c r="H64" s="17"/>
    </row>
    <row r="65" spans="1:8" ht="12" customHeight="1">
      <c r="A65" s="60">
        <v>11031</v>
      </c>
      <c r="B65" s="61" t="s">
        <v>1555</v>
      </c>
      <c r="C65" s="61" t="s">
        <v>312</v>
      </c>
      <c r="D65" s="61"/>
      <c r="E65" s="60">
        <v>187</v>
      </c>
      <c r="F65" s="60">
        <v>17.305</v>
      </c>
      <c r="G65" s="17"/>
      <c r="H65" s="17"/>
    </row>
    <row r="66" spans="1:8" ht="12" customHeight="1">
      <c r="A66" s="60">
        <v>12037</v>
      </c>
      <c r="B66" s="61" t="s">
        <v>1556</v>
      </c>
      <c r="C66" s="61" t="s">
        <v>488</v>
      </c>
      <c r="D66" s="61"/>
      <c r="E66" s="60">
        <v>40</v>
      </c>
      <c r="F66" s="60">
        <v>37.125</v>
      </c>
      <c r="G66" s="17"/>
      <c r="H66" s="17"/>
    </row>
    <row r="67" spans="1:8" ht="12" customHeight="1">
      <c r="A67" s="49"/>
      <c r="B67" s="49"/>
      <c r="C67" s="49"/>
      <c r="D67" s="49"/>
      <c r="E67" s="49"/>
      <c r="F67" s="49"/>
      <c r="G67" s="17"/>
      <c r="H67" s="17"/>
    </row>
    <row r="68" spans="1:8" ht="18" customHeight="1">
      <c r="A68" s="57" t="s">
        <v>1500</v>
      </c>
      <c r="B68" s="58" t="s">
        <v>1501</v>
      </c>
      <c r="C68" s="59" t="s">
        <v>1502</v>
      </c>
      <c r="D68" s="59">
        <v>13</v>
      </c>
      <c r="E68" s="57" t="s">
        <v>1503</v>
      </c>
      <c r="F68" s="57" t="s">
        <v>1557</v>
      </c>
      <c r="G68" s="17"/>
      <c r="H68" s="17"/>
    </row>
    <row r="69" spans="1:8" ht="12" customHeight="1">
      <c r="A69" s="60">
        <v>18124</v>
      </c>
      <c r="B69" s="61" t="s">
        <v>1558</v>
      </c>
      <c r="C69" s="61" t="s">
        <v>199</v>
      </c>
      <c r="D69" s="61"/>
      <c r="E69" s="60">
        <v>81</v>
      </c>
      <c r="F69" s="60">
        <v>27.312999999999999</v>
      </c>
      <c r="G69" s="17"/>
      <c r="H69" s="17"/>
    </row>
    <row r="70" spans="1:8" ht="12" customHeight="1">
      <c r="A70" s="60">
        <v>16106</v>
      </c>
      <c r="B70" s="61" t="s">
        <v>1559</v>
      </c>
      <c r="C70" s="61" t="s">
        <v>1513</v>
      </c>
      <c r="D70" s="61"/>
      <c r="E70" s="60">
        <v>131</v>
      </c>
      <c r="F70" s="60">
        <v>29.501000000000001</v>
      </c>
      <c r="G70" s="17"/>
      <c r="H70" s="17"/>
    </row>
    <row r="71" spans="1:8" ht="12" customHeight="1">
      <c r="A71" s="60">
        <v>18132</v>
      </c>
      <c r="B71" s="61" t="s">
        <v>1560</v>
      </c>
      <c r="C71" s="61" t="s">
        <v>199</v>
      </c>
      <c r="D71" s="61"/>
      <c r="E71" s="60">
        <v>133</v>
      </c>
      <c r="F71" s="60">
        <v>26.187999999999999</v>
      </c>
      <c r="G71" s="17"/>
      <c r="H71" s="17"/>
    </row>
    <row r="72" spans="1:8" ht="12" customHeight="1">
      <c r="A72" s="49"/>
      <c r="B72" s="49"/>
      <c r="C72" s="49"/>
      <c r="D72" s="49"/>
      <c r="E72" s="49"/>
      <c r="F72" s="49"/>
      <c r="G72" s="17"/>
      <c r="H72" s="17"/>
    </row>
    <row r="73" spans="1:8" ht="18" customHeight="1">
      <c r="A73" s="57" t="s">
        <v>1500</v>
      </c>
      <c r="B73" s="58" t="s">
        <v>1501</v>
      </c>
      <c r="C73" s="59" t="s">
        <v>1502</v>
      </c>
      <c r="D73" s="59">
        <v>14</v>
      </c>
      <c r="E73" s="57" t="s">
        <v>1503</v>
      </c>
      <c r="F73" s="57" t="s">
        <v>1561</v>
      </c>
      <c r="G73" s="17"/>
      <c r="H73" s="17"/>
    </row>
    <row r="74" spans="1:8" ht="12" customHeight="1">
      <c r="A74" s="60">
        <v>96005</v>
      </c>
      <c r="B74" s="61" t="s">
        <v>1562</v>
      </c>
      <c r="C74" s="61" t="s">
        <v>144</v>
      </c>
      <c r="D74" s="61"/>
      <c r="E74" s="60">
        <v>209</v>
      </c>
      <c r="F74" s="60">
        <v>17.859000000000002</v>
      </c>
      <c r="G74" s="17"/>
      <c r="H74" s="17"/>
    </row>
    <row r="75" spans="1:8" ht="12" customHeight="1">
      <c r="A75" s="60">
        <v>23060</v>
      </c>
      <c r="B75" s="61" t="s">
        <v>1563</v>
      </c>
      <c r="C75" s="61" t="s">
        <v>144</v>
      </c>
      <c r="D75" s="61"/>
      <c r="E75" s="60">
        <v>123</v>
      </c>
      <c r="F75" s="60">
        <v>31.375</v>
      </c>
      <c r="G75" s="17"/>
      <c r="H75" s="17"/>
    </row>
    <row r="76" spans="1:8" ht="12" customHeight="1">
      <c r="A76" s="60">
        <v>17093</v>
      </c>
      <c r="B76" s="61" t="s">
        <v>1564</v>
      </c>
      <c r="C76" s="61" t="s">
        <v>144</v>
      </c>
      <c r="D76" s="61"/>
      <c r="E76" s="60">
        <v>168</v>
      </c>
      <c r="F76" s="60">
        <v>29.25</v>
      </c>
      <c r="G76" s="17"/>
      <c r="H76" s="17"/>
    </row>
    <row r="77" spans="1:8" ht="12" customHeight="1">
      <c r="A77" s="49"/>
      <c r="B77" s="49"/>
      <c r="C77" s="49"/>
      <c r="D77" s="49"/>
      <c r="E77" s="49"/>
      <c r="F77" s="49"/>
      <c r="G77" s="17"/>
      <c r="H77" s="17"/>
    </row>
    <row r="78" spans="1:8" ht="12" customHeight="1">
      <c r="A78" s="57" t="s">
        <v>1500</v>
      </c>
      <c r="B78" s="58" t="s">
        <v>1501</v>
      </c>
      <c r="C78" s="59" t="s">
        <v>1502</v>
      </c>
      <c r="D78" s="59">
        <v>15</v>
      </c>
      <c r="E78" s="57" t="s">
        <v>1503</v>
      </c>
      <c r="F78" s="57" t="s">
        <v>1565</v>
      </c>
      <c r="G78" s="17"/>
      <c r="H78" s="17"/>
    </row>
    <row r="79" spans="1:8" ht="12" customHeight="1">
      <c r="A79" s="60">
        <v>26043</v>
      </c>
      <c r="B79" s="61" t="s">
        <v>1566</v>
      </c>
      <c r="C79" s="61" t="s">
        <v>704</v>
      </c>
      <c r="D79" s="61"/>
      <c r="E79" s="60">
        <v>100</v>
      </c>
      <c r="F79" s="60">
        <v>29.22</v>
      </c>
      <c r="G79" s="17"/>
      <c r="H79" s="17"/>
    </row>
    <row r="80" spans="1:8" ht="12" customHeight="1">
      <c r="A80" s="60">
        <v>18136</v>
      </c>
      <c r="B80" s="61" t="s">
        <v>1567</v>
      </c>
      <c r="C80" s="61" t="s">
        <v>685</v>
      </c>
      <c r="D80" s="61"/>
      <c r="E80" s="60">
        <v>158</v>
      </c>
      <c r="F80" s="60">
        <v>28.751000000000001</v>
      </c>
      <c r="G80" s="17"/>
      <c r="H80" s="17"/>
    </row>
    <row r="81" spans="1:8" ht="12" customHeight="1">
      <c r="A81" s="60">
        <v>16020</v>
      </c>
      <c r="B81" s="61" t="s">
        <v>1568</v>
      </c>
      <c r="C81" s="61" t="s">
        <v>704</v>
      </c>
      <c r="D81" s="61"/>
      <c r="E81" s="60">
        <v>225</v>
      </c>
      <c r="F81" s="60">
        <v>19.469000000000001</v>
      </c>
      <c r="G81" s="17"/>
      <c r="H81" s="17"/>
    </row>
    <row r="82" spans="1:8" ht="12" customHeight="1">
      <c r="A82" s="49"/>
      <c r="B82" s="49"/>
      <c r="C82" s="49"/>
      <c r="D82" s="49"/>
      <c r="E82" s="49"/>
      <c r="F82" s="49"/>
      <c r="G82" s="17"/>
      <c r="H82" s="17"/>
    </row>
    <row r="83" spans="1:8" ht="18" customHeight="1">
      <c r="A83" s="57" t="s">
        <v>1500</v>
      </c>
      <c r="B83" s="58" t="s">
        <v>1501</v>
      </c>
      <c r="C83" s="59" t="s">
        <v>1502</v>
      </c>
      <c r="D83" s="59">
        <v>16</v>
      </c>
      <c r="E83" s="57" t="s">
        <v>1503</v>
      </c>
      <c r="F83" s="57" t="s">
        <v>1569</v>
      </c>
      <c r="G83" s="17"/>
      <c r="H83" s="17"/>
    </row>
    <row r="84" spans="1:8" ht="12" customHeight="1">
      <c r="A84" s="60">
        <v>16133</v>
      </c>
      <c r="B84" s="61" t="s">
        <v>1570</v>
      </c>
      <c r="C84" s="61" t="s">
        <v>312</v>
      </c>
      <c r="D84" s="61"/>
      <c r="E84" s="60">
        <v>192</v>
      </c>
      <c r="F84" s="60">
        <v>24.25</v>
      </c>
      <c r="G84" s="17"/>
      <c r="H84" s="17"/>
    </row>
    <row r="85" spans="1:8" ht="12" customHeight="1">
      <c r="A85" s="60">
        <v>18099</v>
      </c>
      <c r="B85" s="61" t="s">
        <v>1571</v>
      </c>
      <c r="C85" s="61" t="s">
        <v>312</v>
      </c>
      <c r="D85" s="61"/>
      <c r="E85" s="60">
        <v>276</v>
      </c>
      <c r="F85" s="60">
        <v>16.376000000000001</v>
      </c>
      <c r="G85" s="17"/>
      <c r="H85" s="17"/>
    </row>
    <row r="86" spans="1:8" ht="12" customHeight="1">
      <c r="A86" s="60">
        <v>15008</v>
      </c>
      <c r="B86" s="61" t="s">
        <v>1572</v>
      </c>
      <c r="C86" s="61" t="s">
        <v>141</v>
      </c>
      <c r="D86" s="61"/>
      <c r="E86" s="60">
        <v>95</v>
      </c>
      <c r="F86" s="60">
        <v>33.75</v>
      </c>
      <c r="G86" s="17"/>
      <c r="H86" s="17"/>
    </row>
    <row r="87" spans="1:8" ht="12" customHeight="1">
      <c r="A87" s="49"/>
      <c r="B87" s="49"/>
      <c r="C87" s="49"/>
      <c r="D87" s="49"/>
      <c r="E87" s="49"/>
      <c r="F87" s="49"/>
      <c r="G87" s="17"/>
      <c r="H87" s="17"/>
    </row>
    <row r="88" spans="1:8" ht="18" customHeight="1">
      <c r="A88" s="57" t="s">
        <v>1500</v>
      </c>
      <c r="B88" s="58" t="s">
        <v>1501</v>
      </c>
      <c r="C88" s="59" t="s">
        <v>1502</v>
      </c>
      <c r="D88" s="59">
        <v>17</v>
      </c>
      <c r="E88" s="57" t="s">
        <v>1503</v>
      </c>
      <c r="F88" s="57" t="s">
        <v>1573</v>
      </c>
      <c r="G88" s="17"/>
      <c r="H88" s="17"/>
    </row>
    <row r="89" spans="1:8" ht="12" customHeight="1">
      <c r="A89" s="60">
        <v>24240</v>
      </c>
      <c r="B89" s="61" t="s">
        <v>1574</v>
      </c>
      <c r="C89" s="61" t="s">
        <v>221</v>
      </c>
      <c r="D89" s="61"/>
      <c r="E89" s="60">
        <v>167</v>
      </c>
      <c r="F89" s="60">
        <v>18.125</v>
      </c>
      <c r="G89" s="17"/>
      <c r="H89" s="17"/>
    </row>
    <row r="90" spans="1:8" ht="12" customHeight="1">
      <c r="A90" s="60">
        <v>11011</v>
      </c>
      <c r="B90" s="61" t="s">
        <v>1575</v>
      </c>
      <c r="C90" s="61" t="s">
        <v>1513</v>
      </c>
      <c r="D90" s="61"/>
      <c r="E90" s="60">
        <v>73</v>
      </c>
      <c r="F90" s="60">
        <v>28.5</v>
      </c>
      <c r="G90" s="17"/>
      <c r="H90" s="17"/>
    </row>
    <row r="91" spans="1:8" ht="12" customHeight="1">
      <c r="A91" s="60">
        <v>16107</v>
      </c>
      <c r="B91" s="61" t="s">
        <v>1576</v>
      </c>
      <c r="C91" s="61" t="s">
        <v>1513</v>
      </c>
      <c r="D91" s="61"/>
      <c r="E91" s="60">
        <v>93</v>
      </c>
      <c r="F91" s="60">
        <v>26</v>
      </c>
      <c r="G91" s="17"/>
      <c r="H91" s="17"/>
    </row>
    <row r="92" spans="1:8" ht="12" customHeight="1">
      <c r="A92" s="49"/>
      <c r="B92" s="49"/>
      <c r="C92" s="49"/>
      <c r="D92" s="49"/>
      <c r="E92" s="49"/>
      <c r="F92" s="49"/>
      <c r="G92" s="17"/>
      <c r="H92" s="17"/>
    </row>
    <row r="93" spans="1:8" ht="18" customHeight="1">
      <c r="A93" s="57" t="s">
        <v>1500</v>
      </c>
      <c r="B93" s="58" t="s">
        <v>1501</v>
      </c>
      <c r="C93" s="59" t="s">
        <v>1502</v>
      </c>
      <c r="D93" s="59">
        <v>18</v>
      </c>
      <c r="E93" s="57" t="s">
        <v>1503</v>
      </c>
      <c r="F93" s="57" t="s">
        <v>1577</v>
      </c>
      <c r="G93" s="17"/>
      <c r="H93" s="17"/>
    </row>
    <row r="94" spans="1:8" ht="12" customHeight="1">
      <c r="A94" s="60">
        <v>18109</v>
      </c>
      <c r="B94" s="61" t="s">
        <v>1578</v>
      </c>
      <c r="C94" s="61" t="s">
        <v>721</v>
      </c>
      <c r="D94" s="61"/>
      <c r="E94" s="60">
        <v>49</v>
      </c>
      <c r="F94" s="60">
        <v>29.187999999999999</v>
      </c>
      <c r="G94" s="17"/>
      <c r="H94" s="17"/>
    </row>
    <row r="95" spans="1:8" ht="12" customHeight="1">
      <c r="A95" s="60">
        <v>16124</v>
      </c>
      <c r="B95" s="61" t="s">
        <v>1579</v>
      </c>
      <c r="C95" s="61" t="s">
        <v>721</v>
      </c>
      <c r="D95" s="61"/>
      <c r="E95" s="60">
        <v>83</v>
      </c>
      <c r="F95" s="60">
        <v>25.719000000000001</v>
      </c>
      <c r="G95" s="17"/>
      <c r="H95" s="17"/>
    </row>
    <row r="96" spans="1:8" ht="12" customHeight="1">
      <c r="A96" s="60">
        <v>19058</v>
      </c>
      <c r="B96" s="61" t="s">
        <v>1580</v>
      </c>
      <c r="C96" s="61" t="s">
        <v>721</v>
      </c>
      <c r="D96" s="61"/>
      <c r="E96" s="60">
        <v>200</v>
      </c>
      <c r="F96" s="60">
        <v>13.75</v>
      </c>
      <c r="G96" s="17"/>
      <c r="H96" s="17"/>
    </row>
    <row r="97" spans="1:8" ht="12" customHeight="1">
      <c r="A97" s="49"/>
      <c r="B97" s="49"/>
      <c r="C97" s="49"/>
      <c r="D97" s="49"/>
      <c r="E97" s="49"/>
      <c r="F97" s="49"/>
      <c r="G97" s="17"/>
      <c r="H97" s="17"/>
    </row>
    <row r="98" spans="1:8" ht="18" customHeight="1">
      <c r="A98" s="57" t="s">
        <v>1500</v>
      </c>
      <c r="B98" s="58" t="s">
        <v>1501</v>
      </c>
      <c r="C98" s="59" t="s">
        <v>1502</v>
      </c>
      <c r="D98" s="59">
        <v>19</v>
      </c>
      <c r="E98" s="57" t="s">
        <v>1503</v>
      </c>
      <c r="F98" s="57" t="s">
        <v>1581</v>
      </c>
      <c r="G98" s="17"/>
      <c r="H98" s="17"/>
    </row>
    <row r="99" spans="1:8" ht="12" customHeight="1">
      <c r="A99" s="60">
        <v>13077</v>
      </c>
      <c r="B99" s="61" t="s">
        <v>1582</v>
      </c>
      <c r="C99" s="61" t="s">
        <v>391</v>
      </c>
      <c r="D99" s="61"/>
      <c r="E99" s="60">
        <v>203</v>
      </c>
      <c r="F99" s="60">
        <v>20.032</v>
      </c>
      <c r="G99" s="17"/>
      <c r="H99" s="17"/>
    </row>
    <row r="100" spans="1:8" ht="12" customHeight="1">
      <c r="A100" s="60">
        <v>13078</v>
      </c>
      <c r="B100" s="61" t="s">
        <v>1583</v>
      </c>
      <c r="C100" s="61" t="s">
        <v>391</v>
      </c>
      <c r="D100" s="61"/>
      <c r="E100" s="60">
        <v>204</v>
      </c>
      <c r="F100" s="60">
        <v>20.032</v>
      </c>
      <c r="G100" s="17"/>
      <c r="H100" s="17"/>
    </row>
    <row r="101" spans="1:8" ht="12" customHeight="1">
      <c r="A101" s="60">
        <v>21021</v>
      </c>
      <c r="B101" s="61" t="s">
        <v>1584</v>
      </c>
      <c r="C101" s="61" t="s">
        <v>120</v>
      </c>
      <c r="D101" s="61"/>
      <c r="E101" s="60">
        <v>156</v>
      </c>
      <c r="F101" s="60">
        <v>23.719000000000001</v>
      </c>
      <c r="G101" s="17"/>
      <c r="H101" s="17"/>
    </row>
    <row r="102" spans="1:8" ht="12" customHeight="1">
      <c r="A102" s="49"/>
      <c r="B102" s="49"/>
      <c r="C102" s="49"/>
      <c r="D102" s="49"/>
      <c r="E102" s="49"/>
      <c r="F102" s="49"/>
      <c r="G102" s="17"/>
      <c r="H102" s="17"/>
    </row>
    <row r="103" spans="1:8" ht="18" customHeight="1">
      <c r="A103" s="57" t="s">
        <v>1500</v>
      </c>
      <c r="B103" s="58" t="s">
        <v>1501</v>
      </c>
      <c r="C103" s="59" t="s">
        <v>1502</v>
      </c>
      <c r="D103" s="59">
        <v>20</v>
      </c>
      <c r="E103" s="57" t="s">
        <v>1503</v>
      </c>
      <c r="F103" s="57" t="s">
        <v>1585</v>
      </c>
      <c r="G103" s="17"/>
      <c r="H103" s="17"/>
    </row>
    <row r="104" spans="1:8" ht="12" customHeight="1">
      <c r="A104" s="60">
        <v>19040</v>
      </c>
      <c r="B104" s="61" t="s">
        <v>1586</v>
      </c>
      <c r="C104" s="61" t="s">
        <v>685</v>
      </c>
      <c r="D104" s="61"/>
      <c r="E104" s="60">
        <v>397</v>
      </c>
      <c r="F104" s="60">
        <v>8.25</v>
      </c>
      <c r="G104" s="17"/>
      <c r="H104" s="17"/>
    </row>
    <row r="105" spans="1:8" ht="12" customHeight="1">
      <c r="A105" s="60">
        <v>18060</v>
      </c>
      <c r="B105" s="61" t="s">
        <v>1587</v>
      </c>
      <c r="C105" s="61" t="s">
        <v>685</v>
      </c>
      <c r="D105" s="61"/>
      <c r="E105" s="60">
        <v>195</v>
      </c>
      <c r="F105" s="60">
        <v>28</v>
      </c>
      <c r="G105" s="17"/>
      <c r="H105" s="17"/>
    </row>
    <row r="106" spans="1:8" ht="12" customHeight="1">
      <c r="A106" s="60">
        <v>13060</v>
      </c>
      <c r="B106" s="61" t="s">
        <v>1588</v>
      </c>
      <c r="C106" s="61" t="s">
        <v>333</v>
      </c>
      <c r="D106" s="61"/>
      <c r="E106" s="60">
        <v>105</v>
      </c>
      <c r="F106" s="60">
        <v>27.062999999999999</v>
      </c>
      <c r="G106" s="17"/>
      <c r="H106" s="17"/>
    </row>
    <row r="107" spans="1:8" ht="12" customHeight="1">
      <c r="A107" s="49"/>
      <c r="B107" s="49"/>
      <c r="C107" s="49"/>
      <c r="D107" s="49"/>
      <c r="E107" s="49"/>
      <c r="F107" s="49"/>
      <c r="G107" s="17"/>
      <c r="H107" s="17"/>
    </row>
    <row r="108" spans="1:8" ht="18" customHeight="1">
      <c r="A108" s="57" t="s">
        <v>1500</v>
      </c>
      <c r="B108" s="58" t="s">
        <v>1501</v>
      </c>
      <c r="C108" s="59" t="s">
        <v>1502</v>
      </c>
      <c r="D108" s="59">
        <v>21</v>
      </c>
      <c r="E108" s="57" t="s">
        <v>1503</v>
      </c>
      <c r="F108" s="57" t="s">
        <v>1589</v>
      </c>
      <c r="G108" s="17"/>
      <c r="H108" s="17"/>
    </row>
    <row r="109" spans="1:8" ht="12" customHeight="1">
      <c r="A109" s="60">
        <v>21913</v>
      </c>
      <c r="B109" s="61" t="s">
        <v>1590</v>
      </c>
      <c r="C109" s="61" t="s">
        <v>714</v>
      </c>
      <c r="D109" s="61"/>
      <c r="E109" s="60">
        <v>43</v>
      </c>
      <c r="F109" s="60">
        <v>29.376000000000001</v>
      </c>
      <c r="G109" s="17"/>
      <c r="H109" s="17"/>
    </row>
    <row r="110" spans="1:8" ht="12" customHeight="1">
      <c r="A110" s="60">
        <v>22183</v>
      </c>
      <c r="B110" s="61" t="s">
        <v>1591</v>
      </c>
      <c r="C110" s="61" t="s">
        <v>505</v>
      </c>
      <c r="D110" s="61"/>
      <c r="E110" s="60">
        <v>257</v>
      </c>
      <c r="F110" s="60">
        <v>15.032999999999999</v>
      </c>
      <c r="G110" s="17"/>
      <c r="H110" s="17"/>
    </row>
    <row r="111" spans="1:8" ht="12" customHeight="1">
      <c r="A111" s="60">
        <v>22181</v>
      </c>
      <c r="B111" s="61" t="s">
        <v>1592</v>
      </c>
      <c r="C111" s="61" t="s">
        <v>505</v>
      </c>
      <c r="D111" s="61"/>
      <c r="E111" s="60">
        <v>278</v>
      </c>
      <c r="F111" s="60">
        <v>12.846</v>
      </c>
      <c r="G111" s="17"/>
      <c r="H111" s="17"/>
    </row>
    <row r="112" spans="1:8" ht="12" customHeight="1">
      <c r="A112" s="49"/>
      <c r="B112" s="49"/>
      <c r="C112" s="49"/>
      <c r="D112" s="49"/>
      <c r="E112" s="49"/>
      <c r="F112" s="49"/>
      <c r="G112" s="17"/>
      <c r="H112" s="17"/>
    </row>
    <row r="113" spans="1:8" ht="18" customHeight="1">
      <c r="A113" s="57" t="s">
        <v>1500</v>
      </c>
      <c r="B113" s="58" t="s">
        <v>1501</v>
      </c>
      <c r="C113" s="59" t="s">
        <v>1502</v>
      </c>
      <c r="D113" s="59">
        <v>22</v>
      </c>
      <c r="E113" s="57" t="s">
        <v>1503</v>
      </c>
      <c r="F113" s="57" t="s">
        <v>1593</v>
      </c>
      <c r="G113" s="17"/>
      <c r="H113" s="17"/>
    </row>
    <row r="114" spans="1:8" ht="12" customHeight="1">
      <c r="A114" s="60">
        <v>21036</v>
      </c>
      <c r="B114" s="61" t="s">
        <v>1594</v>
      </c>
      <c r="C114" s="61" t="s">
        <v>199</v>
      </c>
      <c r="D114" s="61"/>
      <c r="E114" s="60">
        <v>222</v>
      </c>
      <c r="F114" s="60">
        <v>20.062999999999999</v>
      </c>
      <c r="G114" s="17"/>
      <c r="H114" s="17"/>
    </row>
    <row r="115" spans="1:8" ht="12" customHeight="1">
      <c r="A115" s="60">
        <v>14021</v>
      </c>
      <c r="B115" s="61" t="s">
        <v>1595</v>
      </c>
      <c r="C115" s="61" t="s">
        <v>199</v>
      </c>
      <c r="D115" s="61"/>
      <c r="E115" s="60">
        <v>239</v>
      </c>
      <c r="F115" s="60">
        <v>20.189</v>
      </c>
      <c r="G115" s="17"/>
      <c r="H115" s="17"/>
    </row>
    <row r="116" spans="1:8" ht="12" customHeight="1">
      <c r="A116" s="60">
        <v>20578</v>
      </c>
      <c r="B116" s="61" t="s">
        <v>1596</v>
      </c>
      <c r="C116" s="61" t="s">
        <v>199</v>
      </c>
      <c r="D116" s="61"/>
      <c r="E116" s="60">
        <v>230</v>
      </c>
      <c r="F116" s="60">
        <v>16.931000000000001</v>
      </c>
      <c r="G116" s="17"/>
      <c r="H116" s="17"/>
    </row>
    <row r="117" spans="1:8" ht="12" customHeight="1">
      <c r="A117" s="49"/>
      <c r="B117" s="49"/>
      <c r="C117" s="49"/>
      <c r="D117" s="49"/>
      <c r="E117" s="49"/>
      <c r="F117" s="49"/>
      <c r="G117" s="17"/>
      <c r="H117" s="17"/>
    </row>
    <row r="118" spans="1:8" ht="12" customHeight="1">
      <c r="A118" s="57" t="s">
        <v>1500</v>
      </c>
      <c r="B118" s="58" t="s">
        <v>1501</v>
      </c>
      <c r="C118" s="59" t="s">
        <v>1502</v>
      </c>
      <c r="D118" s="59">
        <v>23</v>
      </c>
      <c r="E118" s="57" t="s">
        <v>1503</v>
      </c>
      <c r="F118" s="57" t="s">
        <v>1597</v>
      </c>
      <c r="G118" s="17"/>
      <c r="H118" s="17"/>
    </row>
    <row r="119" spans="1:8" ht="12" customHeight="1">
      <c r="A119" s="60">
        <v>20573</v>
      </c>
      <c r="B119" s="61" t="s">
        <v>1598</v>
      </c>
      <c r="C119" s="61" t="s">
        <v>1599</v>
      </c>
      <c r="D119" s="61"/>
      <c r="E119" s="60">
        <v>141</v>
      </c>
      <c r="F119" s="60">
        <v>22.155999999999999</v>
      </c>
      <c r="G119" s="17"/>
      <c r="H119" s="17"/>
    </row>
    <row r="120" spans="1:8" ht="12" customHeight="1">
      <c r="A120" s="60">
        <v>22111</v>
      </c>
      <c r="B120" s="61" t="s">
        <v>1600</v>
      </c>
      <c r="C120" s="61" t="s">
        <v>1599</v>
      </c>
      <c r="D120" s="61"/>
      <c r="E120" s="60">
        <v>117</v>
      </c>
      <c r="F120" s="60">
        <v>25.814</v>
      </c>
      <c r="G120" s="17"/>
      <c r="H120" s="17"/>
    </row>
    <row r="121" spans="1:8" ht="12" customHeight="1">
      <c r="A121" s="60">
        <v>20511</v>
      </c>
      <c r="B121" s="61" t="s">
        <v>1601</v>
      </c>
      <c r="C121" s="61" t="s">
        <v>1599</v>
      </c>
      <c r="D121" s="61"/>
      <c r="E121" s="60">
        <v>301</v>
      </c>
      <c r="F121" s="60">
        <v>8.36</v>
      </c>
      <c r="G121" s="17"/>
      <c r="H121" s="17"/>
    </row>
    <row r="122" spans="1:8" ht="12" customHeight="1">
      <c r="A122" s="49"/>
      <c r="B122" s="49"/>
      <c r="C122" s="49"/>
      <c r="D122" s="49"/>
      <c r="E122" s="49"/>
      <c r="F122" s="49"/>
      <c r="G122" s="17"/>
      <c r="H122" s="17"/>
    </row>
    <row r="123" spans="1:8" ht="18" customHeight="1">
      <c r="A123" s="57" t="s">
        <v>1500</v>
      </c>
      <c r="B123" s="58" t="s">
        <v>1501</v>
      </c>
      <c r="C123" s="59" t="s">
        <v>1502</v>
      </c>
      <c r="D123" s="59">
        <v>24</v>
      </c>
      <c r="E123" s="57" t="s">
        <v>1503</v>
      </c>
      <c r="F123" s="57" t="s">
        <v>1602</v>
      </c>
      <c r="G123" s="17"/>
      <c r="H123" s="17"/>
    </row>
    <row r="124" spans="1:8" ht="12" customHeight="1">
      <c r="A124" s="60">
        <v>20617</v>
      </c>
      <c r="B124" s="61" t="s">
        <v>1603</v>
      </c>
      <c r="C124" s="61" t="s">
        <v>221</v>
      </c>
      <c r="D124" s="61"/>
      <c r="E124" s="60">
        <v>11</v>
      </c>
      <c r="F124" s="60">
        <v>43.75</v>
      </c>
      <c r="G124" s="17"/>
      <c r="H124" s="17"/>
    </row>
    <row r="125" spans="1:8" ht="12" customHeight="1">
      <c r="A125" s="60">
        <v>20504</v>
      </c>
      <c r="B125" s="61" t="s">
        <v>1604</v>
      </c>
      <c r="C125" s="61" t="s">
        <v>221</v>
      </c>
      <c r="D125" s="61"/>
      <c r="E125" s="60">
        <v>320</v>
      </c>
      <c r="F125" s="60">
        <v>9.75</v>
      </c>
      <c r="G125" s="17"/>
      <c r="H125" s="17"/>
    </row>
    <row r="126" spans="1:8" ht="12" customHeight="1">
      <c r="A126" s="60">
        <v>23236</v>
      </c>
      <c r="B126" s="61" t="s">
        <v>1605</v>
      </c>
      <c r="C126" s="61" t="s">
        <v>221</v>
      </c>
      <c r="D126" s="61"/>
      <c r="E126" s="60">
        <v>535</v>
      </c>
      <c r="F126" s="60">
        <v>2.3439999999999999</v>
      </c>
      <c r="G126" s="17"/>
      <c r="H126" s="17"/>
    </row>
    <row r="127" spans="1:8" ht="12" customHeight="1">
      <c r="A127" s="49"/>
      <c r="B127" s="49"/>
      <c r="C127" s="49"/>
      <c r="D127" s="49"/>
      <c r="E127" s="49"/>
      <c r="F127" s="49"/>
      <c r="G127" s="17"/>
      <c r="H127" s="17"/>
    </row>
    <row r="128" spans="1:8" ht="18" customHeight="1">
      <c r="A128" s="57" t="s">
        <v>1500</v>
      </c>
      <c r="B128" s="58" t="s">
        <v>1501</v>
      </c>
      <c r="C128" s="59" t="s">
        <v>1502</v>
      </c>
      <c r="D128" s="59">
        <v>25</v>
      </c>
      <c r="E128" s="57" t="s">
        <v>1503</v>
      </c>
      <c r="F128" s="57" t="s">
        <v>1606</v>
      </c>
      <c r="G128" s="17"/>
      <c r="H128" s="17"/>
    </row>
    <row r="129" spans="1:8" ht="12" customHeight="1">
      <c r="A129" s="60">
        <v>15051</v>
      </c>
      <c r="B129" s="61" t="s">
        <v>1607</v>
      </c>
      <c r="C129" s="61" t="s">
        <v>156</v>
      </c>
      <c r="D129" s="61"/>
      <c r="E129" s="60">
        <v>240</v>
      </c>
      <c r="F129" s="60">
        <v>17.064</v>
      </c>
      <c r="G129" s="17"/>
      <c r="H129" s="17"/>
    </row>
    <row r="130" spans="1:8" ht="12" customHeight="1">
      <c r="A130" s="60">
        <v>24317</v>
      </c>
      <c r="B130" s="61" t="s">
        <v>1608</v>
      </c>
      <c r="C130" s="61" t="s">
        <v>156</v>
      </c>
      <c r="D130" s="61"/>
      <c r="E130" s="60">
        <v>122</v>
      </c>
      <c r="F130" s="60">
        <v>21.626999999999999</v>
      </c>
      <c r="G130" s="17"/>
      <c r="H130" s="17"/>
    </row>
    <row r="131" spans="1:8" ht="12" customHeight="1">
      <c r="A131" s="60">
        <v>15050</v>
      </c>
      <c r="B131" s="61" t="s">
        <v>1609</v>
      </c>
      <c r="C131" s="61" t="s">
        <v>156</v>
      </c>
      <c r="D131" s="61"/>
      <c r="E131" s="60">
        <v>256</v>
      </c>
      <c r="F131" s="60">
        <v>16.440000000000001</v>
      </c>
      <c r="G131" s="17"/>
      <c r="H131" s="17"/>
    </row>
    <row r="132" spans="1:8" ht="12" customHeight="1">
      <c r="A132" s="49"/>
      <c r="B132" s="49"/>
      <c r="C132" s="49"/>
      <c r="D132" s="49"/>
      <c r="E132" s="49"/>
      <c r="F132" s="49"/>
      <c r="G132" s="17"/>
      <c r="H132" s="17"/>
    </row>
    <row r="133" spans="1:8" ht="18" customHeight="1">
      <c r="A133" s="57" t="s">
        <v>1500</v>
      </c>
      <c r="B133" s="58" t="s">
        <v>1501</v>
      </c>
      <c r="C133" s="59" t="s">
        <v>1502</v>
      </c>
      <c r="D133" s="59">
        <v>26</v>
      </c>
      <c r="E133" s="57" t="s">
        <v>1503</v>
      </c>
      <c r="F133" s="57" t="s">
        <v>1610</v>
      </c>
      <c r="G133" s="17"/>
      <c r="H133" s="17"/>
    </row>
    <row r="134" spans="1:8" ht="12" customHeight="1">
      <c r="A134" s="60">
        <v>18064</v>
      </c>
      <c r="B134" s="61" t="s">
        <v>1611</v>
      </c>
      <c r="C134" s="61" t="s">
        <v>199</v>
      </c>
      <c r="D134" s="61"/>
      <c r="E134" s="60">
        <v>229</v>
      </c>
      <c r="F134" s="60">
        <v>19.594999999999999</v>
      </c>
      <c r="G134" s="17"/>
      <c r="H134" s="17"/>
    </row>
    <row r="135" spans="1:8" ht="12" customHeight="1">
      <c r="A135" s="60">
        <v>22120</v>
      </c>
      <c r="B135" s="61" t="s">
        <v>1612</v>
      </c>
      <c r="C135" s="61" t="s">
        <v>199</v>
      </c>
      <c r="D135" s="61"/>
      <c r="E135" s="60">
        <v>299</v>
      </c>
      <c r="F135" s="60">
        <v>12.471</v>
      </c>
      <c r="G135" s="17"/>
      <c r="H135" s="17"/>
    </row>
    <row r="136" spans="1:8" ht="12" customHeight="1">
      <c r="A136" s="60">
        <v>20579</v>
      </c>
      <c r="B136" s="61" t="s">
        <v>1613</v>
      </c>
      <c r="C136" s="61" t="s">
        <v>199</v>
      </c>
      <c r="D136" s="61"/>
      <c r="E136" s="60">
        <v>282</v>
      </c>
      <c r="F136" s="60">
        <v>14.939</v>
      </c>
      <c r="G136" s="17"/>
      <c r="H136" s="17"/>
    </row>
    <row r="137" spans="1:8" ht="12" customHeight="1">
      <c r="A137" s="49"/>
      <c r="B137" s="49"/>
      <c r="C137" s="49"/>
      <c r="D137" s="49"/>
      <c r="E137" s="49"/>
      <c r="F137" s="49"/>
      <c r="G137" s="17"/>
      <c r="H137" s="17"/>
    </row>
    <row r="138" spans="1:8" ht="18" customHeight="1">
      <c r="A138" s="57" t="s">
        <v>1500</v>
      </c>
      <c r="B138" s="58" t="s">
        <v>1501</v>
      </c>
      <c r="C138" s="59" t="s">
        <v>1502</v>
      </c>
      <c r="D138" s="59">
        <v>27</v>
      </c>
      <c r="E138" s="57" t="s">
        <v>1503</v>
      </c>
      <c r="F138" s="57" t="s">
        <v>1614</v>
      </c>
      <c r="G138" s="17"/>
      <c r="H138" s="17"/>
    </row>
    <row r="139" spans="1:8" ht="12" customHeight="1">
      <c r="A139" s="60">
        <v>11049</v>
      </c>
      <c r="B139" s="61" t="s">
        <v>1615</v>
      </c>
      <c r="C139" s="61" t="s">
        <v>309</v>
      </c>
      <c r="D139" s="61"/>
      <c r="E139" s="60">
        <v>221</v>
      </c>
      <c r="F139" s="60">
        <v>16.952999999999999</v>
      </c>
      <c r="G139" s="17"/>
      <c r="H139" s="17"/>
    </row>
    <row r="140" spans="1:8" ht="12" customHeight="1">
      <c r="A140" s="60">
        <v>18081</v>
      </c>
      <c r="B140" s="61" t="s">
        <v>1616</v>
      </c>
      <c r="C140" s="61" t="s">
        <v>193</v>
      </c>
      <c r="D140" s="61"/>
      <c r="E140" s="60">
        <v>219</v>
      </c>
      <c r="F140" s="60">
        <v>16.001000000000001</v>
      </c>
      <c r="G140" s="17"/>
      <c r="H140" s="17"/>
    </row>
    <row r="141" spans="1:8" ht="12" customHeight="1">
      <c r="A141" s="60">
        <v>18080</v>
      </c>
      <c r="B141" s="61" t="s">
        <v>1617</v>
      </c>
      <c r="C141" s="61" t="s">
        <v>193</v>
      </c>
      <c r="D141" s="61"/>
      <c r="E141" s="60">
        <v>280</v>
      </c>
      <c r="F141" s="60">
        <v>12.97</v>
      </c>
      <c r="G141" s="17"/>
      <c r="H141" s="17"/>
    </row>
    <row r="142" spans="1:8" ht="12" customHeight="1">
      <c r="A142" s="49"/>
      <c r="B142" s="49"/>
      <c r="C142" s="49"/>
      <c r="D142" s="49"/>
      <c r="E142" s="49"/>
      <c r="F142" s="49"/>
      <c r="G142" s="17"/>
      <c r="H142" s="17"/>
    </row>
    <row r="143" spans="1:8" ht="12" customHeight="1">
      <c r="A143" s="57" t="s">
        <v>1500</v>
      </c>
      <c r="B143" s="58" t="s">
        <v>1501</v>
      </c>
      <c r="C143" s="59" t="s">
        <v>1502</v>
      </c>
      <c r="D143" s="59">
        <v>28</v>
      </c>
      <c r="E143" s="57" t="s">
        <v>1503</v>
      </c>
      <c r="F143" s="57" t="s">
        <v>1618</v>
      </c>
      <c r="G143" s="17"/>
      <c r="H143" s="17"/>
    </row>
    <row r="144" spans="1:8" ht="12" customHeight="1">
      <c r="A144" s="60">
        <v>18131</v>
      </c>
      <c r="B144" s="61" t="s">
        <v>1619</v>
      </c>
      <c r="C144" s="61" t="s">
        <v>685</v>
      </c>
      <c r="D144" s="61"/>
      <c r="E144" s="60">
        <v>171</v>
      </c>
      <c r="F144" s="60">
        <v>24.5</v>
      </c>
      <c r="G144" s="17"/>
      <c r="H144" s="17"/>
    </row>
    <row r="145" spans="1:8" ht="12" customHeight="1">
      <c r="A145" s="60">
        <v>20503</v>
      </c>
      <c r="B145" s="61" t="s">
        <v>1620</v>
      </c>
      <c r="C145" s="61" t="s">
        <v>221</v>
      </c>
      <c r="D145" s="61"/>
      <c r="E145" s="60">
        <v>215</v>
      </c>
      <c r="F145" s="60">
        <v>15.407999999999999</v>
      </c>
      <c r="G145" s="17"/>
      <c r="H145" s="17"/>
    </row>
    <row r="146" spans="1:8" ht="12" customHeight="1">
      <c r="A146" s="60">
        <v>21004</v>
      </c>
      <c r="B146" s="61" t="s">
        <v>1621</v>
      </c>
      <c r="C146" s="61" t="s">
        <v>221</v>
      </c>
      <c r="D146" s="61"/>
      <c r="E146" s="60">
        <v>329</v>
      </c>
      <c r="F146" s="60">
        <v>4.742</v>
      </c>
      <c r="G146" s="17"/>
      <c r="H146" s="17"/>
    </row>
    <row r="147" spans="1:8" ht="12" customHeight="1">
      <c r="A147" s="49"/>
      <c r="B147" s="49"/>
      <c r="C147" s="49"/>
      <c r="D147" s="49"/>
      <c r="E147" s="49"/>
      <c r="F147" s="49"/>
      <c r="G147" s="17"/>
      <c r="H147" s="17"/>
    </row>
    <row r="148" spans="1:8" ht="18" customHeight="1">
      <c r="A148" s="57" t="s">
        <v>1500</v>
      </c>
      <c r="B148" s="58" t="s">
        <v>1501</v>
      </c>
      <c r="C148" s="59" t="s">
        <v>1502</v>
      </c>
      <c r="D148" s="59">
        <v>29</v>
      </c>
      <c r="E148" s="57" t="s">
        <v>1503</v>
      </c>
      <c r="F148" s="57" t="s">
        <v>1622</v>
      </c>
      <c r="G148" s="17"/>
      <c r="H148" s="17"/>
    </row>
    <row r="149" spans="1:8" ht="12" customHeight="1">
      <c r="A149" s="60">
        <v>11044</v>
      </c>
      <c r="B149" s="61" t="s">
        <v>1623</v>
      </c>
      <c r="C149" s="61" t="s">
        <v>312</v>
      </c>
      <c r="D149" s="61"/>
      <c r="E149" s="60">
        <v>147</v>
      </c>
      <c r="F149" s="60">
        <v>23.501999999999999</v>
      </c>
      <c r="G149" s="17"/>
      <c r="H149" s="17"/>
    </row>
    <row r="150" spans="1:8" ht="12" customHeight="1">
      <c r="A150" s="60">
        <v>11045</v>
      </c>
      <c r="B150" s="61" t="s">
        <v>1624</v>
      </c>
      <c r="C150" s="61" t="s">
        <v>312</v>
      </c>
      <c r="D150" s="61"/>
      <c r="E150" s="60">
        <v>226</v>
      </c>
      <c r="F150" s="60">
        <v>14.72</v>
      </c>
      <c r="G150" s="17"/>
      <c r="H150" s="17"/>
    </row>
    <row r="151" spans="1:8" ht="12" customHeight="1">
      <c r="A151" s="60">
        <v>18098</v>
      </c>
      <c r="B151" s="61" t="s">
        <v>1625</v>
      </c>
      <c r="C151" s="61" t="s">
        <v>312</v>
      </c>
      <c r="D151" s="61"/>
      <c r="E151" s="60">
        <v>430</v>
      </c>
      <c r="F151" s="60">
        <v>5.8129999999999997</v>
      </c>
      <c r="G151" s="17"/>
      <c r="H151" s="17"/>
    </row>
    <row r="152" spans="1:8" ht="12" customHeight="1">
      <c r="A152" s="49"/>
      <c r="B152" s="49"/>
      <c r="C152" s="49"/>
      <c r="D152" s="49"/>
      <c r="E152" s="49"/>
      <c r="F152" s="49"/>
      <c r="G152" s="17"/>
      <c r="H152" s="17"/>
    </row>
    <row r="153" spans="1:8" ht="18" customHeight="1">
      <c r="A153" s="57" t="s">
        <v>1500</v>
      </c>
      <c r="B153" s="58" t="s">
        <v>1501</v>
      </c>
      <c r="C153" s="59" t="s">
        <v>1502</v>
      </c>
      <c r="D153" s="59">
        <v>30</v>
      </c>
      <c r="E153" s="57" t="s">
        <v>1503</v>
      </c>
      <c r="F153" s="57" t="s">
        <v>1626</v>
      </c>
      <c r="G153" s="17"/>
      <c r="H153" s="17"/>
    </row>
    <row r="154" spans="1:8" ht="12" customHeight="1">
      <c r="A154" s="60">
        <v>22106</v>
      </c>
      <c r="B154" s="61" t="s">
        <v>1627</v>
      </c>
      <c r="C154" s="61" t="s">
        <v>347</v>
      </c>
      <c r="D154" s="61"/>
      <c r="E154" s="60">
        <v>265</v>
      </c>
      <c r="F154" s="60">
        <v>17.376000000000001</v>
      </c>
      <c r="G154" s="17"/>
      <c r="H154" s="17"/>
    </row>
    <row r="155" spans="1:8" ht="12" customHeight="1">
      <c r="A155" s="60">
        <v>21050</v>
      </c>
      <c r="B155" s="61" t="s">
        <v>1628</v>
      </c>
      <c r="C155" s="61" t="s">
        <v>347</v>
      </c>
      <c r="D155" s="61"/>
      <c r="E155" s="60">
        <v>285</v>
      </c>
      <c r="F155" s="60">
        <v>14.938000000000001</v>
      </c>
      <c r="G155" s="17"/>
      <c r="H155" s="17"/>
    </row>
    <row r="156" spans="1:8" ht="12" customHeight="1">
      <c r="A156" s="60">
        <v>21049</v>
      </c>
      <c r="B156" s="61" t="s">
        <v>1629</v>
      </c>
      <c r="C156" s="61" t="s">
        <v>347</v>
      </c>
      <c r="D156" s="61"/>
      <c r="E156" s="60">
        <v>378</v>
      </c>
      <c r="F156" s="60">
        <v>10.063000000000001</v>
      </c>
      <c r="G156" s="17"/>
      <c r="H156" s="17"/>
    </row>
    <row r="157" spans="1:8" ht="12" customHeight="1">
      <c r="A157" s="49"/>
      <c r="B157" s="49"/>
      <c r="C157" s="49"/>
      <c r="D157" s="49"/>
      <c r="E157" s="49"/>
      <c r="F157" s="49"/>
      <c r="G157" s="17"/>
      <c r="H157" s="17"/>
    </row>
    <row r="158" spans="1:8" ht="18" customHeight="1">
      <c r="A158" s="57" t="s">
        <v>1500</v>
      </c>
      <c r="B158" s="58" t="s">
        <v>1501</v>
      </c>
      <c r="C158" s="59" t="s">
        <v>1502</v>
      </c>
      <c r="D158" s="59">
        <v>31</v>
      </c>
      <c r="E158" s="57" t="s">
        <v>1503</v>
      </c>
      <c r="F158" s="57" t="s">
        <v>1630</v>
      </c>
      <c r="G158" s="17"/>
      <c r="H158" s="17"/>
    </row>
    <row r="159" spans="1:8" ht="12" customHeight="1">
      <c r="A159" s="60">
        <v>98477</v>
      </c>
      <c r="B159" s="61" t="s">
        <v>1631</v>
      </c>
      <c r="C159" s="61" t="s">
        <v>333</v>
      </c>
      <c r="D159" s="61"/>
      <c r="E159" s="60">
        <v>348</v>
      </c>
      <c r="F159" s="60">
        <v>3.9689999999999999</v>
      </c>
      <c r="G159" s="17"/>
      <c r="H159" s="17"/>
    </row>
    <row r="160" spans="1:8" ht="12" customHeight="1">
      <c r="A160" s="60">
        <v>24310</v>
      </c>
      <c r="B160" s="61" t="s">
        <v>1632</v>
      </c>
      <c r="C160" s="61" t="s">
        <v>333</v>
      </c>
      <c r="D160" s="61"/>
      <c r="E160" s="60">
        <v>59</v>
      </c>
      <c r="F160" s="60">
        <v>26.189</v>
      </c>
      <c r="G160" s="17"/>
      <c r="H160" s="17"/>
    </row>
    <row r="161" spans="1:8" ht="12" customHeight="1">
      <c r="A161" s="60">
        <v>96152</v>
      </c>
      <c r="B161" s="61" t="s">
        <v>1633</v>
      </c>
      <c r="C161" s="61" t="s">
        <v>333</v>
      </c>
      <c r="D161" s="61"/>
      <c r="E161" s="60">
        <v>268</v>
      </c>
      <c r="F161" s="60">
        <v>11.968999999999999</v>
      </c>
      <c r="G161" s="17"/>
      <c r="H161" s="17"/>
    </row>
    <row r="162" spans="1:8" ht="12" customHeight="1">
      <c r="A162" s="49"/>
      <c r="B162" s="49"/>
      <c r="C162" s="49"/>
      <c r="D162" s="49"/>
      <c r="E162" s="49"/>
      <c r="F162" s="49"/>
      <c r="G162" s="17"/>
      <c r="H162" s="17"/>
    </row>
    <row r="163" spans="1:8" ht="12" customHeight="1">
      <c r="A163" s="57" t="s">
        <v>1500</v>
      </c>
      <c r="B163" s="58" t="s">
        <v>1501</v>
      </c>
      <c r="C163" s="59" t="s">
        <v>1502</v>
      </c>
      <c r="D163" s="59">
        <v>32</v>
      </c>
      <c r="E163" s="57" t="s">
        <v>1503</v>
      </c>
      <c r="F163" s="57" t="s">
        <v>1634</v>
      </c>
      <c r="G163" s="17"/>
      <c r="H163" s="17"/>
    </row>
    <row r="164" spans="1:8" ht="12" customHeight="1">
      <c r="A164" s="60">
        <v>27062</v>
      </c>
      <c r="B164" s="61" t="s">
        <v>1635</v>
      </c>
      <c r="C164" s="61" t="s">
        <v>704</v>
      </c>
      <c r="D164" s="61"/>
      <c r="E164" s="60">
        <v>166</v>
      </c>
      <c r="F164" s="60">
        <v>21.157</v>
      </c>
      <c r="G164" s="17"/>
      <c r="H164" s="17"/>
    </row>
    <row r="165" spans="1:8" ht="12" customHeight="1">
      <c r="A165" s="60">
        <v>21007</v>
      </c>
      <c r="B165" s="61" t="s">
        <v>1636</v>
      </c>
      <c r="C165" s="61" t="s">
        <v>704</v>
      </c>
      <c r="D165" s="61"/>
      <c r="E165" s="60">
        <v>376</v>
      </c>
      <c r="F165" s="60">
        <v>9.2509999999999994</v>
      </c>
      <c r="G165" s="17"/>
      <c r="H165" s="17"/>
    </row>
    <row r="166" spans="1:8" ht="12" customHeight="1">
      <c r="A166" s="60">
        <v>98304</v>
      </c>
      <c r="B166" s="61" t="s">
        <v>1637</v>
      </c>
      <c r="C166" s="61" t="s">
        <v>312</v>
      </c>
      <c r="D166" s="61"/>
      <c r="E166" s="60">
        <v>258</v>
      </c>
      <c r="F166" s="60">
        <v>9.282</v>
      </c>
      <c r="G166" s="17"/>
      <c r="H166" s="17"/>
    </row>
    <row r="167" spans="1:8" ht="12" customHeight="1">
      <c r="A167" s="49"/>
      <c r="B167" s="49"/>
      <c r="C167" s="49"/>
      <c r="D167" s="49"/>
      <c r="E167" s="49"/>
      <c r="F167" s="49"/>
      <c r="G167" s="17"/>
      <c r="H167" s="17"/>
    </row>
    <row r="168" spans="1:8" ht="18" customHeight="1">
      <c r="A168" s="57" t="s">
        <v>1500</v>
      </c>
      <c r="B168" s="58" t="s">
        <v>1501</v>
      </c>
      <c r="C168" s="59" t="s">
        <v>1502</v>
      </c>
      <c r="D168" s="59">
        <v>33</v>
      </c>
      <c r="E168" s="57" t="s">
        <v>1503</v>
      </c>
      <c r="F168" s="57" t="s">
        <v>1638</v>
      </c>
      <c r="G168" s="17"/>
      <c r="H168" s="17"/>
    </row>
    <row r="169" spans="1:8" ht="12" customHeight="1">
      <c r="A169" s="60">
        <v>19067</v>
      </c>
      <c r="B169" s="61" t="s">
        <v>1639</v>
      </c>
      <c r="C169" s="61" t="s">
        <v>312</v>
      </c>
      <c r="D169" s="61"/>
      <c r="E169" s="60">
        <v>237</v>
      </c>
      <c r="F169" s="60">
        <v>13.345000000000001</v>
      </c>
      <c r="G169" s="17"/>
      <c r="H169" s="17"/>
    </row>
    <row r="170" spans="1:8" ht="12" customHeight="1">
      <c r="A170" s="60">
        <v>20565</v>
      </c>
      <c r="B170" s="61" t="s">
        <v>1640</v>
      </c>
      <c r="C170" s="61" t="s">
        <v>312</v>
      </c>
      <c r="D170" s="61"/>
      <c r="E170" s="60">
        <v>243</v>
      </c>
      <c r="F170" s="60">
        <v>17.094999999999999</v>
      </c>
      <c r="G170" s="17"/>
      <c r="H170" s="17"/>
    </row>
    <row r="171" spans="1:8" ht="12" customHeight="1">
      <c r="A171" s="60">
        <v>15083</v>
      </c>
      <c r="B171" s="61" t="s">
        <v>1641</v>
      </c>
      <c r="C171" s="61" t="s">
        <v>312</v>
      </c>
      <c r="D171" s="61"/>
      <c r="E171" s="60">
        <v>364</v>
      </c>
      <c r="F171" s="60">
        <v>8.1880000000000006</v>
      </c>
      <c r="G171" s="17"/>
      <c r="H171" s="17"/>
    </row>
    <row r="172" spans="1:8" ht="12" customHeight="1">
      <c r="A172" s="49"/>
      <c r="B172" s="49"/>
      <c r="C172" s="49"/>
      <c r="D172" s="49"/>
      <c r="E172" s="49"/>
      <c r="F172" s="49"/>
      <c r="G172" s="17"/>
      <c r="H172" s="17"/>
    </row>
    <row r="173" spans="1:8" ht="18" customHeight="1">
      <c r="A173" s="57" t="s">
        <v>1500</v>
      </c>
      <c r="B173" s="58" t="s">
        <v>1501</v>
      </c>
      <c r="C173" s="59" t="s">
        <v>1502</v>
      </c>
      <c r="D173" s="59">
        <v>34</v>
      </c>
      <c r="E173" s="57" t="s">
        <v>1503</v>
      </c>
      <c r="F173" s="57" t="s">
        <v>1642</v>
      </c>
      <c r="G173" s="17"/>
      <c r="H173" s="17"/>
    </row>
    <row r="174" spans="1:8" ht="12" customHeight="1">
      <c r="A174" s="60">
        <v>21813</v>
      </c>
      <c r="B174" s="61" t="s">
        <v>1643</v>
      </c>
      <c r="C174" s="61" t="s">
        <v>221</v>
      </c>
      <c r="D174" s="61"/>
      <c r="E174" s="60">
        <v>308</v>
      </c>
      <c r="F174" s="60">
        <v>12.218999999999999</v>
      </c>
      <c r="G174" s="17"/>
      <c r="H174" s="17"/>
    </row>
    <row r="175" spans="1:8" ht="12" customHeight="1">
      <c r="A175" s="60">
        <v>15078</v>
      </c>
      <c r="B175" s="61" t="s">
        <v>1644</v>
      </c>
      <c r="C175" s="61" t="s">
        <v>328</v>
      </c>
      <c r="D175" s="61"/>
      <c r="E175" s="60">
        <v>442</v>
      </c>
      <c r="F175" s="60">
        <v>6.625</v>
      </c>
      <c r="G175" s="17"/>
      <c r="H175" s="17"/>
    </row>
    <row r="176" spans="1:8" ht="12" customHeight="1">
      <c r="A176" s="60">
        <v>23029</v>
      </c>
      <c r="B176" s="61" t="s">
        <v>1645</v>
      </c>
      <c r="C176" s="61" t="s">
        <v>1513</v>
      </c>
      <c r="D176" s="61"/>
      <c r="E176" s="60">
        <v>274</v>
      </c>
      <c r="F176" s="60">
        <v>19</v>
      </c>
      <c r="G176" s="17"/>
      <c r="H176" s="17"/>
    </row>
    <row r="177" spans="1:8" ht="12" customHeight="1">
      <c r="A177" s="49"/>
      <c r="B177" s="49"/>
      <c r="C177" s="49"/>
      <c r="D177" s="49"/>
      <c r="E177" s="49"/>
      <c r="F177" s="49"/>
      <c r="G177" s="17"/>
      <c r="H177" s="17"/>
    </row>
    <row r="178" spans="1:8" ht="18" customHeight="1">
      <c r="A178" s="57" t="s">
        <v>1500</v>
      </c>
      <c r="B178" s="58" t="s">
        <v>1501</v>
      </c>
      <c r="C178" s="59" t="s">
        <v>1502</v>
      </c>
      <c r="D178" s="59">
        <v>35</v>
      </c>
      <c r="E178" s="57" t="s">
        <v>1503</v>
      </c>
      <c r="F178" s="57" t="s">
        <v>1646</v>
      </c>
      <c r="G178" s="17"/>
      <c r="H178" s="17"/>
    </row>
    <row r="179" spans="1:8" ht="12" customHeight="1">
      <c r="A179" s="60">
        <v>19034</v>
      </c>
      <c r="B179" s="61" t="s">
        <v>1647</v>
      </c>
      <c r="C179" s="61" t="s">
        <v>199</v>
      </c>
      <c r="D179" s="61"/>
      <c r="E179" s="60">
        <v>238</v>
      </c>
      <c r="F179" s="60">
        <v>14.557</v>
      </c>
      <c r="G179" s="17"/>
      <c r="H179" s="17"/>
    </row>
    <row r="180" spans="1:8" ht="12" customHeight="1">
      <c r="A180" s="60">
        <v>18065</v>
      </c>
      <c r="B180" s="61" t="s">
        <v>1648</v>
      </c>
      <c r="C180" s="61" t="s">
        <v>199</v>
      </c>
      <c r="D180" s="61"/>
      <c r="E180" s="60">
        <v>241</v>
      </c>
      <c r="F180" s="60">
        <v>14.815</v>
      </c>
      <c r="G180" s="17"/>
      <c r="H180" s="17"/>
    </row>
    <row r="181" spans="1:8" ht="12" customHeight="1">
      <c r="A181" s="60">
        <v>22150</v>
      </c>
      <c r="B181" s="61" t="s">
        <v>1649</v>
      </c>
      <c r="C181" s="61" t="s">
        <v>765</v>
      </c>
      <c r="D181" s="61"/>
      <c r="E181" s="60">
        <v>456</v>
      </c>
      <c r="F181" s="60">
        <v>5.5650000000000004</v>
      </c>
      <c r="G181" s="17"/>
      <c r="H181" s="17"/>
    </row>
    <row r="182" spans="1:8" ht="12" customHeight="1">
      <c r="A182" s="49"/>
      <c r="B182" s="49"/>
      <c r="C182" s="49"/>
      <c r="D182" s="49"/>
      <c r="E182" s="49"/>
      <c r="F182" s="49"/>
      <c r="G182" s="17"/>
      <c r="H182" s="17"/>
    </row>
    <row r="183" spans="1:8" ht="18" customHeight="1">
      <c r="A183" s="57" t="s">
        <v>1500</v>
      </c>
      <c r="B183" s="58" t="s">
        <v>1501</v>
      </c>
      <c r="C183" s="59" t="s">
        <v>1502</v>
      </c>
      <c r="D183" s="59">
        <v>36</v>
      </c>
      <c r="E183" s="57" t="s">
        <v>1503</v>
      </c>
      <c r="F183" s="57" t="s">
        <v>1650</v>
      </c>
      <c r="G183" s="17"/>
      <c r="H183" s="17"/>
    </row>
    <row r="184" spans="1:8" ht="12" customHeight="1">
      <c r="A184" s="60">
        <v>99496</v>
      </c>
      <c r="B184" s="61" t="s">
        <v>1651</v>
      </c>
      <c r="C184" s="61" t="s">
        <v>1513</v>
      </c>
      <c r="D184" s="61"/>
      <c r="E184" s="60">
        <v>277</v>
      </c>
      <c r="F184" s="60">
        <v>7.484</v>
      </c>
      <c r="G184" s="17"/>
      <c r="H184" s="17"/>
    </row>
    <row r="185" spans="1:8" ht="12" customHeight="1">
      <c r="A185" s="60">
        <v>22953</v>
      </c>
      <c r="B185" s="61" t="s">
        <v>1652</v>
      </c>
      <c r="C185" s="61" t="s">
        <v>1513</v>
      </c>
      <c r="D185" s="61"/>
      <c r="E185" s="60">
        <v>538</v>
      </c>
      <c r="F185" s="60">
        <v>3.625</v>
      </c>
      <c r="G185" s="17"/>
      <c r="H185" s="17"/>
    </row>
    <row r="186" spans="1:8" ht="12" customHeight="1">
      <c r="A186" s="60">
        <v>24272</v>
      </c>
      <c r="B186" s="61" t="s">
        <v>1653</v>
      </c>
      <c r="C186" s="61" t="s">
        <v>1513</v>
      </c>
      <c r="D186" s="61"/>
      <c r="E186" s="60">
        <v>236</v>
      </c>
      <c r="F186" s="60">
        <v>22.812999999999999</v>
      </c>
      <c r="G186" s="17"/>
      <c r="H186" s="17"/>
    </row>
    <row r="187" spans="1:8" ht="12" customHeight="1">
      <c r="A187" s="49"/>
      <c r="B187" s="49"/>
      <c r="C187" s="49"/>
      <c r="D187" s="49"/>
      <c r="E187" s="49"/>
      <c r="F187" s="49"/>
      <c r="G187" s="17"/>
      <c r="H187" s="17"/>
    </row>
    <row r="188" spans="1:8" ht="12" customHeight="1">
      <c r="A188" s="57" t="s">
        <v>1500</v>
      </c>
      <c r="B188" s="58" t="s">
        <v>1501</v>
      </c>
      <c r="C188" s="59" t="s">
        <v>1502</v>
      </c>
      <c r="D188" s="59">
        <v>37</v>
      </c>
      <c r="E188" s="57" t="s">
        <v>1503</v>
      </c>
      <c r="F188" s="57" t="s">
        <v>1654</v>
      </c>
      <c r="G188" s="17"/>
      <c r="H188" s="17"/>
    </row>
    <row r="189" spans="1:8" ht="12" customHeight="1">
      <c r="A189" s="60">
        <v>18071</v>
      </c>
      <c r="B189" s="61" t="s">
        <v>1655</v>
      </c>
      <c r="C189" s="61" t="s">
        <v>199</v>
      </c>
      <c r="D189" s="61"/>
      <c r="E189" s="60">
        <v>346</v>
      </c>
      <c r="F189" s="60">
        <v>10.250999999999999</v>
      </c>
      <c r="G189" s="17"/>
      <c r="H189" s="17"/>
    </row>
    <row r="190" spans="1:8" ht="12" customHeight="1">
      <c r="A190" s="60">
        <v>18070</v>
      </c>
      <c r="B190" s="61" t="s">
        <v>1656</v>
      </c>
      <c r="C190" s="61" t="s">
        <v>199</v>
      </c>
      <c r="D190" s="61"/>
      <c r="E190" s="60">
        <v>304</v>
      </c>
      <c r="F190" s="60">
        <v>13.22</v>
      </c>
      <c r="G190" s="17"/>
      <c r="H190" s="17"/>
    </row>
    <row r="191" spans="1:8" ht="12" customHeight="1">
      <c r="A191" s="60">
        <v>22121</v>
      </c>
      <c r="B191" s="61" t="s">
        <v>1657</v>
      </c>
      <c r="C191" s="61" t="s">
        <v>199</v>
      </c>
      <c r="D191" s="61"/>
      <c r="E191" s="60">
        <v>407</v>
      </c>
      <c r="F191" s="60">
        <v>5.9690000000000003</v>
      </c>
      <c r="G191" s="17"/>
      <c r="H191" s="17"/>
    </row>
    <row r="192" spans="1:8" ht="12" customHeight="1">
      <c r="A192" s="49"/>
      <c r="B192" s="49"/>
      <c r="C192" s="49"/>
      <c r="D192" s="49"/>
      <c r="E192" s="49"/>
      <c r="F192" s="49"/>
      <c r="G192" s="17"/>
      <c r="H192" s="17"/>
    </row>
    <row r="193" spans="1:8" ht="18" customHeight="1">
      <c r="A193" s="57" t="s">
        <v>1500</v>
      </c>
      <c r="B193" s="58" t="s">
        <v>1501</v>
      </c>
      <c r="C193" s="59" t="s">
        <v>1502</v>
      </c>
      <c r="D193" s="59">
        <v>38</v>
      </c>
      <c r="E193" s="57" t="s">
        <v>1503</v>
      </c>
      <c r="F193" s="57" t="s">
        <v>1658</v>
      </c>
      <c r="G193" s="17"/>
      <c r="H193" s="17"/>
    </row>
    <row r="194" spans="1:8" ht="12" customHeight="1">
      <c r="A194" s="60">
        <v>13047</v>
      </c>
      <c r="B194" s="61" t="s">
        <v>1659</v>
      </c>
      <c r="C194" s="61" t="s">
        <v>349</v>
      </c>
      <c r="D194" s="61"/>
      <c r="E194" s="60">
        <v>400</v>
      </c>
      <c r="F194" s="60">
        <v>8.5329999999999995</v>
      </c>
      <c r="G194" s="17"/>
      <c r="H194" s="17"/>
    </row>
    <row r="195" spans="1:8" ht="12" customHeight="1">
      <c r="A195" s="60">
        <v>97262</v>
      </c>
      <c r="B195" s="61" t="s">
        <v>1660</v>
      </c>
      <c r="C195" s="61" t="s">
        <v>349</v>
      </c>
      <c r="D195" s="61"/>
      <c r="E195" s="60">
        <v>552</v>
      </c>
      <c r="F195" s="60">
        <v>2.6880000000000002</v>
      </c>
      <c r="G195" s="17"/>
      <c r="H195" s="17"/>
    </row>
    <row r="196" spans="1:8" ht="12" customHeight="1">
      <c r="A196" s="60">
        <v>16018</v>
      </c>
      <c r="B196" s="61" t="s">
        <v>1661</v>
      </c>
      <c r="C196" s="61" t="s">
        <v>349</v>
      </c>
      <c r="D196" s="61"/>
      <c r="E196" s="60">
        <v>310</v>
      </c>
      <c r="F196" s="60">
        <v>15.282999999999999</v>
      </c>
      <c r="G196" s="17"/>
      <c r="H196" s="17"/>
    </row>
    <row r="197" spans="1:8" ht="12" customHeight="1">
      <c r="A197" s="49"/>
      <c r="B197" s="49"/>
      <c r="C197" s="49"/>
      <c r="D197" s="49"/>
      <c r="E197" s="49"/>
      <c r="F197" s="49"/>
      <c r="G197" s="17"/>
      <c r="H197" s="17"/>
    </row>
    <row r="198" spans="1:8" ht="18" customHeight="1">
      <c r="A198" s="57" t="s">
        <v>1500</v>
      </c>
      <c r="B198" s="58" t="s">
        <v>1501</v>
      </c>
      <c r="C198" s="59" t="s">
        <v>1502</v>
      </c>
      <c r="D198" s="59">
        <v>40</v>
      </c>
      <c r="E198" s="57" t="s">
        <v>1503</v>
      </c>
      <c r="F198" s="57" t="s">
        <v>1662</v>
      </c>
      <c r="G198" s="17"/>
      <c r="H198" s="17"/>
    </row>
    <row r="199" spans="1:8" ht="12" customHeight="1">
      <c r="A199" s="60">
        <v>22148</v>
      </c>
      <c r="B199" s="61" t="s">
        <v>1663</v>
      </c>
      <c r="C199" s="61" t="s">
        <v>765</v>
      </c>
      <c r="D199" s="61"/>
      <c r="E199" s="60">
        <v>291</v>
      </c>
      <c r="F199" s="60">
        <v>11.377000000000001</v>
      </c>
      <c r="G199" s="17"/>
      <c r="H199" s="17"/>
    </row>
    <row r="200" spans="1:8" ht="12" customHeight="1">
      <c r="A200" s="60">
        <v>22149</v>
      </c>
      <c r="B200" s="61" t="s">
        <v>1664</v>
      </c>
      <c r="C200" s="61" t="s">
        <v>765</v>
      </c>
      <c r="D200" s="61"/>
      <c r="E200" s="60">
        <v>359</v>
      </c>
      <c r="F200" s="60">
        <v>9</v>
      </c>
      <c r="G200" s="17"/>
      <c r="H200" s="17"/>
    </row>
    <row r="201" spans="1:8" ht="12" customHeight="1">
      <c r="A201" s="60">
        <v>22151</v>
      </c>
      <c r="B201" s="61" t="s">
        <v>1665</v>
      </c>
      <c r="C201" s="61" t="s">
        <v>765</v>
      </c>
      <c r="D201" s="61"/>
      <c r="E201" s="60">
        <v>481</v>
      </c>
      <c r="F201" s="60">
        <v>4.9400000000000004</v>
      </c>
      <c r="G201" s="17"/>
      <c r="H201" s="17"/>
    </row>
    <row r="202" spans="1:8" ht="12" customHeight="1">
      <c r="A202" s="49"/>
      <c r="B202" s="49"/>
      <c r="C202" s="49"/>
      <c r="D202" s="49"/>
      <c r="E202" s="49"/>
      <c r="F202" s="49"/>
      <c r="G202" s="17"/>
      <c r="H202" s="17"/>
    </row>
    <row r="203" spans="1:8" ht="18" customHeight="1">
      <c r="A203" s="57" t="s">
        <v>1500</v>
      </c>
      <c r="B203" s="58" t="s">
        <v>1501</v>
      </c>
      <c r="C203" s="59" t="s">
        <v>1502</v>
      </c>
      <c r="D203" s="59">
        <v>41</v>
      </c>
      <c r="E203" s="57" t="s">
        <v>1503</v>
      </c>
      <c r="F203" s="57" t="s">
        <v>1666</v>
      </c>
      <c r="G203" s="17"/>
      <c r="H203" s="17"/>
    </row>
    <row r="204" spans="1:8" ht="12" customHeight="1">
      <c r="A204" s="60">
        <v>18053</v>
      </c>
      <c r="B204" s="61" t="s">
        <v>1667</v>
      </c>
      <c r="C204" s="61" t="s">
        <v>1517</v>
      </c>
      <c r="D204" s="61"/>
      <c r="E204" s="60">
        <v>292</v>
      </c>
      <c r="F204" s="60">
        <v>11.093999999999999</v>
      </c>
      <c r="G204" s="17"/>
      <c r="H204" s="17"/>
    </row>
    <row r="205" spans="1:8" ht="12" customHeight="1">
      <c r="A205" s="60">
        <v>26022</v>
      </c>
      <c r="B205" s="61" t="s">
        <v>1668</v>
      </c>
      <c r="C205" s="61" t="s">
        <v>1517</v>
      </c>
      <c r="D205" s="61"/>
      <c r="E205" s="60">
        <v>415</v>
      </c>
      <c r="F205" s="60">
        <v>6.625</v>
      </c>
      <c r="G205" s="17"/>
      <c r="H205" s="17"/>
    </row>
    <row r="206" spans="1:8" ht="12" customHeight="1">
      <c r="A206" s="60">
        <v>18052</v>
      </c>
      <c r="B206" s="61" t="s">
        <v>1669</v>
      </c>
      <c r="C206" s="61" t="s">
        <v>1517</v>
      </c>
      <c r="D206" s="61"/>
      <c r="E206" s="60">
        <v>410</v>
      </c>
      <c r="F206" s="60">
        <v>6.3440000000000003</v>
      </c>
      <c r="G206" s="17"/>
      <c r="H206" s="17"/>
    </row>
    <row r="207" spans="1:8" ht="12" customHeight="1">
      <c r="A207" s="49"/>
      <c r="B207" s="49"/>
      <c r="C207" s="49"/>
      <c r="D207" s="49"/>
      <c r="E207" s="49"/>
      <c r="F207" s="49"/>
      <c r="G207" s="17"/>
      <c r="H207" s="17"/>
    </row>
    <row r="208" spans="1:8" ht="18" customHeight="1">
      <c r="A208" s="57" t="s">
        <v>1500</v>
      </c>
      <c r="B208" s="58" t="s">
        <v>1501</v>
      </c>
      <c r="C208" s="59" t="s">
        <v>1502</v>
      </c>
      <c r="D208" s="59">
        <v>42</v>
      </c>
      <c r="E208" s="57" t="s">
        <v>1503</v>
      </c>
      <c r="F208" s="57" t="s">
        <v>1670</v>
      </c>
      <c r="G208" s="17"/>
      <c r="H208" s="17"/>
    </row>
    <row r="209" spans="1:8" ht="12" customHeight="1">
      <c r="A209" s="60">
        <v>28056</v>
      </c>
      <c r="B209" s="61" t="s">
        <v>1671</v>
      </c>
      <c r="C209" s="61" t="s">
        <v>312</v>
      </c>
      <c r="D209" s="61"/>
      <c r="E209" s="60">
        <v>201</v>
      </c>
      <c r="F209" s="60">
        <v>14.875999999999999</v>
      </c>
      <c r="G209" s="17"/>
      <c r="H209" s="17"/>
    </row>
    <row r="210" spans="1:8" ht="12" customHeight="1">
      <c r="A210" s="60">
        <v>17038</v>
      </c>
      <c r="B210" s="61" t="s">
        <v>1672</v>
      </c>
      <c r="C210" s="61" t="s">
        <v>156</v>
      </c>
      <c r="D210" s="61"/>
      <c r="E210" s="60">
        <v>444</v>
      </c>
      <c r="F210" s="60">
        <v>6.22</v>
      </c>
      <c r="G210" s="17"/>
      <c r="H210" s="17"/>
    </row>
    <row r="211" spans="1:8" ht="12" customHeight="1">
      <c r="A211" s="60">
        <v>23240</v>
      </c>
      <c r="B211" s="61" t="s">
        <v>1673</v>
      </c>
      <c r="C211" s="61" t="s">
        <v>1674</v>
      </c>
      <c r="D211" s="61"/>
      <c r="E211" s="60">
        <v>809</v>
      </c>
      <c r="F211" s="60">
        <v>0</v>
      </c>
      <c r="G211" s="17"/>
      <c r="H211" s="17"/>
    </row>
    <row r="212" spans="1:8" ht="12" customHeight="1">
      <c r="A212" s="49"/>
      <c r="B212" s="49"/>
      <c r="C212" s="49"/>
      <c r="D212" s="49"/>
      <c r="E212" s="49"/>
      <c r="F212" s="49"/>
      <c r="G212" s="17"/>
      <c r="H212" s="17"/>
    </row>
    <row r="213" spans="1:8" ht="18" customHeight="1">
      <c r="A213" s="57" t="s">
        <v>1500</v>
      </c>
      <c r="B213" s="58" t="s">
        <v>1501</v>
      </c>
      <c r="C213" s="59" t="s">
        <v>1502</v>
      </c>
      <c r="D213" s="59">
        <v>43</v>
      </c>
      <c r="E213" s="57" t="s">
        <v>1503</v>
      </c>
      <c r="F213" s="57" t="s">
        <v>1675</v>
      </c>
      <c r="G213" s="17"/>
      <c r="H213" s="17"/>
    </row>
    <row r="214" spans="1:8" ht="12" customHeight="1">
      <c r="A214" s="60">
        <v>21072</v>
      </c>
      <c r="B214" s="61" t="s">
        <v>1676</v>
      </c>
      <c r="C214" s="61" t="s">
        <v>312</v>
      </c>
      <c r="D214" s="61"/>
      <c r="E214" s="60">
        <v>352</v>
      </c>
      <c r="F214" s="60">
        <v>9.0950000000000006</v>
      </c>
      <c r="G214" s="17"/>
      <c r="H214" s="17"/>
    </row>
    <row r="215" spans="1:8" ht="12" customHeight="1">
      <c r="A215" s="60">
        <v>22180</v>
      </c>
      <c r="B215" s="61" t="s">
        <v>1677</v>
      </c>
      <c r="C215" s="61" t="s">
        <v>333</v>
      </c>
      <c r="D215" s="61"/>
      <c r="E215" s="60">
        <v>452</v>
      </c>
      <c r="F215" s="60">
        <v>5.22</v>
      </c>
      <c r="G215" s="17"/>
      <c r="H215" s="17"/>
    </row>
    <row r="216" spans="1:8" ht="12" customHeight="1">
      <c r="A216" s="60">
        <v>21061</v>
      </c>
      <c r="B216" s="61" t="s">
        <v>1678</v>
      </c>
      <c r="C216" s="61" t="s">
        <v>333</v>
      </c>
      <c r="D216" s="61"/>
      <c r="E216" s="60">
        <v>390</v>
      </c>
      <c r="F216" s="60">
        <v>6.3609999999999998</v>
      </c>
      <c r="G216" s="17"/>
      <c r="H216" s="17"/>
    </row>
    <row r="217" spans="1:8" ht="12" customHeight="1">
      <c r="A217" s="49"/>
      <c r="B217" s="49"/>
      <c r="C217" s="49"/>
      <c r="D217" s="49"/>
      <c r="E217" s="49"/>
      <c r="F217" s="49"/>
      <c r="G217" s="17"/>
      <c r="H217" s="17"/>
    </row>
    <row r="218" spans="1:8" ht="12" customHeight="1">
      <c r="A218" s="57" t="s">
        <v>1500</v>
      </c>
      <c r="B218" s="58" t="s">
        <v>1501</v>
      </c>
      <c r="C218" s="59" t="s">
        <v>1502</v>
      </c>
      <c r="D218" s="59">
        <v>44</v>
      </c>
      <c r="E218" s="57" t="s">
        <v>1503</v>
      </c>
      <c r="F218" s="57" t="s">
        <v>1679</v>
      </c>
      <c r="G218" s="17"/>
      <c r="H218" s="17"/>
    </row>
    <row r="219" spans="1:8" ht="12" customHeight="1">
      <c r="A219" s="60">
        <v>13054</v>
      </c>
      <c r="B219" s="61" t="s">
        <v>1680</v>
      </c>
      <c r="C219" s="61" t="s">
        <v>141</v>
      </c>
      <c r="D219" s="61"/>
      <c r="E219" s="60">
        <v>604</v>
      </c>
      <c r="F219" s="60">
        <v>2</v>
      </c>
      <c r="G219" s="17"/>
      <c r="H219" s="17"/>
    </row>
    <row r="220" spans="1:8" ht="12" customHeight="1">
      <c r="A220" s="60">
        <v>98312</v>
      </c>
      <c r="B220" s="61" t="s">
        <v>1681</v>
      </c>
      <c r="C220" s="61" t="s">
        <v>141</v>
      </c>
      <c r="D220" s="61"/>
      <c r="E220" s="60">
        <v>501</v>
      </c>
      <c r="F220" s="60">
        <v>3.8130000000000002</v>
      </c>
      <c r="G220" s="17"/>
      <c r="H220" s="17"/>
    </row>
    <row r="221" spans="1:8" ht="12" customHeight="1">
      <c r="A221" s="60">
        <v>98311</v>
      </c>
      <c r="B221" s="61" t="s">
        <v>1682</v>
      </c>
      <c r="C221" s="61" t="s">
        <v>141</v>
      </c>
      <c r="D221" s="61"/>
      <c r="E221" s="60">
        <v>502</v>
      </c>
      <c r="F221" s="60">
        <v>3.8130000000000002</v>
      </c>
      <c r="G221" s="17"/>
      <c r="H221" s="17"/>
    </row>
    <row r="222" spans="1:8" ht="12" customHeight="1">
      <c r="A222" s="49"/>
      <c r="B222" s="49"/>
      <c r="C222" s="49"/>
      <c r="D222" s="49"/>
      <c r="E222" s="49"/>
      <c r="F222" s="49"/>
      <c r="G222" s="17"/>
      <c r="H222" s="17"/>
    </row>
    <row r="223" spans="1:8" ht="12" customHeight="1">
      <c r="A223" s="57" t="s">
        <v>1500</v>
      </c>
      <c r="B223" s="58" t="s">
        <v>1501</v>
      </c>
      <c r="C223" s="59" t="s">
        <v>1502</v>
      </c>
      <c r="D223" s="59">
        <v>45</v>
      </c>
      <c r="E223" s="57" t="s">
        <v>1503</v>
      </c>
      <c r="F223" s="57" t="s">
        <v>1683</v>
      </c>
      <c r="G223" s="17"/>
      <c r="H223" s="17"/>
    </row>
    <row r="224" spans="1:8" ht="12" customHeight="1">
      <c r="A224" s="60">
        <v>96229</v>
      </c>
      <c r="B224" s="61" t="s">
        <v>1684</v>
      </c>
      <c r="C224" s="61" t="s">
        <v>349</v>
      </c>
      <c r="D224" s="61"/>
      <c r="E224" s="60">
        <v>426</v>
      </c>
      <c r="F224" s="60">
        <v>6.657</v>
      </c>
      <c r="G224" s="17"/>
      <c r="H224" s="17"/>
    </row>
    <row r="225" spans="1:8" ht="12" customHeight="1">
      <c r="A225" s="60">
        <v>96225</v>
      </c>
      <c r="B225" s="61" t="s">
        <v>1685</v>
      </c>
      <c r="C225" s="61" t="s">
        <v>349</v>
      </c>
      <c r="D225" s="61"/>
      <c r="E225" s="60">
        <v>564</v>
      </c>
      <c r="F225" s="60">
        <v>2.25</v>
      </c>
      <c r="G225" s="17"/>
      <c r="H225" s="17"/>
    </row>
    <row r="226" spans="1:8" ht="12" customHeight="1">
      <c r="A226" s="60">
        <v>26039</v>
      </c>
      <c r="B226" s="61" t="s">
        <v>1686</v>
      </c>
      <c r="C226" s="61" t="s">
        <v>349</v>
      </c>
      <c r="D226" s="61"/>
      <c r="E226" s="60">
        <v>762</v>
      </c>
      <c r="F226" s="60">
        <v>0</v>
      </c>
      <c r="G226" s="17"/>
      <c r="H226" s="17"/>
    </row>
    <row r="227" spans="1:8" ht="12" customHeight="1">
      <c r="A227" s="49"/>
      <c r="B227" s="49"/>
      <c r="C227" s="49"/>
      <c r="D227" s="49"/>
      <c r="E227" s="49"/>
      <c r="F227" s="49"/>
      <c r="G227" s="17"/>
      <c r="H227" s="17"/>
    </row>
    <row r="228" spans="1:8" ht="12" customHeight="1">
      <c r="A228" s="57" t="s">
        <v>1500</v>
      </c>
      <c r="B228" s="58" t="s">
        <v>1501</v>
      </c>
      <c r="C228" s="59" t="s">
        <v>1502</v>
      </c>
      <c r="D228" s="59">
        <v>46</v>
      </c>
      <c r="E228" s="57" t="s">
        <v>1503</v>
      </c>
      <c r="F228" s="57" t="s">
        <v>1687</v>
      </c>
      <c r="G228" s="17"/>
      <c r="H228" s="17"/>
    </row>
    <row r="229" spans="1:8" ht="12" customHeight="1">
      <c r="A229" s="60">
        <v>20506</v>
      </c>
      <c r="B229" s="61" t="s">
        <v>1688</v>
      </c>
      <c r="C229" s="61" t="s">
        <v>156</v>
      </c>
      <c r="D229" s="61"/>
      <c r="E229" s="60">
        <v>586</v>
      </c>
      <c r="F229" s="60">
        <v>1.4379999999999999</v>
      </c>
      <c r="G229" s="17"/>
      <c r="H229" s="17"/>
    </row>
    <row r="230" spans="1:8" ht="12" customHeight="1">
      <c r="A230" s="60">
        <v>19021</v>
      </c>
      <c r="B230" s="61" t="s">
        <v>1689</v>
      </c>
      <c r="C230" s="61" t="s">
        <v>1513</v>
      </c>
      <c r="D230" s="61"/>
      <c r="E230" s="60">
        <v>485</v>
      </c>
      <c r="F230" s="60">
        <v>3.8439999999999999</v>
      </c>
      <c r="G230" s="17"/>
      <c r="H230" s="17"/>
    </row>
    <row r="231" spans="1:8" ht="12" customHeight="1">
      <c r="A231" s="60">
        <v>23244</v>
      </c>
      <c r="B231" s="61" t="s">
        <v>1690</v>
      </c>
      <c r="C231" s="61"/>
      <c r="D231" s="61" t="s">
        <v>1691</v>
      </c>
      <c r="E231" s="60"/>
      <c r="F231" s="60">
        <v>0</v>
      </c>
      <c r="G231" s="17"/>
      <c r="H231" s="17"/>
    </row>
    <row r="232" spans="1:8" ht="12" customHeight="1">
      <c r="A232" s="49"/>
      <c r="B232" s="49"/>
      <c r="C232" s="49"/>
      <c r="D232" s="49"/>
      <c r="E232" s="49"/>
      <c r="F232" s="49"/>
      <c r="G232" s="17"/>
      <c r="H232" s="17"/>
    </row>
    <row r="233" spans="1:8" ht="14.25" customHeight="1">
      <c r="A233" s="57" t="s">
        <v>1500</v>
      </c>
      <c r="B233" s="62" t="s">
        <v>1501</v>
      </c>
      <c r="C233" s="63"/>
      <c r="D233" s="64"/>
      <c r="E233" s="65"/>
      <c r="F233" s="65"/>
      <c r="G233" s="17"/>
      <c r="H233" s="17"/>
    </row>
    <row r="234" spans="1:8" ht="12" customHeight="1">
      <c r="A234" s="60"/>
      <c r="B234" s="61"/>
      <c r="C234" s="66"/>
      <c r="D234" s="67"/>
      <c r="E234" s="66"/>
      <c r="F234" s="66"/>
      <c r="G234" s="17"/>
      <c r="H234" s="17"/>
    </row>
    <row r="235" spans="1:8" ht="12" customHeight="1">
      <c r="A235" s="60"/>
      <c r="B235" s="61"/>
      <c r="C235" s="66"/>
      <c r="D235" s="67"/>
      <c r="E235" s="66"/>
      <c r="F235" s="66"/>
      <c r="G235" s="17"/>
      <c r="H235" s="17"/>
    </row>
    <row r="236" spans="1:8" ht="12" customHeight="1">
      <c r="A236" s="60"/>
      <c r="B236" s="61"/>
      <c r="C236" s="66"/>
      <c r="D236" s="67"/>
      <c r="E236" s="66"/>
      <c r="F236" s="66"/>
      <c r="G236" s="17"/>
      <c r="H236" s="17"/>
    </row>
    <row r="237" spans="1:8" ht="12" customHeight="1">
      <c r="A237" s="49"/>
      <c r="B237" s="49"/>
      <c r="C237" s="66"/>
      <c r="D237" s="67"/>
      <c r="E237" s="66"/>
      <c r="F237" s="66"/>
      <c r="G237" s="17"/>
      <c r="H237" s="17"/>
    </row>
    <row r="238" spans="1:8" ht="14.25" customHeight="1">
      <c r="A238" s="57" t="s">
        <v>1500</v>
      </c>
      <c r="B238" s="62" t="s">
        <v>1501</v>
      </c>
      <c r="C238" s="63"/>
      <c r="D238" s="64"/>
      <c r="E238" s="65"/>
      <c r="F238" s="65"/>
      <c r="G238" s="17"/>
      <c r="H238" s="17"/>
    </row>
    <row r="239" spans="1:8" ht="12" customHeight="1">
      <c r="A239" s="60"/>
      <c r="B239" s="61"/>
      <c r="C239" s="66"/>
      <c r="D239" s="67"/>
      <c r="E239" s="66"/>
      <c r="F239" s="66"/>
      <c r="G239" s="17"/>
      <c r="H239" s="17"/>
    </row>
    <row r="240" spans="1:8" ht="12" customHeight="1">
      <c r="A240" s="60"/>
      <c r="B240" s="61"/>
      <c r="C240" s="66"/>
      <c r="D240" s="67"/>
      <c r="E240" s="66"/>
      <c r="F240" s="66"/>
      <c r="G240" s="17"/>
      <c r="H240" s="17"/>
    </row>
    <row r="241" spans="1:8" ht="12" customHeight="1">
      <c r="A241" s="60"/>
      <c r="B241" s="61"/>
      <c r="C241" s="66"/>
      <c r="D241" s="67"/>
      <c r="E241" s="66"/>
      <c r="F241" s="66"/>
      <c r="G241" s="17"/>
      <c r="H241" s="17"/>
    </row>
    <row r="242" spans="1:8" ht="12" customHeight="1">
      <c r="A242" s="49"/>
      <c r="B242" s="49"/>
      <c r="C242" s="66"/>
      <c r="D242" s="67"/>
      <c r="E242" s="66"/>
      <c r="F242" s="66"/>
      <c r="G242" s="17"/>
      <c r="H242" s="17"/>
    </row>
    <row r="243" spans="1:8" ht="14.25" customHeight="1">
      <c r="A243" s="57" t="s">
        <v>1500</v>
      </c>
      <c r="B243" s="62" t="s">
        <v>1501</v>
      </c>
      <c r="C243" s="63"/>
      <c r="D243" s="64"/>
      <c r="E243" s="65"/>
      <c r="F243" s="65"/>
      <c r="G243" s="17"/>
      <c r="H243" s="17"/>
    </row>
    <row r="244" spans="1:8" ht="12" customHeight="1">
      <c r="A244" s="60"/>
      <c r="B244" s="61"/>
      <c r="C244" s="66"/>
      <c r="D244" s="67"/>
      <c r="E244" s="66"/>
      <c r="F244" s="66"/>
      <c r="G244" s="17"/>
      <c r="H244" s="17"/>
    </row>
    <row r="245" spans="1:8" ht="12" customHeight="1">
      <c r="A245" s="60"/>
      <c r="B245" s="61"/>
      <c r="C245" s="66"/>
      <c r="D245" s="67"/>
      <c r="E245" s="66"/>
      <c r="F245" s="66"/>
      <c r="G245" s="17"/>
      <c r="H245" s="17"/>
    </row>
    <row r="246" spans="1:8" ht="12" customHeight="1">
      <c r="A246" s="60"/>
      <c r="B246" s="61"/>
      <c r="C246" s="66"/>
      <c r="D246" s="67"/>
      <c r="E246" s="66"/>
      <c r="F246" s="66"/>
      <c r="G246" s="17"/>
      <c r="H246" s="17"/>
    </row>
    <row r="247" spans="1:8" ht="12" customHeight="1">
      <c r="A247" s="49"/>
      <c r="B247" s="49"/>
      <c r="C247" s="66"/>
      <c r="D247" s="67"/>
      <c r="E247" s="66"/>
      <c r="F247" s="66"/>
      <c r="G247" s="17"/>
      <c r="H247" s="17"/>
    </row>
    <row r="248" spans="1:8" ht="14.25" customHeight="1">
      <c r="A248" s="57" t="s">
        <v>1500</v>
      </c>
      <c r="B248" s="62" t="s">
        <v>1501</v>
      </c>
      <c r="C248" s="63"/>
      <c r="D248" s="64"/>
      <c r="E248" s="65"/>
      <c r="F248" s="65"/>
      <c r="G248" s="17"/>
      <c r="H248" s="17"/>
    </row>
    <row r="249" spans="1:8" ht="12" customHeight="1">
      <c r="A249" s="60"/>
      <c r="B249" s="61"/>
      <c r="C249" s="66"/>
      <c r="D249" s="67"/>
      <c r="E249" s="66"/>
      <c r="F249" s="66"/>
      <c r="G249" s="17"/>
      <c r="H249" s="17"/>
    </row>
    <row r="250" spans="1:8" ht="12" customHeight="1">
      <c r="A250" s="60"/>
      <c r="B250" s="61"/>
      <c r="C250" s="66"/>
      <c r="D250" s="67"/>
      <c r="E250" s="66"/>
      <c r="F250" s="66"/>
      <c r="G250" s="17"/>
      <c r="H250" s="17"/>
    </row>
    <row r="251" spans="1:8" ht="12" customHeight="1">
      <c r="A251" s="60"/>
      <c r="B251" s="61"/>
      <c r="C251" s="66"/>
      <c r="D251" s="67"/>
      <c r="E251" s="66"/>
      <c r="F251" s="66"/>
      <c r="G251" s="17"/>
      <c r="H251" s="17"/>
    </row>
    <row r="252" spans="1:8" ht="12.75" customHeight="1">
      <c r="A252" s="66"/>
      <c r="B252" s="68"/>
      <c r="C252" s="66"/>
      <c r="D252" s="67"/>
      <c r="E252" s="66"/>
      <c r="F252" s="66"/>
      <c r="G252" s="17"/>
      <c r="H252" s="17"/>
    </row>
    <row r="253" spans="1:8" ht="13.5" customHeight="1">
      <c r="A253" s="63"/>
      <c r="B253" s="63"/>
      <c r="C253" s="63"/>
      <c r="D253" s="64"/>
      <c r="E253" s="65"/>
      <c r="F253" s="65"/>
      <c r="G253" s="17"/>
      <c r="H253" s="17"/>
    </row>
    <row r="254" spans="1:8" ht="12.75" customHeight="1">
      <c r="A254" s="66"/>
      <c r="B254" s="68"/>
      <c r="C254" s="66"/>
      <c r="D254" s="67"/>
      <c r="E254" s="66"/>
      <c r="F254" s="66"/>
      <c r="G254" s="17"/>
      <c r="H254" s="17"/>
    </row>
    <row r="255" spans="1:8" ht="12.75" customHeight="1">
      <c r="A255" s="66"/>
      <c r="B255" s="68"/>
      <c r="C255" s="66"/>
      <c r="D255" s="67"/>
      <c r="E255" s="66"/>
      <c r="F255" s="66"/>
      <c r="G255" s="17"/>
      <c r="H255" s="17"/>
    </row>
    <row r="256" spans="1:8" ht="12.75" customHeight="1">
      <c r="A256" s="66"/>
      <c r="B256" s="68"/>
      <c r="C256" s="66"/>
      <c r="D256" s="67"/>
      <c r="E256" s="66"/>
      <c r="F256" s="66"/>
      <c r="G256" s="17"/>
      <c r="H256" s="17"/>
    </row>
    <row r="257" spans="1:8" ht="12.75" customHeight="1">
      <c r="A257" s="66"/>
      <c r="B257" s="68"/>
      <c r="C257" s="66"/>
      <c r="D257" s="67"/>
      <c r="E257" s="66"/>
      <c r="F257" s="66"/>
      <c r="G257" s="17"/>
      <c r="H257" s="17"/>
    </row>
    <row r="258" spans="1:8" ht="13.5" customHeight="1">
      <c r="A258" s="63"/>
      <c r="B258" s="63"/>
      <c r="C258" s="63"/>
      <c r="D258" s="64"/>
      <c r="E258" s="65"/>
      <c r="F258" s="65"/>
      <c r="G258" s="17"/>
      <c r="H258" s="17"/>
    </row>
    <row r="259" spans="1:8" ht="12.75" customHeight="1">
      <c r="A259" s="66"/>
      <c r="B259" s="68"/>
      <c r="C259" s="66"/>
      <c r="D259" s="67"/>
      <c r="E259" s="66"/>
      <c r="F259" s="66"/>
      <c r="G259" s="17"/>
      <c r="H259" s="17"/>
    </row>
    <row r="260" spans="1:8" ht="12.75" customHeight="1">
      <c r="A260" s="66"/>
      <c r="B260" s="68"/>
      <c r="C260" s="66"/>
      <c r="D260" s="67"/>
      <c r="E260" s="66"/>
      <c r="F260" s="66"/>
      <c r="G260" s="17"/>
      <c r="H260" s="17"/>
    </row>
    <row r="261" spans="1:8" ht="12.75" customHeight="1">
      <c r="A261" s="66"/>
      <c r="B261" s="68"/>
      <c r="C261" s="66"/>
      <c r="D261" s="67"/>
      <c r="E261" s="66"/>
      <c r="F261" s="66"/>
      <c r="G261" s="17"/>
      <c r="H261" s="17"/>
    </row>
    <row r="262" spans="1:8" ht="12.75" customHeight="1">
      <c r="A262" s="66"/>
      <c r="B262" s="68"/>
      <c r="C262" s="66"/>
      <c r="D262" s="67"/>
      <c r="E262" s="66"/>
      <c r="F262" s="66"/>
      <c r="G262" s="17"/>
      <c r="H262" s="17"/>
    </row>
    <row r="263" spans="1:8" ht="13.5" customHeight="1">
      <c r="A263" s="63"/>
      <c r="B263" s="63"/>
      <c r="C263" s="63"/>
      <c r="D263" s="64"/>
      <c r="E263" s="65"/>
      <c r="F263" s="65"/>
      <c r="G263" s="17"/>
      <c r="H263" s="17"/>
    </row>
    <row r="264" spans="1:8" ht="12.75" customHeight="1">
      <c r="A264" s="66"/>
      <c r="B264" s="68"/>
      <c r="C264" s="66"/>
      <c r="D264" s="67"/>
      <c r="E264" s="66"/>
      <c r="F264" s="66"/>
      <c r="G264" s="17"/>
      <c r="H264" s="17"/>
    </row>
    <row r="265" spans="1:8" ht="12.75" customHeight="1">
      <c r="A265" s="66"/>
      <c r="B265" s="68"/>
      <c r="C265" s="66"/>
      <c r="D265" s="67"/>
      <c r="E265" s="66"/>
      <c r="F265" s="66"/>
      <c r="G265" s="17"/>
      <c r="H265" s="17"/>
    </row>
    <row r="266" spans="1:8" ht="12.75" customHeight="1">
      <c r="A266" s="66"/>
      <c r="B266" s="68"/>
      <c r="C266" s="66"/>
      <c r="D266" s="67"/>
      <c r="E266" s="66"/>
      <c r="F266" s="66"/>
      <c r="G266" s="17"/>
      <c r="H266" s="17"/>
    </row>
    <row r="267" spans="1:8" ht="12.75" customHeight="1">
      <c r="A267" s="66"/>
      <c r="B267" s="68"/>
      <c r="C267" s="66"/>
      <c r="D267" s="67"/>
      <c r="E267" s="66"/>
      <c r="F267" s="66"/>
      <c r="G267" s="17"/>
      <c r="H267" s="17"/>
    </row>
    <row r="268" spans="1:8" ht="13.5" customHeight="1">
      <c r="A268" s="63"/>
      <c r="B268" s="63"/>
      <c r="C268" s="63"/>
      <c r="D268" s="64"/>
      <c r="E268" s="65"/>
      <c r="F268" s="65"/>
      <c r="G268" s="17"/>
      <c r="H268" s="17"/>
    </row>
    <row r="269" spans="1:8" ht="12.75" customHeight="1">
      <c r="A269" s="66"/>
      <c r="B269" s="68"/>
      <c r="C269" s="66"/>
      <c r="D269" s="67"/>
      <c r="E269" s="66"/>
      <c r="F269" s="66"/>
      <c r="G269" s="17"/>
      <c r="H269" s="17"/>
    </row>
    <row r="270" spans="1:8" ht="12.75" customHeight="1">
      <c r="A270" s="66"/>
      <c r="B270" s="68"/>
      <c r="C270" s="66"/>
      <c r="D270" s="67"/>
      <c r="E270" s="66"/>
      <c r="F270" s="66"/>
      <c r="G270" s="17"/>
      <c r="H270" s="17"/>
    </row>
    <row r="271" spans="1:8" ht="12.75" customHeight="1">
      <c r="A271" s="66"/>
      <c r="B271" s="68"/>
      <c r="C271" s="66"/>
      <c r="D271" s="67"/>
      <c r="E271" s="66"/>
      <c r="F271" s="66"/>
      <c r="G271" s="17"/>
      <c r="H271" s="17"/>
    </row>
    <row r="272" spans="1:8" ht="12.75" customHeight="1">
      <c r="A272" s="66"/>
      <c r="B272" s="68"/>
      <c r="C272" s="66"/>
      <c r="D272" s="67"/>
      <c r="E272" s="66"/>
      <c r="F272" s="66"/>
      <c r="G272" s="17"/>
      <c r="H272" s="17"/>
    </row>
    <row r="273" spans="1:8" ht="13.5" customHeight="1">
      <c r="A273" s="63"/>
      <c r="B273" s="63"/>
      <c r="C273" s="63"/>
      <c r="D273" s="64"/>
      <c r="E273" s="65"/>
      <c r="F273" s="65"/>
      <c r="G273" s="17"/>
      <c r="H273" s="17"/>
    </row>
    <row r="274" spans="1:8" ht="12.75" customHeight="1">
      <c r="A274" s="66"/>
      <c r="B274" s="68"/>
      <c r="C274" s="66"/>
      <c r="D274" s="67"/>
      <c r="E274" s="66"/>
      <c r="F274" s="66"/>
      <c r="G274" s="17"/>
      <c r="H274" s="17"/>
    </row>
    <row r="275" spans="1:8" ht="12.75" customHeight="1">
      <c r="A275" s="66"/>
      <c r="B275" s="68"/>
      <c r="C275" s="66"/>
      <c r="D275" s="67"/>
      <c r="E275" s="66"/>
      <c r="F275" s="66"/>
      <c r="G275" s="17"/>
      <c r="H275" s="17"/>
    </row>
    <row r="276" spans="1:8" ht="12.75" customHeight="1">
      <c r="A276" s="66"/>
      <c r="B276" s="68"/>
      <c r="C276" s="66"/>
      <c r="D276" s="67"/>
      <c r="E276" s="66"/>
      <c r="F276" s="66"/>
      <c r="G276" s="17"/>
      <c r="H276" s="17"/>
    </row>
    <row r="277" spans="1:8" ht="12.75" customHeight="1">
      <c r="A277" s="66"/>
      <c r="B277" s="68"/>
      <c r="C277" s="66"/>
      <c r="D277" s="67"/>
      <c r="E277" s="66"/>
      <c r="F277" s="66"/>
      <c r="G277" s="17"/>
      <c r="H277" s="17"/>
    </row>
    <row r="278" spans="1:8" ht="13.5" customHeight="1">
      <c r="A278" s="63"/>
      <c r="B278" s="63"/>
      <c r="C278" s="63"/>
      <c r="D278" s="64"/>
      <c r="E278" s="65"/>
      <c r="F278" s="65"/>
      <c r="G278" s="17"/>
      <c r="H278" s="17"/>
    </row>
    <row r="279" spans="1:8" ht="12.75" customHeight="1">
      <c r="A279" s="66"/>
      <c r="B279" s="68"/>
      <c r="C279" s="66"/>
      <c r="D279" s="67"/>
      <c r="E279" s="66"/>
      <c r="F279" s="66"/>
      <c r="G279" s="17"/>
      <c r="H279" s="17"/>
    </row>
    <row r="280" spans="1:8" ht="12.75" customHeight="1">
      <c r="A280" s="66"/>
      <c r="B280" s="68"/>
      <c r="C280" s="66"/>
      <c r="D280" s="67"/>
      <c r="E280" s="66"/>
      <c r="F280" s="66"/>
      <c r="G280" s="17"/>
      <c r="H280" s="17"/>
    </row>
    <row r="281" spans="1:8" ht="12.75" customHeight="1">
      <c r="A281" s="66"/>
      <c r="B281" s="68"/>
      <c r="C281" s="66"/>
      <c r="D281" s="67"/>
      <c r="E281" s="66"/>
      <c r="F281" s="66"/>
      <c r="G281" s="17"/>
      <c r="H281" s="17"/>
    </row>
    <row r="282" spans="1:8" ht="12.75" customHeight="1">
      <c r="A282" s="66"/>
      <c r="B282" s="68"/>
      <c r="C282" s="66"/>
      <c r="D282" s="67"/>
      <c r="E282" s="66"/>
      <c r="F282" s="66"/>
      <c r="G282" s="17"/>
      <c r="H282" s="17"/>
    </row>
    <row r="283" spans="1:8" ht="13.5" customHeight="1">
      <c r="A283" s="63"/>
      <c r="B283" s="63"/>
      <c r="C283" s="63"/>
      <c r="D283" s="64"/>
      <c r="E283" s="65"/>
      <c r="F283" s="65"/>
      <c r="G283" s="17"/>
      <c r="H283" s="17"/>
    </row>
    <row r="284" spans="1:8" ht="12.75" customHeight="1">
      <c r="A284" s="66"/>
      <c r="B284" s="68"/>
      <c r="C284" s="66"/>
      <c r="D284" s="67"/>
      <c r="E284" s="66"/>
      <c r="F284" s="66"/>
      <c r="G284" s="17"/>
      <c r="H284" s="17"/>
    </row>
    <row r="285" spans="1:8" ht="12.75" customHeight="1">
      <c r="A285" s="66"/>
      <c r="B285" s="68"/>
      <c r="C285" s="66"/>
      <c r="D285" s="67"/>
      <c r="E285" s="66"/>
      <c r="F285" s="66"/>
      <c r="G285" s="17"/>
      <c r="H285" s="17"/>
    </row>
    <row r="286" spans="1:8" ht="12.75" customHeight="1">
      <c r="A286" s="66"/>
      <c r="B286" s="68"/>
      <c r="C286" s="66"/>
      <c r="D286" s="67"/>
      <c r="E286" s="66"/>
      <c r="F286" s="66"/>
      <c r="G286" s="17"/>
      <c r="H286" s="17"/>
    </row>
    <row r="287" spans="1:8" ht="12.75" customHeight="1">
      <c r="A287" s="66"/>
      <c r="B287" s="68"/>
      <c r="C287" s="66"/>
      <c r="D287" s="67"/>
      <c r="E287" s="66"/>
      <c r="F287" s="66"/>
      <c r="G287" s="17"/>
      <c r="H287" s="17"/>
    </row>
    <row r="288" spans="1:8" ht="13.5" customHeight="1">
      <c r="A288" s="63"/>
      <c r="B288" s="63"/>
      <c r="C288" s="63"/>
      <c r="D288" s="64"/>
      <c r="E288" s="65"/>
      <c r="F288" s="65"/>
      <c r="G288" s="17"/>
      <c r="H288" s="17"/>
    </row>
    <row r="289" spans="1:8" ht="12.75" customHeight="1">
      <c r="A289" s="66"/>
      <c r="B289" s="68"/>
      <c r="C289" s="66"/>
      <c r="D289" s="67"/>
      <c r="E289" s="66"/>
      <c r="F289" s="66"/>
      <c r="G289" s="17"/>
      <c r="H289" s="17"/>
    </row>
    <row r="290" spans="1:8" ht="12.75" customHeight="1">
      <c r="A290" s="66"/>
      <c r="B290" s="68"/>
      <c r="C290" s="66"/>
      <c r="D290" s="67"/>
      <c r="E290" s="66"/>
      <c r="F290" s="66"/>
      <c r="G290" s="17"/>
      <c r="H290" s="17"/>
    </row>
    <row r="291" spans="1:8" ht="12.75" customHeight="1">
      <c r="A291" s="66"/>
      <c r="B291" s="68"/>
      <c r="C291" s="66"/>
      <c r="D291" s="67"/>
      <c r="E291" s="66"/>
      <c r="F291" s="66"/>
      <c r="G291" s="17"/>
      <c r="H291" s="17"/>
    </row>
    <row r="292" spans="1:8" ht="12.75" customHeight="1">
      <c r="A292" s="66"/>
      <c r="B292" s="68"/>
      <c r="C292" s="66"/>
      <c r="D292" s="67"/>
      <c r="E292" s="66"/>
      <c r="F292" s="66"/>
      <c r="G292" s="17"/>
      <c r="H292" s="17"/>
    </row>
    <row r="293" spans="1:8" ht="13.5" customHeight="1">
      <c r="A293" s="63"/>
      <c r="B293" s="63"/>
      <c r="C293" s="63"/>
      <c r="D293" s="64"/>
      <c r="E293" s="65"/>
      <c r="F293" s="65"/>
      <c r="G293" s="17"/>
      <c r="H293" s="17"/>
    </row>
    <row r="294" spans="1:8" ht="12.75" customHeight="1">
      <c r="A294" s="66"/>
      <c r="B294" s="68"/>
      <c r="C294" s="66"/>
      <c r="D294" s="67"/>
      <c r="E294" s="66"/>
      <c r="F294" s="66"/>
      <c r="G294" s="17"/>
      <c r="H294" s="17"/>
    </row>
    <row r="295" spans="1:8" ht="12.75" customHeight="1">
      <c r="A295" s="66"/>
      <c r="B295" s="68"/>
      <c r="C295" s="66"/>
      <c r="D295" s="67"/>
      <c r="E295" s="66"/>
      <c r="F295" s="66"/>
      <c r="G295" s="17"/>
      <c r="H295" s="17"/>
    </row>
    <row r="296" spans="1:8" ht="12.75" customHeight="1">
      <c r="A296" s="66"/>
      <c r="B296" s="68"/>
      <c r="C296" s="66"/>
      <c r="D296" s="67"/>
      <c r="E296" s="66"/>
      <c r="F296" s="66"/>
      <c r="G296" s="17"/>
      <c r="H296" s="17"/>
    </row>
    <row r="297" spans="1:8" ht="12.75" customHeight="1">
      <c r="A297" s="66"/>
      <c r="B297" s="68"/>
      <c r="C297" s="66"/>
      <c r="D297" s="67"/>
      <c r="E297" s="66"/>
      <c r="F297" s="66"/>
      <c r="G297" s="17"/>
      <c r="H297" s="17"/>
    </row>
    <row r="298" spans="1:8" ht="13.5" customHeight="1">
      <c r="A298" s="63"/>
      <c r="B298" s="63"/>
      <c r="C298" s="63"/>
      <c r="D298" s="64"/>
      <c r="E298" s="65"/>
      <c r="F298" s="65"/>
      <c r="G298" s="17"/>
      <c r="H298" s="17"/>
    </row>
    <row r="299" spans="1:8" ht="12.75" customHeight="1">
      <c r="A299" s="66"/>
      <c r="B299" s="68"/>
      <c r="C299" s="66"/>
      <c r="D299" s="67"/>
      <c r="E299" s="66"/>
      <c r="F299" s="66"/>
      <c r="G299" s="17"/>
      <c r="H299" s="17"/>
    </row>
    <row r="300" spans="1:8" ht="12.75" customHeight="1">
      <c r="A300" s="66"/>
      <c r="B300" s="68"/>
      <c r="C300" s="66"/>
      <c r="D300" s="67"/>
      <c r="E300" s="66"/>
      <c r="F300" s="66"/>
      <c r="G300" s="17"/>
      <c r="H300" s="17"/>
    </row>
    <row r="301" spans="1:8" ht="12.75" customHeight="1">
      <c r="A301" s="66"/>
      <c r="B301" s="68"/>
      <c r="C301" s="66"/>
      <c r="D301" s="67"/>
      <c r="E301" s="66"/>
      <c r="F301" s="66"/>
      <c r="G301" s="17"/>
      <c r="H301" s="17"/>
    </row>
    <row r="302" spans="1:8" ht="12.75" customHeight="1">
      <c r="A302" s="66"/>
      <c r="B302" s="68"/>
      <c r="C302" s="66"/>
      <c r="D302" s="67"/>
      <c r="E302" s="66"/>
      <c r="F302" s="66"/>
      <c r="G302" s="17"/>
      <c r="H302" s="17"/>
    </row>
    <row r="303" spans="1:8" ht="13.5" customHeight="1">
      <c r="A303" s="63"/>
      <c r="B303" s="63"/>
      <c r="C303" s="63"/>
      <c r="D303" s="64"/>
      <c r="E303" s="65"/>
      <c r="F303" s="65"/>
      <c r="G303" s="17"/>
      <c r="H303" s="17"/>
    </row>
    <row r="304" spans="1:8" ht="12.75" customHeight="1">
      <c r="A304" s="66"/>
      <c r="B304" s="68"/>
      <c r="C304" s="66"/>
      <c r="D304" s="67"/>
      <c r="E304" s="66"/>
      <c r="F304" s="66"/>
      <c r="G304" s="17"/>
      <c r="H304" s="17"/>
    </row>
    <row r="305" spans="1:8" ht="12.75" customHeight="1">
      <c r="A305" s="66"/>
      <c r="B305" s="68"/>
      <c r="C305" s="66"/>
      <c r="D305" s="67"/>
      <c r="E305" s="66"/>
      <c r="F305" s="66"/>
      <c r="G305" s="17"/>
      <c r="H305" s="17"/>
    </row>
    <row r="306" spans="1:8" ht="12.75" customHeight="1">
      <c r="A306" s="66"/>
      <c r="B306" s="68"/>
      <c r="C306" s="66"/>
      <c r="D306" s="67"/>
      <c r="E306" s="66"/>
      <c r="F306" s="66"/>
      <c r="G306" s="17"/>
      <c r="H306" s="17"/>
    </row>
    <row r="307" spans="1:8" ht="12.75" customHeight="1">
      <c r="A307" s="66"/>
      <c r="B307" s="68"/>
      <c r="C307" s="66"/>
      <c r="D307" s="67"/>
      <c r="E307" s="66"/>
      <c r="F307" s="66"/>
      <c r="G307" s="17"/>
      <c r="H307" s="17"/>
    </row>
    <row r="308" spans="1:8" ht="13.5" customHeight="1">
      <c r="A308" s="63"/>
      <c r="B308" s="63"/>
      <c r="C308" s="63"/>
      <c r="D308" s="64"/>
      <c r="E308" s="65"/>
      <c r="F308" s="65"/>
      <c r="G308" s="17"/>
      <c r="H308" s="17"/>
    </row>
    <row r="309" spans="1:8" ht="12.75" customHeight="1">
      <c r="A309" s="66"/>
      <c r="B309" s="68"/>
      <c r="C309" s="66"/>
      <c r="D309" s="67"/>
      <c r="E309" s="66"/>
      <c r="F309" s="66"/>
      <c r="G309" s="17"/>
      <c r="H309" s="17"/>
    </row>
    <row r="310" spans="1:8" ht="12.75" customHeight="1">
      <c r="A310" s="66"/>
      <c r="B310" s="68"/>
      <c r="C310" s="66"/>
      <c r="D310" s="67"/>
      <c r="E310" s="66"/>
      <c r="F310" s="66"/>
      <c r="G310" s="17"/>
      <c r="H310" s="17"/>
    </row>
    <row r="311" spans="1:8" ht="12.75" customHeight="1">
      <c r="A311" s="66"/>
      <c r="B311" s="68"/>
      <c r="C311" s="66"/>
      <c r="D311" s="67"/>
      <c r="E311" s="66"/>
      <c r="F311" s="66"/>
      <c r="G311" s="17"/>
      <c r="H311" s="17"/>
    </row>
    <row r="312" spans="1:8" ht="12.75" customHeight="1">
      <c r="A312" s="66"/>
      <c r="B312" s="68"/>
      <c r="C312" s="66"/>
      <c r="D312" s="67"/>
      <c r="E312" s="66"/>
      <c r="F312" s="66"/>
      <c r="G312" s="17"/>
      <c r="H312" s="17"/>
    </row>
    <row r="313" spans="1:8" ht="13.5" customHeight="1">
      <c r="A313" s="63"/>
      <c r="B313" s="63"/>
      <c r="C313" s="63"/>
      <c r="D313" s="64"/>
      <c r="E313" s="65"/>
      <c r="F313" s="65"/>
      <c r="G313" s="17"/>
      <c r="H313" s="17"/>
    </row>
    <row r="314" spans="1:8" ht="12.75" customHeight="1">
      <c r="A314" s="66"/>
      <c r="B314" s="68"/>
      <c r="C314" s="66"/>
      <c r="D314" s="67"/>
      <c r="E314" s="66"/>
      <c r="F314" s="66"/>
      <c r="G314" s="17"/>
      <c r="H314" s="17"/>
    </row>
    <row r="315" spans="1:8" ht="12.75" customHeight="1">
      <c r="A315" s="66"/>
      <c r="B315" s="68"/>
      <c r="C315" s="66"/>
      <c r="D315" s="67"/>
      <c r="E315" s="66"/>
      <c r="F315" s="66"/>
      <c r="G315" s="17"/>
      <c r="H315" s="17"/>
    </row>
    <row r="316" spans="1:8" ht="12.75" customHeight="1">
      <c r="A316" s="66"/>
      <c r="B316" s="68"/>
      <c r="C316" s="66"/>
      <c r="D316" s="67"/>
      <c r="E316" s="66"/>
      <c r="F316" s="66"/>
      <c r="G316" s="17"/>
      <c r="H316" s="17"/>
    </row>
    <row r="317" spans="1:8" ht="12.75" customHeight="1">
      <c r="A317" s="66"/>
      <c r="B317" s="68"/>
      <c r="C317" s="66"/>
      <c r="D317" s="67"/>
      <c r="E317" s="66"/>
      <c r="F317" s="66"/>
      <c r="G317" s="17"/>
      <c r="H317" s="17"/>
    </row>
    <row r="318" spans="1:8" ht="13.5" customHeight="1">
      <c r="A318" s="63"/>
      <c r="B318" s="63"/>
      <c r="C318" s="63"/>
      <c r="D318" s="64"/>
      <c r="E318" s="65"/>
      <c r="F318" s="65"/>
      <c r="G318" s="17"/>
      <c r="H318" s="17"/>
    </row>
    <row r="319" spans="1:8" ht="12.75" customHeight="1">
      <c r="A319" s="66"/>
      <c r="B319" s="68"/>
      <c r="C319" s="66"/>
      <c r="D319" s="67"/>
      <c r="E319" s="66"/>
      <c r="F319" s="66"/>
      <c r="G319" s="17"/>
      <c r="H319" s="17"/>
    </row>
    <row r="320" spans="1:8" ht="12.75" customHeight="1">
      <c r="A320" s="66"/>
      <c r="B320" s="68"/>
      <c r="C320" s="66"/>
      <c r="D320" s="67"/>
      <c r="E320" s="66"/>
      <c r="F320" s="66"/>
      <c r="G320" s="17"/>
      <c r="H320" s="17"/>
    </row>
    <row r="321" spans="1:8" ht="12.75" customHeight="1">
      <c r="A321" s="66"/>
      <c r="B321" s="68"/>
      <c r="C321" s="66"/>
      <c r="D321" s="67"/>
      <c r="E321" s="66"/>
      <c r="F321" s="66"/>
      <c r="G321" s="17"/>
      <c r="H321" s="17"/>
    </row>
    <row r="322" spans="1:8" ht="12.75" customHeight="1">
      <c r="A322" s="66"/>
      <c r="B322" s="68"/>
      <c r="C322" s="66"/>
      <c r="D322" s="67"/>
      <c r="E322" s="66"/>
      <c r="F322" s="66"/>
      <c r="G322" s="17"/>
      <c r="H322" s="17"/>
    </row>
    <row r="323" spans="1:8" ht="13.5" customHeight="1">
      <c r="A323" s="63"/>
      <c r="B323" s="63"/>
      <c r="C323" s="63"/>
      <c r="D323" s="64"/>
      <c r="E323" s="65"/>
      <c r="F323" s="65"/>
      <c r="G323" s="17"/>
      <c r="H323" s="17"/>
    </row>
    <row r="324" spans="1:8" ht="12.75" customHeight="1">
      <c r="A324" s="66"/>
      <c r="B324" s="68"/>
      <c r="C324" s="66"/>
      <c r="D324" s="67"/>
      <c r="E324" s="66"/>
      <c r="F324" s="66"/>
      <c r="G324" s="17"/>
      <c r="H324" s="17"/>
    </row>
    <row r="325" spans="1:8" ht="12.75" customHeight="1">
      <c r="A325" s="66"/>
      <c r="B325" s="68"/>
      <c r="C325" s="66"/>
      <c r="D325" s="67"/>
      <c r="E325" s="66"/>
      <c r="F325" s="66"/>
      <c r="G325" s="17"/>
      <c r="H325" s="17"/>
    </row>
    <row r="326" spans="1:8" ht="12.75" customHeight="1">
      <c r="A326" s="66"/>
      <c r="B326" s="68"/>
      <c r="C326" s="66"/>
      <c r="D326" s="67"/>
      <c r="E326" s="66"/>
      <c r="F326" s="66"/>
      <c r="G326" s="17"/>
      <c r="H326" s="17"/>
    </row>
    <row r="327" spans="1:8" ht="12.75" customHeight="1">
      <c r="A327" s="66"/>
      <c r="B327" s="68"/>
      <c r="C327" s="66"/>
      <c r="D327" s="67"/>
      <c r="E327" s="66"/>
      <c r="F327" s="66"/>
      <c r="G327" s="17"/>
      <c r="H327" s="17"/>
    </row>
    <row r="328" spans="1:8" ht="13.5" customHeight="1">
      <c r="A328" s="63"/>
      <c r="B328" s="63"/>
      <c r="C328" s="63"/>
      <c r="D328" s="64"/>
      <c r="E328" s="65"/>
      <c r="F328" s="65"/>
      <c r="G328" s="17"/>
      <c r="H328" s="17"/>
    </row>
    <row r="329" spans="1:8" ht="12.75" customHeight="1">
      <c r="A329" s="66"/>
      <c r="B329" s="68"/>
      <c r="C329" s="66"/>
      <c r="D329" s="67"/>
      <c r="E329" s="66"/>
      <c r="F329" s="66"/>
      <c r="G329" s="17"/>
      <c r="H329" s="17"/>
    </row>
    <row r="330" spans="1:8" ht="12.75" customHeight="1">
      <c r="A330" s="66"/>
      <c r="B330" s="68"/>
      <c r="C330" s="66"/>
      <c r="D330" s="67"/>
      <c r="E330" s="66"/>
      <c r="F330" s="66"/>
      <c r="G330" s="17"/>
      <c r="H330" s="17"/>
    </row>
    <row r="331" spans="1:8" ht="12.75" customHeight="1">
      <c r="A331" s="66"/>
      <c r="B331" s="68"/>
      <c r="C331" s="66"/>
      <c r="D331" s="67"/>
      <c r="E331" s="66"/>
      <c r="F331" s="66"/>
      <c r="G331" s="17"/>
      <c r="H331" s="17"/>
    </row>
    <row r="332" spans="1:8" ht="12.75" customHeight="1">
      <c r="A332" s="66"/>
      <c r="B332" s="68"/>
      <c r="C332" s="66"/>
      <c r="D332" s="67"/>
      <c r="E332" s="66"/>
      <c r="F332" s="66"/>
      <c r="G332" s="17"/>
      <c r="H332" s="17"/>
    </row>
    <row r="333" spans="1:8" ht="13.5" customHeight="1">
      <c r="A333" s="63"/>
      <c r="B333" s="63"/>
      <c r="C333" s="63"/>
      <c r="D333" s="64"/>
      <c r="E333" s="65"/>
      <c r="F333" s="65"/>
      <c r="G333" s="17"/>
      <c r="H333" s="17"/>
    </row>
    <row r="334" spans="1:8" ht="12.75" customHeight="1">
      <c r="A334" s="66"/>
      <c r="B334" s="68"/>
      <c r="C334" s="66"/>
      <c r="D334" s="67"/>
      <c r="E334" s="66"/>
      <c r="F334" s="66"/>
      <c r="G334" s="17"/>
      <c r="H334" s="17"/>
    </row>
    <row r="335" spans="1:8" ht="12.75" customHeight="1">
      <c r="A335" s="66"/>
      <c r="B335" s="68"/>
      <c r="C335" s="66"/>
      <c r="D335" s="67"/>
      <c r="E335" s="66"/>
      <c r="F335" s="66"/>
      <c r="G335" s="17"/>
      <c r="H335" s="17"/>
    </row>
    <row r="336" spans="1:8" ht="12.75" customHeight="1">
      <c r="A336" s="66"/>
      <c r="B336" s="68"/>
      <c r="C336" s="66"/>
      <c r="D336" s="67"/>
      <c r="E336" s="66"/>
      <c r="F336" s="66"/>
      <c r="G336" s="17"/>
      <c r="H336" s="17"/>
    </row>
    <row r="337" spans="1:8" ht="12.75" customHeight="1">
      <c r="A337" s="66"/>
      <c r="B337" s="68"/>
      <c r="C337" s="66"/>
      <c r="D337" s="67"/>
      <c r="E337" s="66"/>
      <c r="F337" s="66"/>
      <c r="G337" s="17"/>
      <c r="H337" s="17"/>
    </row>
    <row r="338" spans="1:8" ht="13.5" customHeight="1">
      <c r="A338" s="63"/>
      <c r="B338" s="63"/>
      <c r="C338" s="63"/>
      <c r="D338" s="64"/>
      <c r="E338" s="65"/>
      <c r="F338" s="65"/>
      <c r="G338" s="17"/>
      <c r="H338" s="17"/>
    </row>
    <row r="339" spans="1:8" ht="12.75" customHeight="1">
      <c r="A339" s="66"/>
      <c r="B339" s="68"/>
      <c r="C339" s="66"/>
      <c r="D339" s="67"/>
      <c r="E339" s="66"/>
      <c r="F339" s="66"/>
      <c r="G339" s="17"/>
      <c r="H339" s="17"/>
    </row>
    <row r="340" spans="1:8" ht="12.75" customHeight="1">
      <c r="A340" s="66"/>
      <c r="B340" s="68"/>
      <c r="C340" s="66"/>
      <c r="D340" s="67"/>
      <c r="E340" s="66"/>
      <c r="F340" s="66"/>
      <c r="G340" s="17"/>
      <c r="H340" s="17"/>
    </row>
    <row r="341" spans="1:8" ht="12.75" customHeight="1">
      <c r="A341" s="66"/>
      <c r="B341" s="68"/>
      <c r="C341" s="66"/>
      <c r="D341" s="67"/>
      <c r="E341" s="66"/>
      <c r="F341" s="66"/>
      <c r="G341" s="17"/>
      <c r="H341" s="17"/>
    </row>
    <row r="342" spans="1:8" ht="12.75" customHeight="1">
      <c r="A342" s="66"/>
      <c r="B342" s="68"/>
      <c r="C342" s="66"/>
      <c r="D342" s="67"/>
      <c r="E342" s="66"/>
      <c r="F342" s="66"/>
      <c r="G342" s="17"/>
      <c r="H342" s="17"/>
    </row>
    <row r="343" spans="1:8" ht="13.5" customHeight="1">
      <c r="A343" s="63"/>
      <c r="B343" s="63"/>
      <c r="C343" s="63"/>
      <c r="D343" s="64"/>
      <c r="E343" s="65"/>
      <c r="F343" s="65"/>
      <c r="G343" s="17"/>
      <c r="H343" s="17"/>
    </row>
    <row r="344" spans="1:8" ht="12.75" customHeight="1">
      <c r="A344" s="66"/>
      <c r="B344" s="68"/>
      <c r="C344" s="66"/>
      <c r="D344" s="67"/>
      <c r="E344" s="66"/>
      <c r="F344" s="66"/>
      <c r="G344" s="17"/>
      <c r="H344" s="17"/>
    </row>
    <row r="345" spans="1:8" ht="12.75" customHeight="1">
      <c r="A345" s="66"/>
      <c r="B345" s="68"/>
      <c r="C345" s="66"/>
      <c r="D345" s="67"/>
      <c r="E345" s="66"/>
      <c r="F345" s="66"/>
      <c r="G345" s="17"/>
      <c r="H345" s="17"/>
    </row>
    <row r="346" spans="1:8" ht="12.75" customHeight="1">
      <c r="A346" s="66"/>
      <c r="B346" s="68"/>
      <c r="C346" s="66"/>
      <c r="D346" s="67"/>
      <c r="E346" s="66"/>
      <c r="F346" s="66"/>
      <c r="G346" s="17"/>
      <c r="H346" s="17"/>
    </row>
    <row r="347" spans="1:8" ht="12.75" customHeight="1">
      <c r="A347" s="66"/>
      <c r="B347" s="68"/>
      <c r="C347" s="66"/>
      <c r="D347" s="67"/>
      <c r="E347" s="66"/>
      <c r="F347" s="66"/>
      <c r="G347" s="17"/>
      <c r="H347" s="17"/>
    </row>
    <row r="348" spans="1:8" ht="13.5" customHeight="1">
      <c r="A348" s="63"/>
      <c r="B348" s="63"/>
      <c r="C348" s="63"/>
      <c r="D348" s="64"/>
      <c r="E348" s="65"/>
      <c r="F348" s="65"/>
      <c r="G348" s="17"/>
      <c r="H348" s="17"/>
    </row>
    <row r="349" spans="1:8" ht="12.75" customHeight="1">
      <c r="A349" s="66"/>
      <c r="B349" s="68"/>
      <c r="C349" s="66"/>
      <c r="D349" s="67"/>
      <c r="E349" s="66"/>
      <c r="F349" s="66"/>
      <c r="G349" s="17"/>
      <c r="H349" s="17"/>
    </row>
    <row r="350" spans="1:8" ht="12.75" customHeight="1">
      <c r="A350" s="66"/>
      <c r="B350" s="68"/>
      <c r="C350" s="66"/>
      <c r="D350" s="67"/>
      <c r="E350" s="66"/>
      <c r="F350" s="66"/>
      <c r="G350" s="17"/>
      <c r="H350" s="17"/>
    </row>
    <row r="351" spans="1:8" ht="12.75" customHeight="1">
      <c r="A351" s="66"/>
      <c r="B351" s="68"/>
      <c r="C351" s="66"/>
      <c r="D351" s="67"/>
      <c r="E351" s="66"/>
      <c r="F351" s="66"/>
      <c r="G351" s="17"/>
      <c r="H351" s="17"/>
    </row>
    <row r="352" spans="1:8" ht="12.75" customHeight="1">
      <c r="A352" s="66"/>
      <c r="B352" s="68"/>
      <c r="C352" s="66"/>
      <c r="D352" s="67"/>
      <c r="E352" s="66"/>
      <c r="F352" s="66"/>
      <c r="G352" s="17"/>
      <c r="H352" s="17"/>
    </row>
    <row r="353" spans="1:8" ht="13.5" customHeight="1">
      <c r="A353" s="63"/>
      <c r="B353" s="63"/>
      <c r="C353" s="63"/>
      <c r="D353" s="64"/>
      <c r="E353" s="65"/>
      <c r="F353" s="65"/>
      <c r="G353" s="17"/>
      <c r="H353" s="17"/>
    </row>
    <row r="354" spans="1:8" ht="12.75" customHeight="1">
      <c r="A354" s="66"/>
      <c r="B354" s="68"/>
      <c r="C354" s="66"/>
      <c r="D354" s="67"/>
      <c r="E354" s="66"/>
      <c r="F354" s="66"/>
      <c r="G354" s="17"/>
      <c r="H354" s="17"/>
    </row>
    <row r="355" spans="1:8" ht="12.75" customHeight="1">
      <c r="A355" s="66"/>
      <c r="B355" s="68"/>
      <c r="C355" s="66"/>
      <c r="D355" s="67"/>
      <c r="E355" s="66"/>
      <c r="F355" s="66"/>
      <c r="G355" s="17"/>
      <c r="H355" s="17"/>
    </row>
    <row r="356" spans="1:8" ht="12.75" customHeight="1">
      <c r="A356" s="66"/>
      <c r="B356" s="68"/>
      <c r="C356" s="66"/>
      <c r="D356" s="67"/>
      <c r="E356" s="66"/>
      <c r="F356" s="66"/>
      <c r="G356" s="17"/>
      <c r="H356" s="17"/>
    </row>
    <row r="357" spans="1:8" ht="12.75" customHeight="1">
      <c r="A357" s="66"/>
      <c r="B357" s="68"/>
      <c r="C357" s="66"/>
      <c r="D357" s="67"/>
      <c r="E357" s="66"/>
      <c r="F357" s="66"/>
      <c r="G357" s="17"/>
      <c r="H357" s="17"/>
    </row>
    <row r="358" spans="1:8" ht="13.5" customHeight="1">
      <c r="A358" s="63"/>
      <c r="B358" s="63"/>
      <c r="C358" s="63"/>
      <c r="D358" s="64"/>
      <c r="E358" s="65"/>
      <c r="F358" s="65"/>
      <c r="G358" s="17"/>
      <c r="H358" s="17"/>
    </row>
    <row r="359" spans="1:8" ht="12.75" customHeight="1">
      <c r="A359" s="66"/>
      <c r="B359" s="68"/>
      <c r="C359" s="66"/>
      <c r="D359" s="67"/>
      <c r="E359" s="66"/>
      <c r="F359" s="66"/>
      <c r="G359" s="17"/>
      <c r="H359" s="17"/>
    </row>
    <row r="360" spans="1:8" ht="12.75" customHeight="1">
      <c r="A360" s="66"/>
      <c r="B360" s="68"/>
      <c r="C360" s="66"/>
      <c r="D360" s="67"/>
      <c r="E360" s="66"/>
      <c r="F360" s="66"/>
      <c r="G360" s="17"/>
      <c r="H360" s="17"/>
    </row>
    <row r="361" spans="1:8" ht="12.75" customHeight="1">
      <c r="A361" s="66"/>
      <c r="B361" s="68"/>
      <c r="C361" s="66"/>
      <c r="D361" s="67"/>
      <c r="E361" s="66"/>
      <c r="F361" s="66"/>
      <c r="G361" s="17"/>
      <c r="H361" s="17"/>
    </row>
    <row r="362" spans="1:8" ht="12.75" customHeight="1">
      <c r="A362" s="66"/>
      <c r="B362" s="68"/>
      <c r="C362" s="66"/>
      <c r="D362" s="67"/>
      <c r="E362" s="66"/>
      <c r="F362" s="66"/>
      <c r="G362" s="17"/>
      <c r="H362" s="17"/>
    </row>
    <row r="363" spans="1:8" ht="13.5" customHeight="1">
      <c r="A363" s="63"/>
      <c r="B363" s="63"/>
      <c r="C363" s="63"/>
      <c r="D363" s="64"/>
      <c r="E363" s="65"/>
      <c r="F363" s="65"/>
      <c r="G363" s="17"/>
      <c r="H363" s="17"/>
    </row>
    <row r="364" spans="1:8" ht="12.75" customHeight="1">
      <c r="A364" s="66"/>
      <c r="B364" s="68"/>
      <c r="C364" s="66"/>
      <c r="D364" s="67"/>
      <c r="E364" s="66"/>
      <c r="F364" s="66"/>
      <c r="G364" s="17"/>
      <c r="H364" s="17"/>
    </row>
    <row r="365" spans="1:8" ht="12.75" customHeight="1">
      <c r="A365" s="66"/>
      <c r="B365" s="68"/>
      <c r="C365" s="66"/>
      <c r="D365" s="67"/>
      <c r="E365" s="66"/>
      <c r="F365" s="66"/>
      <c r="G365" s="17"/>
      <c r="H365" s="17"/>
    </row>
    <row r="366" spans="1:8" ht="12.75" customHeight="1">
      <c r="A366" s="66"/>
      <c r="B366" s="68"/>
      <c r="C366" s="66"/>
      <c r="D366" s="67"/>
      <c r="E366" s="66"/>
      <c r="F366" s="66"/>
      <c r="G366" s="17"/>
      <c r="H366" s="17"/>
    </row>
    <row r="367" spans="1:8" ht="12.75" customHeight="1">
      <c r="A367" s="66"/>
      <c r="B367" s="68"/>
      <c r="C367" s="66"/>
      <c r="D367" s="67"/>
      <c r="E367" s="66"/>
      <c r="F367" s="66"/>
      <c r="G367" s="17"/>
      <c r="H367" s="17"/>
    </row>
    <row r="368" spans="1:8" ht="13.5" customHeight="1">
      <c r="A368" s="63"/>
      <c r="B368" s="63"/>
      <c r="C368" s="63"/>
      <c r="D368" s="64"/>
      <c r="E368" s="65"/>
      <c r="F368" s="65"/>
      <c r="G368" s="17"/>
      <c r="H368" s="17"/>
    </row>
    <row r="369" spans="1:8" ht="12.75" customHeight="1">
      <c r="A369" s="66"/>
      <c r="B369" s="68"/>
      <c r="C369" s="66"/>
      <c r="D369" s="67"/>
      <c r="E369" s="66"/>
      <c r="F369" s="66"/>
      <c r="G369" s="17"/>
      <c r="H369" s="17"/>
    </row>
    <row r="370" spans="1:8" ht="12.75" customHeight="1">
      <c r="A370" s="66"/>
      <c r="B370" s="68"/>
      <c r="C370" s="66"/>
      <c r="D370" s="67"/>
      <c r="E370" s="66"/>
      <c r="F370" s="66"/>
      <c r="G370" s="17"/>
      <c r="H370" s="17"/>
    </row>
    <row r="371" spans="1:8" ht="12.75" customHeight="1">
      <c r="A371" s="66"/>
      <c r="B371" s="68"/>
      <c r="C371" s="66"/>
      <c r="D371" s="67"/>
      <c r="E371" s="66"/>
      <c r="F371" s="66"/>
      <c r="G371" s="17"/>
      <c r="H371" s="17"/>
    </row>
    <row r="372" spans="1:8" ht="12.75" customHeight="1">
      <c r="A372" s="66"/>
      <c r="B372" s="68"/>
      <c r="C372" s="66"/>
      <c r="D372" s="67"/>
      <c r="E372" s="66"/>
      <c r="F372" s="66"/>
      <c r="G372" s="17"/>
      <c r="H372" s="17"/>
    </row>
    <row r="373" spans="1:8" ht="13.5" customHeight="1">
      <c r="A373" s="63"/>
      <c r="B373" s="63"/>
      <c r="C373" s="63"/>
      <c r="D373" s="64"/>
      <c r="E373" s="65"/>
      <c r="F373" s="65"/>
      <c r="G373" s="17"/>
      <c r="H373" s="17"/>
    </row>
    <row r="374" spans="1:8" ht="12.75" customHeight="1">
      <c r="A374" s="66"/>
      <c r="B374" s="68"/>
      <c r="C374" s="66"/>
      <c r="D374" s="67"/>
      <c r="E374" s="66"/>
      <c r="F374" s="66"/>
      <c r="G374" s="17"/>
      <c r="H374" s="17"/>
    </row>
    <row r="375" spans="1:8" ht="12.75" customHeight="1">
      <c r="A375" s="66"/>
      <c r="B375" s="68"/>
      <c r="C375" s="66"/>
      <c r="D375" s="67"/>
      <c r="E375" s="66"/>
      <c r="F375" s="66"/>
      <c r="G375" s="17"/>
      <c r="H375" s="17"/>
    </row>
    <row r="376" spans="1:8" ht="12.75" customHeight="1">
      <c r="A376" s="66"/>
      <c r="B376" s="68"/>
      <c r="C376" s="66"/>
      <c r="D376" s="67"/>
      <c r="E376" s="66"/>
      <c r="F376" s="66"/>
      <c r="G376" s="17"/>
      <c r="H376" s="17"/>
    </row>
    <row r="377" spans="1:8" ht="12.75" customHeight="1">
      <c r="A377" s="66"/>
      <c r="B377" s="68"/>
      <c r="C377" s="66"/>
      <c r="D377" s="67"/>
      <c r="E377" s="66"/>
      <c r="F377" s="66"/>
      <c r="G377" s="17"/>
      <c r="H377" s="17"/>
    </row>
    <row r="378" spans="1:8" ht="13.5" customHeight="1">
      <c r="A378" s="63"/>
      <c r="B378" s="63"/>
      <c r="C378" s="63"/>
      <c r="D378" s="64"/>
      <c r="E378" s="65"/>
      <c r="F378" s="65"/>
      <c r="G378" s="17"/>
      <c r="H378" s="17"/>
    </row>
    <row r="379" spans="1:8" ht="12.75" customHeight="1">
      <c r="A379" s="66"/>
      <c r="B379" s="68"/>
      <c r="C379" s="66"/>
      <c r="D379" s="67"/>
      <c r="E379" s="66"/>
      <c r="F379" s="66"/>
      <c r="G379" s="17"/>
      <c r="H379" s="17"/>
    </row>
    <row r="380" spans="1:8" ht="12.75" customHeight="1">
      <c r="A380" s="66"/>
      <c r="B380" s="68"/>
      <c r="C380" s="66"/>
      <c r="D380" s="67"/>
      <c r="E380" s="66"/>
      <c r="F380" s="66"/>
      <c r="G380" s="17"/>
      <c r="H380" s="17"/>
    </row>
    <row r="381" spans="1:8" ht="12.75" customHeight="1">
      <c r="A381" s="66"/>
      <c r="B381" s="68"/>
      <c r="C381" s="66"/>
      <c r="D381" s="67"/>
      <c r="E381" s="66"/>
      <c r="F381" s="66"/>
      <c r="G381" s="17"/>
      <c r="H381" s="17"/>
    </row>
    <row r="382" spans="1:8" ht="12.75" customHeight="1">
      <c r="A382" s="66"/>
      <c r="B382" s="68"/>
      <c r="C382" s="66"/>
      <c r="D382" s="67"/>
      <c r="E382" s="66"/>
      <c r="F382" s="66"/>
      <c r="G382" s="17"/>
      <c r="H382" s="17"/>
    </row>
    <row r="383" spans="1:8" ht="13.5" customHeight="1">
      <c r="A383" s="63"/>
      <c r="B383" s="63"/>
      <c r="C383" s="63"/>
      <c r="D383" s="64"/>
      <c r="E383" s="65"/>
      <c r="F383" s="65"/>
      <c r="G383" s="17"/>
      <c r="H383" s="17"/>
    </row>
    <row r="384" spans="1:8" ht="12.75" customHeight="1">
      <c r="A384" s="66"/>
      <c r="B384" s="68"/>
      <c r="C384" s="66"/>
      <c r="D384" s="67"/>
      <c r="E384" s="66"/>
      <c r="F384" s="66"/>
      <c r="G384" s="17"/>
      <c r="H384" s="17"/>
    </row>
    <row r="385" spans="1:8" ht="12.75" customHeight="1">
      <c r="A385" s="66"/>
      <c r="B385" s="68"/>
      <c r="C385" s="66"/>
      <c r="D385" s="67"/>
      <c r="E385" s="66"/>
      <c r="F385" s="66"/>
      <c r="G385" s="17"/>
      <c r="H385" s="17"/>
    </row>
    <row r="386" spans="1:8" ht="12.75" customHeight="1">
      <c r="A386" s="66"/>
      <c r="B386" s="68"/>
      <c r="C386" s="66"/>
      <c r="D386" s="67"/>
      <c r="E386" s="66"/>
      <c r="F386" s="66"/>
      <c r="G386" s="17"/>
      <c r="H386" s="17"/>
    </row>
    <row r="387" spans="1:8" ht="12.75" customHeight="1">
      <c r="A387" s="66"/>
      <c r="B387" s="68"/>
      <c r="C387" s="66"/>
      <c r="D387" s="67"/>
      <c r="E387" s="66"/>
      <c r="F387" s="66"/>
      <c r="G387" s="17"/>
      <c r="H387" s="17"/>
    </row>
    <row r="388" spans="1:8" ht="13.5" customHeight="1">
      <c r="A388" s="63"/>
      <c r="B388" s="63"/>
      <c r="C388" s="63"/>
      <c r="D388" s="64"/>
      <c r="E388" s="65"/>
      <c r="F388" s="65"/>
      <c r="G388" s="17"/>
      <c r="H388" s="17"/>
    </row>
    <row r="389" spans="1:8" ht="12.75" customHeight="1">
      <c r="A389" s="66"/>
      <c r="B389" s="68"/>
      <c r="C389" s="66"/>
      <c r="D389" s="67"/>
      <c r="E389" s="66"/>
      <c r="F389" s="66"/>
      <c r="G389" s="17"/>
      <c r="H389" s="17"/>
    </row>
    <row r="390" spans="1:8" ht="12.75" customHeight="1">
      <c r="A390" s="66"/>
      <c r="B390" s="68"/>
      <c r="C390" s="66"/>
      <c r="D390" s="67"/>
      <c r="E390" s="66"/>
      <c r="F390" s="66"/>
      <c r="G390" s="17"/>
      <c r="H390" s="17"/>
    </row>
    <row r="391" spans="1:8" ht="12.75" customHeight="1">
      <c r="A391" s="66"/>
      <c r="B391" s="68"/>
      <c r="C391" s="66"/>
      <c r="D391" s="67"/>
      <c r="E391" s="66"/>
      <c r="F391" s="66"/>
      <c r="G391" s="17"/>
      <c r="H391" s="17"/>
    </row>
    <row r="392" spans="1:8" ht="12.75" customHeight="1">
      <c r="A392" s="66"/>
      <c r="B392" s="68"/>
      <c r="C392" s="66"/>
      <c r="D392" s="67"/>
      <c r="E392" s="66"/>
      <c r="F392" s="66"/>
      <c r="G392" s="17"/>
      <c r="H392" s="17"/>
    </row>
    <row r="393" spans="1:8" ht="13.5" customHeight="1">
      <c r="A393" s="63"/>
      <c r="B393" s="63"/>
      <c r="C393" s="63"/>
      <c r="D393" s="64"/>
      <c r="E393" s="65"/>
      <c r="F393" s="65"/>
      <c r="G393" s="17"/>
      <c r="H393" s="17"/>
    </row>
    <row r="394" spans="1:8" ht="12.75" customHeight="1">
      <c r="A394" s="66"/>
      <c r="B394" s="68"/>
      <c r="C394" s="66"/>
      <c r="D394" s="67"/>
      <c r="E394" s="66"/>
      <c r="F394" s="66"/>
      <c r="G394" s="17"/>
      <c r="H394" s="17"/>
    </row>
    <row r="395" spans="1:8" ht="12.75" customHeight="1">
      <c r="A395" s="66"/>
      <c r="B395" s="68"/>
      <c r="C395" s="66"/>
      <c r="D395" s="67"/>
      <c r="E395" s="66"/>
      <c r="F395" s="66"/>
      <c r="G395" s="17"/>
      <c r="H395" s="17"/>
    </row>
    <row r="396" spans="1:8" ht="12.75" customHeight="1">
      <c r="A396" s="66"/>
      <c r="B396" s="68"/>
      <c r="C396" s="66"/>
      <c r="D396" s="67"/>
      <c r="E396" s="66"/>
      <c r="F396" s="66"/>
      <c r="G396" s="17"/>
      <c r="H396" s="17"/>
    </row>
    <row r="397" spans="1:8" ht="12.75" customHeight="1">
      <c r="A397" s="66"/>
      <c r="B397" s="68"/>
      <c r="C397" s="66"/>
      <c r="D397" s="67"/>
      <c r="E397" s="66"/>
      <c r="F397" s="66"/>
      <c r="G397" s="17"/>
      <c r="H397" s="17"/>
    </row>
    <row r="398" spans="1:8" ht="13.5" customHeight="1">
      <c r="A398" s="63"/>
      <c r="B398" s="63"/>
      <c r="C398" s="63"/>
      <c r="D398" s="64"/>
      <c r="E398" s="65"/>
      <c r="F398" s="65"/>
      <c r="G398" s="17"/>
      <c r="H398" s="17"/>
    </row>
    <row r="399" spans="1:8" ht="12.75" customHeight="1">
      <c r="A399" s="66"/>
      <c r="B399" s="68"/>
      <c r="C399" s="66"/>
      <c r="D399" s="67"/>
      <c r="E399" s="66"/>
      <c r="F399" s="66"/>
      <c r="G399" s="17"/>
      <c r="H399" s="17"/>
    </row>
    <row r="400" spans="1:8" ht="12.75" customHeight="1">
      <c r="A400" s="66"/>
      <c r="B400" s="68"/>
      <c r="C400" s="66"/>
      <c r="D400" s="67"/>
      <c r="E400" s="66"/>
      <c r="F400" s="66"/>
      <c r="G400" s="17"/>
      <c r="H400" s="17"/>
    </row>
    <row r="401" spans="1:8" ht="12.75" customHeight="1">
      <c r="A401" s="66"/>
      <c r="B401" s="68"/>
      <c r="C401" s="66"/>
      <c r="D401" s="67"/>
      <c r="E401" s="66"/>
      <c r="F401" s="66"/>
      <c r="G401" s="17"/>
      <c r="H401" s="17"/>
    </row>
    <row r="402" spans="1:8" ht="12.75" customHeight="1">
      <c r="A402" s="66"/>
      <c r="B402" s="68"/>
      <c r="C402" s="66"/>
      <c r="D402" s="67"/>
      <c r="E402" s="66"/>
      <c r="F402" s="66"/>
      <c r="G402" s="17"/>
      <c r="H402" s="17"/>
    </row>
    <row r="403" spans="1:8" ht="13.5" customHeight="1">
      <c r="A403" s="63"/>
      <c r="B403" s="63"/>
      <c r="C403" s="63"/>
      <c r="D403" s="64"/>
      <c r="E403" s="65"/>
      <c r="F403" s="65"/>
      <c r="G403" s="17"/>
      <c r="H403" s="17"/>
    </row>
    <row r="404" spans="1:8" ht="12.75" customHeight="1">
      <c r="A404" s="66"/>
      <c r="B404" s="68"/>
      <c r="C404" s="66"/>
      <c r="D404" s="67"/>
      <c r="E404" s="66"/>
      <c r="F404" s="66"/>
      <c r="G404" s="17"/>
      <c r="H404" s="17"/>
    </row>
    <row r="405" spans="1:8" ht="12.75" customHeight="1">
      <c r="A405" s="66"/>
      <c r="B405" s="68"/>
      <c r="C405" s="66"/>
      <c r="D405" s="67"/>
      <c r="E405" s="66"/>
      <c r="F405" s="66"/>
      <c r="G405" s="17"/>
      <c r="H405" s="17"/>
    </row>
    <row r="406" spans="1:8" ht="12.75" customHeight="1">
      <c r="A406" s="66"/>
      <c r="B406" s="68"/>
      <c r="C406" s="66"/>
      <c r="D406" s="67"/>
      <c r="E406" s="66"/>
      <c r="F406" s="66"/>
      <c r="G406" s="17"/>
      <c r="H406" s="17"/>
    </row>
    <row r="407" spans="1:8" ht="12.75" customHeight="1">
      <c r="A407" s="66"/>
      <c r="B407" s="68"/>
      <c r="C407" s="66"/>
      <c r="D407" s="67"/>
      <c r="E407" s="66"/>
      <c r="F407" s="66"/>
      <c r="G407" s="17"/>
      <c r="H407" s="17"/>
    </row>
    <row r="408" spans="1:8" ht="13.5" customHeight="1">
      <c r="A408" s="63"/>
      <c r="B408" s="63"/>
      <c r="C408" s="63"/>
      <c r="D408" s="64"/>
      <c r="E408" s="65"/>
      <c r="F408" s="65"/>
      <c r="G408" s="17"/>
      <c r="H408" s="17"/>
    </row>
    <row r="409" spans="1:8" ht="12.75" customHeight="1">
      <c r="A409" s="66"/>
      <c r="B409" s="68"/>
      <c r="C409" s="66"/>
      <c r="D409" s="67"/>
      <c r="E409" s="66"/>
      <c r="F409" s="66"/>
      <c r="G409" s="17"/>
      <c r="H409" s="17"/>
    </row>
    <row r="410" spans="1:8" ht="12.75" customHeight="1">
      <c r="A410" s="66"/>
      <c r="B410" s="68"/>
      <c r="C410" s="66"/>
      <c r="D410" s="67"/>
      <c r="E410" s="66"/>
      <c r="F410" s="66"/>
      <c r="G410" s="17"/>
      <c r="H410" s="17"/>
    </row>
    <row r="411" spans="1:8" ht="12.75" customHeight="1">
      <c r="A411" s="66"/>
      <c r="B411" s="68"/>
      <c r="C411" s="66"/>
      <c r="D411" s="67"/>
      <c r="E411" s="66"/>
      <c r="F411" s="66"/>
      <c r="G411" s="17"/>
      <c r="H411" s="17"/>
    </row>
    <row r="412" spans="1:8" ht="12.75" customHeight="1">
      <c r="A412" s="66"/>
      <c r="B412" s="68"/>
      <c r="C412" s="66"/>
      <c r="D412" s="67"/>
      <c r="E412" s="66"/>
      <c r="F412" s="66"/>
      <c r="G412" s="17"/>
      <c r="H412" s="17"/>
    </row>
    <row r="413" spans="1:8" ht="13.5" customHeight="1">
      <c r="A413" s="63"/>
      <c r="B413" s="63"/>
      <c r="C413" s="63"/>
      <c r="D413" s="64"/>
      <c r="E413" s="65"/>
      <c r="F413" s="65"/>
      <c r="G413" s="17"/>
      <c r="H413" s="17"/>
    </row>
    <row r="414" spans="1:8" ht="12.75" customHeight="1">
      <c r="A414" s="66"/>
      <c r="B414" s="68"/>
      <c r="C414" s="66"/>
      <c r="D414" s="67"/>
      <c r="E414" s="66"/>
      <c r="F414" s="66"/>
      <c r="G414" s="17"/>
      <c r="H414" s="17"/>
    </row>
    <row r="415" spans="1:8" ht="12.75" customHeight="1">
      <c r="A415" s="66"/>
      <c r="B415" s="68"/>
      <c r="C415" s="66"/>
      <c r="D415" s="67"/>
      <c r="E415" s="66"/>
      <c r="F415" s="66"/>
      <c r="G415" s="17"/>
      <c r="H415" s="17"/>
    </row>
    <row r="416" spans="1:8" ht="12.75" customHeight="1">
      <c r="A416" s="66"/>
      <c r="B416" s="68"/>
      <c r="C416" s="66"/>
      <c r="D416" s="67"/>
      <c r="E416" s="66"/>
      <c r="F416" s="66"/>
      <c r="G416" s="17"/>
      <c r="H416" s="17"/>
    </row>
    <row r="417" spans="1:8" ht="12.75" customHeight="1">
      <c r="A417" s="66"/>
      <c r="B417" s="68"/>
      <c r="C417" s="66"/>
      <c r="D417" s="67"/>
      <c r="E417" s="66"/>
      <c r="F417" s="66"/>
      <c r="G417" s="17"/>
      <c r="H417" s="17"/>
    </row>
    <row r="418" spans="1:8" ht="13.5" customHeight="1">
      <c r="A418" s="63"/>
      <c r="B418" s="63"/>
      <c r="C418" s="63"/>
      <c r="D418" s="64"/>
      <c r="E418" s="65"/>
      <c r="F418" s="65"/>
      <c r="G418" s="17"/>
      <c r="H418" s="17"/>
    </row>
    <row r="419" spans="1:8" ht="12.75" customHeight="1">
      <c r="A419" s="66"/>
      <c r="B419" s="68"/>
      <c r="C419" s="66"/>
      <c r="D419" s="67"/>
      <c r="E419" s="66"/>
      <c r="F419" s="66"/>
      <c r="G419" s="17"/>
      <c r="H419" s="17"/>
    </row>
    <row r="420" spans="1:8" ht="12.75" customHeight="1">
      <c r="A420" s="66"/>
      <c r="B420" s="68"/>
      <c r="C420" s="66"/>
      <c r="D420" s="67"/>
      <c r="E420" s="66"/>
      <c r="F420" s="66"/>
      <c r="G420" s="17"/>
      <c r="H420" s="17"/>
    </row>
    <row r="421" spans="1:8" ht="12.75" customHeight="1">
      <c r="A421" s="66"/>
      <c r="B421" s="68"/>
      <c r="C421" s="66"/>
      <c r="D421" s="67"/>
      <c r="E421" s="66"/>
      <c r="F421" s="66"/>
      <c r="G421" s="17"/>
      <c r="H421" s="17"/>
    </row>
    <row r="422" spans="1:8" ht="12.75" customHeight="1">
      <c r="A422" s="66"/>
      <c r="B422" s="68"/>
      <c r="C422" s="66"/>
      <c r="D422" s="67"/>
      <c r="E422" s="66"/>
      <c r="F422" s="66"/>
      <c r="G422" s="17"/>
      <c r="H422" s="17"/>
    </row>
    <row r="423" spans="1:8" ht="13.5" customHeight="1">
      <c r="A423" s="63"/>
      <c r="B423" s="63"/>
      <c r="C423" s="63"/>
      <c r="D423" s="64"/>
      <c r="E423" s="65"/>
      <c r="F423" s="65"/>
      <c r="G423" s="17"/>
      <c r="H423" s="17"/>
    </row>
    <row r="424" spans="1:8" ht="12.75" customHeight="1">
      <c r="A424" s="66"/>
      <c r="B424" s="68"/>
      <c r="C424" s="66"/>
      <c r="D424" s="67"/>
      <c r="E424" s="66"/>
      <c r="F424" s="66"/>
      <c r="G424" s="17"/>
      <c r="H424" s="17"/>
    </row>
    <row r="425" spans="1:8" ht="12.75" customHeight="1">
      <c r="A425" s="66"/>
      <c r="B425" s="68"/>
      <c r="C425" s="66"/>
      <c r="D425" s="67"/>
      <c r="E425" s="66"/>
      <c r="F425" s="66"/>
      <c r="G425" s="17"/>
      <c r="H425" s="17"/>
    </row>
    <row r="426" spans="1:8" ht="12.75" customHeight="1">
      <c r="A426" s="66"/>
      <c r="B426" s="68"/>
      <c r="C426" s="66"/>
      <c r="D426" s="67"/>
      <c r="E426" s="66"/>
      <c r="F426" s="66"/>
      <c r="G426" s="17"/>
      <c r="H426" s="17"/>
    </row>
    <row r="427" spans="1:8" ht="12.75" customHeight="1">
      <c r="A427" s="66"/>
      <c r="B427" s="68"/>
      <c r="C427" s="66"/>
      <c r="D427" s="67"/>
      <c r="E427" s="66"/>
      <c r="F427" s="66"/>
      <c r="G427" s="17"/>
      <c r="H427" s="17"/>
    </row>
    <row r="428" spans="1:8" ht="13.5" customHeight="1">
      <c r="A428" s="63"/>
      <c r="B428" s="63"/>
      <c r="C428" s="63"/>
      <c r="D428" s="64"/>
      <c r="E428" s="65"/>
      <c r="F428" s="65"/>
      <c r="G428" s="17"/>
      <c r="H428" s="17"/>
    </row>
    <row r="429" spans="1:8" ht="12.75" customHeight="1">
      <c r="A429" s="66"/>
      <c r="B429" s="68"/>
      <c r="C429" s="66"/>
      <c r="D429" s="67"/>
      <c r="E429" s="66"/>
      <c r="F429" s="66"/>
      <c r="G429" s="17"/>
      <c r="H429" s="17"/>
    </row>
    <row r="430" spans="1:8" ht="12.75" customHeight="1">
      <c r="A430" s="66"/>
      <c r="B430" s="68"/>
      <c r="C430" s="66"/>
      <c r="D430" s="67"/>
      <c r="E430" s="66"/>
      <c r="F430" s="66"/>
      <c r="G430" s="17"/>
      <c r="H430" s="17"/>
    </row>
    <row r="431" spans="1:8" ht="12.75" customHeight="1">
      <c r="A431" s="66"/>
      <c r="B431" s="68"/>
      <c r="C431" s="66"/>
      <c r="D431" s="67"/>
      <c r="E431" s="66"/>
      <c r="F431" s="66"/>
      <c r="G431" s="17"/>
      <c r="H431" s="17"/>
    </row>
    <row r="432" spans="1:8" ht="12.75" customHeight="1">
      <c r="A432" s="66"/>
      <c r="B432" s="68"/>
      <c r="C432" s="66"/>
      <c r="D432" s="67"/>
      <c r="E432" s="66"/>
      <c r="F432" s="66"/>
      <c r="G432" s="17"/>
      <c r="H432" s="17"/>
    </row>
    <row r="433" spans="1:8" ht="13.5" customHeight="1">
      <c r="A433" s="63"/>
      <c r="B433" s="63"/>
      <c r="C433" s="63"/>
      <c r="D433" s="64"/>
      <c r="E433" s="65"/>
      <c r="F433" s="65"/>
      <c r="G433" s="17"/>
      <c r="H433" s="17"/>
    </row>
    <row r="434" spans="1:8" ht="12.75" customHeight="1">
      <c r="A434" s="66"/>
      <c r="B434" s="68"/>
      <c r="C434" s="66"/>
      <c r="D434" s="67"/>
      <c r="E434" s="66"/>
      <c r="F434" s="66"/>
      <c r="G434" s="17"/>
      <c r="H434" s="17"/>
    </row>
    <row r="435" spans="1:8" ht="12.75" customHeight="1">
      <c r="A435" s="66"/>
      <c r="B435" s="68"/>
      <c r="C435" s="66"/>
      <c r="D435" s="67"/>
      <c r="E435" s="66"/>
      <c r="F435" s="66"/>
      <c r="G435" s="17"/>
      <c r="H435" s="17"/>
    </row>
    <row r="436" spans="1:8" ht="12.75" customHeight="1">
      <c r="A436" s="66"/>
      <c r="B436" s="68"/>
      <c r="C436" s="66"/>
      <c r="D436" s="67"/>
      <c r="E436" s="66"/>
      <c r="F436" s="66"/>
      <c r="G436" s="17"/>
      <c r="H436" s="17"/>
    </row>
    <row r="437" spans="1:8" ht="12.75" customHeight="1">
      <c r="A437" s="66"/>
      <c r="B437" s="68"/>
      <c r="C437" s="66"/>
      <c r="D437" s="67"/>
      <c r="E437" s="66"/>
      <c r="F437" s="66"/>
      <c r="G437" s="17"/>
      <c r="H437" s="17"/>
    </row>
    <row r="438" spans="1:8" ht="13.5" customHeight="1">
      <c r="A438" s="63"/>
      <c r="B438" s="63"/>
      <c r="C438" s="63"/>
      <c r="D438" s="64"/>
      <c r="E438" s="65"/>
      <c r="F438" s="65"/>
      <c r="G438" s="17"/>
      <c r="H438" s="17"/>
    </row>
    <row r="439" spans="1:8" ht="12.75" customHeight="1">
      <c r="A439" s="66"/>
      <c r="B439" s="68"/>
      <c r="C439" s="66"/>
      <c r="D439" s="67"/>
      <c r="E439" s="66"/>
      <c r="F439" s="66"/>
      <c r="G439" s="17"/>
      <c r="H439" s="17"/>
    </row>
    <row r="440" spans="1:8" ht="12.75" customHeight="1">
      <c r="A440" s="66"/>
      <c r="B440" s="68"/>
      <c r="C440" s="66"/>
      <c r="D440" s="67"/>
      <c r="E440" s="66"/>
      <c r="F440" s="66"/>
      <c r="G440" s="17"/>
      <c r="H440" s="17"/>
    </row>
    <row r="441" spans="1:8" ht="12.75" customHeight="1">
      <c r="A441" s="66"/>
      <c r="B441" s="68"/>
      <c r="C441" s="66"/>
      <c r="D441" s="67"/>
      <c r="E441" s="66"/>
      <c r="F441" s="66"/>
      <c r="G441" s="17"/>
      <c r="H441" s="17"/>
    </row>
    <row r="442" spans="1:8" ht="12.75" customHeight="1">
      <c r="A442" s="66"/>
      <c r="B442" s="68"/>
      <c r="C442" s="66"/>
      <c r="D442" s="67"/>
      <c r="E442" s="66"/>
      <c r="F442" s="66"/>
      <c r="G442" s="17"/>
      <c r="H442" s="17"/>
    </row>
    <row r="443" spans="1:8" ht="13.5" customHeight="1">
      <c r="A443" s="63"/>
      <c r="B443" s="63"/>
      <c r="C443" s="63"/>
      <c r="D443" s="64"/>
      <c r="E443" s="65"/>
      <c r="F443" s="65"/>
      <c r="G443" s="17"/>
      <c r="H443" s="17"/>
    </row>
    <row r="444" spans="1:8" ht="12.75" customHeight="1">
      <c r="A444" s="66"/>
      <c r="B444" s="68"/>
      <c r="C444" s="66"/>
      <c r="D444" s="67"/>
      <c r="E444" s="66"/>
      <c r="F444" s="66"/>
      <c r="G444" s="17"/>
      <c r="H444" s="17"/>
    </row>
    <row r="445" spans="1:8" ht="12.75" customHeight="1">
      <c r="A445" s="66"/>
      <c r="B445" s="68"/>
      <c r="C445" s="66"/>
      <c r="D445" s="67"/>
      <c r="E445" s="66"/>
      <c r="F445" s="66"/>
      <c r="G445" s="17"/>
      <c r="H445" s="17"/>
    </row>
    <row r="446" spans="1:8" ht="12.75" customHeight="1">
      <c r="A446" s="66"/>
      <c r="B446" s="68"/>
      <c r="C446" s="66"/>
      <c r="D446" s="67"/>
      <c r="E446" s="66"/>
      <c r="F446" s="66"/>
      <c r="G446" s="17"/>
      <c r="H446" s="17"/>
    </row>
    <row r="447" spans="1:8" ht="12.75" customHeight="1">
      <c r="A447" s="66"/>
      <c r="B447" s="68"/>
      <c r="C447" s="66"/>
      <c r="D447" s="67"/>
      <c r="E447" s="66"/>
      <c r="F447" s="66"/>
      <c r="G447" s="17"/>
      <c r="H447" s="17"/>
    </row>
    <row r="448" spans="1:8" ht="13.5" customHeight="1">
      <c r="A448" s="63"/>
      <c r="B448" s="63"/>
      <c r="C448" s="63"/>
      <c r="D448" s="64"/>
      <c r="E448" s="65"/>
      <c r="F448" s="65"/>
      <c r="G448" s="17"/>
      <c r="H448" s="17"/>
    </row>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hyperlinks>
    <hyperlink ref="C3" r:id="rId1" xr:uid="{00000000-0004-0000-0400-000000000000}"/>
    <hyperlink ref="B8" r:id="rId2" xr:uid="{00000000-0004-0000-0400-000001000000}"/>
    <hyperlink ref="B13" r:id="rId3" xr:uid="{00000000-0004-0000-0400-000002000000}"/>
    <hyperlink ref="B18" r:id="rId4" xr:uid="{00000000-0004-0000-0400-000003000000}"/>
    <hyperlink ref="B23" r:id="rId5" xr:uid="{00000000-0004-0000-0400-000004000000}"/>
    <hyperlink ref="B28" r:id="rId6" xr:uid="{00000000-0004-0000-0400-000005000000}"/>
    <hyperlink ref="B33" r:id="rId7" xr:uid="{00000000-0004-0000-0400-000006000000}"/>
    <hyperlink ref="B38" r:id="rId8" xr:uid="{00000000-0004-0000-0400-000007000000}"/>
    <hyperlink ref="B43" r:id="rId9" xr:uid="{00000000-0004-0000-0400-000008000000}"/>
    <hyperlink ref="B48" r:id="rId10" xr:uid="{00000000-0004-0000-0400-000009000000}"/>
    <hyperlink ref="B53" r:id="rId11" xr:uid="{00000000-0004-0000-0400-00000A000000}"/>
    <hyperlink ref="B58" r:id="rId12" xr:uid="{00000000-0004-0000-0400-00000B000000}"/>
    <hyperlink ref="B63" r:id="rId13" xr:uid="{00000000-0004-0000-0400-00000C000000}"/>
    <hyperlink ref="B68" r:id="rId14" xr:uid="{00000000-0004-0000-0400-00000D000000}"/>
    <hyperlink ref="B73" r:id="rId15" xr:uid="{00000000-0004-0000-0400-00000E000000}"/>
    <hyperlink ref="B78" r:id="rId16" xr:uid="{00000000-0004-0000-0400-00000F000000}"/>
    <hyperlink ref="B83" r:id="rId17" xr:uid="{00000000-0004-0000-0400-000010000000}"/>
    <hyperlink ref="B88" r:id="rId18" xr:uid="{00000000-0004-0000-0400-000011000000}"/>
    <hyperlink ref="B93" r:id="rId19" xr:uid="{00000000-0004-0000-0400-000012000000}"/>
    <hyperlink ref="B98" r:id="rId20" xr:uid="{00000000-0004-0000-0400-000013000000}"/>
    <hyperlink ref="B103" r:id="rId21" xr:uid="{00000000-0004-0000-0400-000014000000}"/>
    <hyperlink ref="B108" r:id="rId22" xr:uid="{00000000-0004-0000-0400-000015000000}"/>
    <hyperlink ref="B113" r:id="rId23" xr:uid="{00000000-0004-0000-0400-000016000000}"/>
    <hyperlink ref="B118" r:id="rId24" xr:uid="{00000000-0004-0000-0400-000017000000}"/>
    <hyperlink ref="B123" r:id="rId25" xr:uid="{00000000-0004-0000-0400-000018000000}"/>
    <hyperlink ref="B128" r:id="rId26" xr:uid="{00000000-0004-0000-0400-000019000000}"/>
    <hyperlink ref="B133" r:id="rId27" xr:uid="{00000000-0004-0000-0400-00001A000000}"/>
    <hyperlink ref="B138" r:id="rId28" xr:uid="{00000000-0004-0000-0400-00001B000000}"/>
    <hyperlink ref="B143" r:id="rId29" xr:uid="{00000000-0004-0000-0400-00001C000000}"/>
    <hyperlink ref="B148" r:id="rId30" xr:uid="{00000000-0004-0000-0400-00001D000000}"/>
    <hyperlink ref="B153" r:id="rId31" xr:uid="{00000000-0004-0000-0400-00001E000000}"/>
    <hyperlink ref="B158" r:id="rId32" xr:uid="{00000000-0004-0000-0400-00001F000000}"/>
    <hyperlink ref="B163" r:id="rId33" xr:uid="{00000000-0004-0000-0400-000020000000}"/>
    <hyperlink ref="B168" r:id="rId34" xr:uid="{00000000-0004-0000-0400-000021000000}"/>
    <hyperlink ref="B173" r:id="rId35" xr:uid="{00000000-0004-0000-0400-000022000000}"/>
    <hyperlink ref="B178" r:id="rId36" xr:uid="{00000000-0004-0000-0400-000023000000}"/>
    <hyperlink ref="B183" r:id="rId37" xr:uid="{00000000-0004-0000-0400-000024000000}"/>
    <hyperlink ref="B188" r:id="rId38" xr:uid="{00000000-0004-0000-0400-000025000000}"/>
    <hyperlink ref="B193" r:id="rId39" xr:uid="{00000000-0004-0000-0400-000026000000}"/>
    <hyperlink ref="B198" r:id="rId40" xr:uid="{00000000-0004-0000-0400-000027000000}"/>
    <hyperlink ref="B203" r:id="rId41" xr:uid="{00000000-0004-0000-0400-000028000000}"/>
    <hyperlink ref="B208" r:id="rId42" xr:uid="{00000000-0004-0000-0400-000029000000}"/>
    <hyperlink ref="B213" r:id="rId43" xr:uid="{00000000-0004-0000-0400-00002A000000}"/>
    <hyperlink ref="B218" r:id="rId44" xr:uid="{00000000-0004-0000-0400-00002B000000}"/>
    <hyperlink ref="B223" r:id="rId45" xr:uid="{00000000-0004-0000-0400-00002C000000}"/>
    <hyperlink ref="B228" r:id="rId46" xr:uid="{00000000-0004-0000-0400-00002D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100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375" defaultRowHeight="15" customHeight="1"/>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9.25" customWidth="1"/>
    <col min="14" max="14" width="2.375" customWidth="1"/>
    <col min="15" max="15" width="0.375" customWidth="1"/>
    <col min="16" max="16" width="22.875" customWidth="1"/>
    <col min="17" max="17" width="5" customWidth="1"/>
    <col min="18" max="18" width="2.375" customWidth="1"/>
    <col min="19" max="19" width="5.375" customWidth="1"/>
    <col min="20" max="20" width="25.375" customWidth="1"/>
    <col min="21" max="21" width="5" customWidth="1"/>
    <col min="22" max="30" width="8" customWidth="1"/>
  </cols>
  <sheetData>
    <row r="1" spans="1:30" ht="12" customHeight="1">
      <c r="B1" s="268"/>
      <c r="C1" s="288"/>
      <c r="D1" s="288"/>
      <c r="E1" s="288"/>
      <c r="F1" s="288"/>
      <c r="G1" s="288"/>
      <c r="H1" s="288"/>
      <c r="I1" s="288"/>
      <c r="J1" s="288"/>
      <c r="K1" s="288"/>
      <c r="L1" s="288"/>
      <c r="M1" s="288"/>
      <c r="N1" s="288"/>
      <c r="O1" s="288"/>
      <c r="P1" s="288"/>
      <c r="R1" s="255"/>
      <c r="S1" s="255"/>
      <c r="T1" s="255"/>
      <c r="U1" s="255"/>
      <c r="V1" s="293"/>
      <c r="W1" s="255"/>
      <c r="X1" s="255"/>
      <c r="Y1" s="255"/>
      <c r="Z1" s="293"/>
      <c r="AA1" s="255"/>
    </row>
    <row r="2" spans="1:30" ht="32.25" customHeight="1">
      <c r="A2" s="289"/>
      <c r="B2" s="290"/>
      <c r="C2" s="291">
        <v>8</v>
      </c>
      <c r="D2" s="292" t="s">
        <v>1883</v>
      </c>
      <c r="E2" s="293"/>
      <c r="F2" s="255"/>
      <c r="G2" s="294">
        <v>4</v>
      </c>
      <c r="H2" s="292" t="s">
        <v>1884</v>
      </c>
      <c r="I2" s="255"/>
      <c r="J2" s="255"/>
      <c r="K2" s="294">
        <v>2</v>
      </c>
      <c r="L2" s="292" t="s">
        <v>1885</v>
      </c>
      <c r="M2" s="255"/>
      <c r="N2" s="255"/>
      <c r="O2" s="294">
        <v>1</v>
      </c>
      <c r="P2" s="295" t="s">
        <v>1886</v>
      </c>
      <c r="Q2" s="255"/>
      <c r="R2" s="255"/>
      <c r="S2" s="255"/>
      <c r="T2" s="293"/>
      <c r="U2" s="255"/>
      <c r="V2" s="293"/>
      <c r="W2" s="255"/>
      <c r="X2" s="255"/>
      <c r="Y2" s="255"/>
      <c r="Z2" s="293"/>
      <c r="AA2" s="255"/>
    </row>
    <row r="3" spans="1:30" ht="28.5" customHeight="1">
      <c r="A3" s="255"/>
      <c r="B3" s="255"/>
      <c r="C3" s="296"/>
      <c r="D3" s="298" t="s">
        <v>1887</v>
      </c>
      <c r="E3" s="299">
        <v>10</v>
      </c>
      <c r="F3" s="300"/>
      <c r="G3" s="300"/>
      <c r="H3" s="302"/>
      <c r="I3" s="303"/>
      <c r="J3" s="300"/>
      <c r="K3" s="300"/>
      <c r="L3" s="302"/>
      <c r="M3" s="303"/>
      <c r="N3" s="300"/>
      <c r="O3" s="300"/>
      <c r="P3" s="302"/>
      <c r="Q3" s="303"/>
      <c r="R3" s="300"/>
      <c r="S3" s="300"/>
      <c r="T3" s="304"/>
      <c r="U3" s="382"/>
      <c r="V3" s="293"/>
      <c r="W3" s="255"/>
      <c r="X3" s="255"/>
      <c r="Y3" s="255"/>
      <c r="Z3" s="293"/>
      <c r="AA3" s="255"/>
    </row>
    <row r="4" spans="1:30" ht="18" customHeight="1">
      <c r="A4" s="305" t="str">
        <f>VLOOKUP(C4,Postupy!$A$3:$C$9,3,0)</f>
        <v>A1</v>
      </c>
      <c r="B4" s="255"/>
      <c r="C4" s="307">
        <v>1</v>
      </c>
      <c r="D4" s="373" t="str">
        <f ca="1">VLOOKUP(C4,Postupy!$A$3:$AI$10,35,0)</f>
        <v>Carreau Brno - Michálek Ivo</v>
      </c>
      <c r="E4" s="309">
        <v>13</v>
      </c>
      <c r="F4" s="310"/>
      <c r="G4" s="255"/>
      <c r="H4" s="383"/>
      <c r="I4" s="255"/>
      <c r="J4" s="255"/>
      <c r="K4" s="255"/>
      <c r="L4" s="317"/>
      <c r="M4" s="255"/>
      <c r="N4" s="255"/>
      <c r="O4" s="255"/>
      <c r="P4" s="255"/>
      <c r="Q4" s="255"/>
      <c r="R4" s="255"/>
      <c r="S4" s="255"/>
      <c r="T4" s="311"/>
      <c r="U4" s="255"/>
      <c r="V4" s="255"/>
      <c r="W4" s="255"/>
      <c r="X4" s="255"/>
      <c r="Y4" s="255"/>
      <c r="Z4" s="255"/>
      <c r="AA4" s="255"/>
      <c r="AB4" s="255"/>
    </row>
    <row r="5" spans="1:30" ht="18" customHeight="1">
      <c r="A5" s="305" t="str">
        <f>VLOOKUP(C5,Postupy!$A$3:$C$18,3,0)</f>
        <v>H1</v>
      </c>
      <c r="B5" s="255"/>
      <c r="C5" s="312">
        <v>8</v>
      </c>
      <c r="D5" s="373" t="str">
        <f ca="1">VLOOKUP(C5,Postupy!$A$3:$AI$10,35,0)</f>
        <v>Carreau Brno - Grepl Jiří</v>
      </c>
      <c r="E5" s="314">
        <v>8</v>
      </c>
      <c r="F5" s="315"/>
      <c r="G5" s="326"/>
      <c r="H5" s="298" t="s">
        <v>1887</v>
      </c>
      <c r="I5" s="299">
        <v>21</v>
      </c>
      <c r="J5" s="255"/>
      <c r="K5" s="255"/>
      <c r="L5" s="317"/>
      <c r="M5" s="255"/>
      <c r="N5" s="255"/>
      <c r="O5" s="255"/>
      <c r="P5" s="255"/>
      <c r="Q5" s="255"/>
      <c r="R5" s="255"/>
      <c r="S5" s="255"/>
      <c r="T5" s="311"/>
      <c r="U5" s="255"/>
      <c r="V5" s="255"/>
      <c r="W5" s="255"/>
      <c r="X5" s="255"/>
      <c r="Y5" s="255"/>
      <c r="Z5" s="255"/>
      <c r="AA5" s="255"/>
      <c r="AB5" s="255"/>
    </row>
    <row r="6" spans="1:30" ht="18" customHeight="1">
      <c r="A6" s="318"/>
      <c r="B6" s="365"/>
      <c r="C6" s="268"/>
      <c r="D6" s="384"/>
      <c r="E6" s="268"/>
      <c r="F6" s="255"/>
      <c r="G6" s="307">
        <v>1</v>
      </c>
      <c r="H6" s="308" t="str">
        <f ca="1">IF(OR(TRIM(D4)="-",TRIM(D5)="-"),IF(TRIM(D4)="-",D5,D4),IF(AND(E4="",E5="")," ",IF(N(E4)=N(E5)," ",IF(N(E4)&gt;N(E5),D4,D5))))</f>
        <v>Carreau Brno - Michálek Ivo</v>
      </c>
      <c r="I6" s="309">
        <v>1</v>
      </c>
      <c r="J6" s="310"/>
      <c r="K6" s="293"/>
      <c r="L6" s="327"/>
      <c r="M6" s="293"/>
      <c r="N6" s="255"/>
      <c r="O6" s="255"/>
      <c r="P6" s="255"/>
      <c r="Q6" s="255"/>
      <c r="R6" s="255"/>
      <c r="S6" s="255"/>
      <c r="T6" s="255"/>
      <c r="U6" s="255"/>
      <c r="V6" s="293"/>
      <c r="W6" s="255"/>
      <c r="X6" s="255"/>
      <c r="Y6" s="255"/>
      <c r="Z6" s="293"/>
      <c r="AA6" s="255"/>
      <c r="AB6" s="255"/>
      <c r="AC6" s="255"/>
      <c r="AD6" s="311"/>
    </row>
    <row r="7" spans="1:30" ht="18" customHeight="1">
      <c r="A7" s="323"/>
      <c r="B7" s="296"/>
      <c r="C7" s="255"/>
      <c r="D7" s="298" t="s">
        <v>1887</v>
      </c>
      <c r="E7" s="299">
        <v>12</v>
      </c>
      <c r="F7" s="255"/>
      <c r="G7" s="312">
        <v>4</v>
      </c>
      <c r="H7" s="313" t="str">
        <f ca="1">IF(OR(TRIM(D8)="-",TRIM(D9)="-"),IF(TRIM(D8)="-",D9,D8),IF(AND(E8="",E9="")," ",IF(N(E8)=N(E9)," ",IF(N(E8)&gt;N(E9),D8,D9))))</f>
        <v>P.C.B.D. - Hejl ml. Pavel</v>
      </c>
      <c r="I7" s="314"/>
      <c r="J7" s="315"/>
      <c r="K7" s="326"/>
      <c r="L7" s="327"/>
      <c r="M7" s="293"/>
      <c r="N7" s="255"/>
      <c r="O7" s="255"/>
      <c r="P7" s="255"/>
      <c r="Q7" s="255"/>
      <c r="R7" s="255"/>
      <c r="S7" s="255"/>
      <c r="T7" s="255"/>
      <c r="U7" s="255"/>
      <c r="V7" s="293"/>
      <c r="W7" s="255"/>
      <c r="X7" s="255"/>
      <c r="Y7" s="255"/>
      <c r="Z7" s="293"/>
      <c r="AA7" s="255"/>
      <c r="AB7" s="255"/>
      <c r="AC7" s="255"/>
      <c r="AD7" s="255"/>
    </row>
    <row r="8" spans="1:30" ht="18.75" customHeight="1">
      <c r="A8" s="305" t="str">
        <f>VLOOKUP(C8,Postupy!$A$3:$C$18,3,0)</f>
        <v>E1</v>
      </c>
      <c r="B8" s="255"/>
      <c r="C8" s="307">
        <v>5</v>
      </c>
      <c r="D8" s="373" t="str">
        <f ca="1">VLOOKUP(C8,Postupy!$A$3:$AI$10,35,0)</f>
        <v>SKP Hranice VI-Valšovice - Jakeš Zbyněk</v>
      </c>
      <c r="E8" s="309">
        <v>6</v>
      </c>
      <c r="F8" s="328"/>
      <c r="G8" s="326"/>
      <c r="H8" s="385"/>
      <c r="I8" s="293"/>
      <c r="J8" s="255"/>
      <c r="K8" s="326"/>
      <c r="L8" s="355" t="s">
        <v>1885</v>
      </c>
      <c r="M8" s="293"/>
      <c r="N8" s="255"/>
      <c r="O8" s="255"/>
      <c r="P8" s="255"/>
      <c r="Q8" s="255"/>
      <c r="R8" s="255"/>
      <c r="S8" s="255"/>
      <c r="T8" s="255"/>
      <c r="U8" s="255"/>
      <c r="V8" s="293"/>
      <c r="W8" s="255"/>
      <c r="X8" s="255"/>
      <c r="Y8" s="255"/>
      <c r="Z8" s="293"/>
      <c r="AA8" s="255"/>
      <c r="AB8" s="255"/>
      <c r="AC8" s="255"/>
      <c r="AD8" s="255"/>
    </row>
    <row r="9" spans="1:30" ht="18" customHeight="1">
      <c r="A9" s="305" t="str">
        <f>VLOOKUP(C9,Postupy!$A$3:$C$18,3,0)</f>
        <v>D1</v>
      </c>
      <c r="B9" s="255"/>
      <c r="C9" s="312">
        <v>4</v>
      </c>
      <c r="D9" s="373" t="str">
        <f ca="1">VLOOKUP(C9,Postupy!$A$3:$AI$10,35,0)</f>
        <v>P.C.B.D. - Hejl ml. Pavel</v>
      </c>
      <c r="E9" s="314">
        <v>13</v>
      </c>
      <c r="F9" s="268"/>
      <c r="G9" s="255"/>
      <c r="H9" s="385"/>
      <c r="I9" s="255"/>
      <c r="J9" s="255"/>
      <c r="K9" s="326"/>
      <c r="L9" s="298" t="s">
        <v>1887</v>
      </c>
      <c r="M9" s="299" t="s">
        <v>1896</v>
      </c>
      <c r="N9" s="255"/>
      <c r="O9" s="311"/>
      <c r="P9" s="374"/>
      <c r="Q9" s="255"/>
      <c r="R9" s="255"/>
      <c r="S9" s="255"/>
      <c r="T9" s="311"/>
      <c r="U9" s="255"/>
      <c r="V9" s="255"/>
      <c r="W9" s="255"/>
      <c r="X9" s="255"/>
      <c r="Y9" s="255"/>
      <c r="Z9" s="255"/>
      <c r="AA9" s="255"/>
      <c r="AB9" s="255"/>
    </row>
    <row r="10" spans="1:30" ht="18" customHeight="1">
      <c r="A10" s="318"/>
      <c r="B10" s="386"/>
      <c r="C10" s="387"/>
      <c r="D10" s="388"/>
      <c r="E10" s="255"/>
      <c r="F10" s="255"/>
      <c r="G10" s="255"/>
      <c r="H10" s="389"/>
      <c r="I10" s="311"/>
      <c r="J10" s="311"/>
      <c r="K10" s="307">
        <v>1</v>
      </c>
      <c r="L10" s="308" t="str">
        <f ca="1">IF(OR(TRIM(H6)="-",TRIM(H7)="-"),IF(TRIM(H6)="-",H7,H6),IF(AND(I6="",I7="")," ",IF(N(I6)=N(I7)," ",IF(N(I6)&gt;N(I7),H6,H7))))</f>
        <v>Carreau Brno - Michálek Ivo</v>
      </c>
      <c r="M10" s="309">
        <v>13</v>
      </c>
      <c r="N10" s="328"/>
      <c r="O10" s="351">
        <v>1</v>
      </c>
      <c r="P10" s="363" t="str">
        <f ca="1">IF(AND(M10="",M11="")," ",IF(N(M10)=N(M11)," ",IF(N(M10)&gt;N(M11),L10,L11)))</f>
        <v>Carreau Brno - Michálek Ivo</v>
      </c>
      <c r="Q10" s="364">
        <v>1</v>
      </c>
      <c r="R10" s="255"/>
      <c r="S10" s="311"/>
      <c r="T10" s="255"/>
      <c r="U10" s="255"/>
      <c r="V10" s="255"/>
      <c r="W10" s="255"/>
      <c r="X10" s="255"/>
      <c r="Y10" s="255"/>
      <c r="Z10" s="255"/>
      <c r="AA10" s="255"/>
    </row>
    <row r="11" spans="1:30" ht="18" customHeight="1">
      <c r="A11" s="323"/>
      <c r="B11" s="365"/>
      <c r="C11" s="255"/>
      <c r="D11" s="298" t="s">
        <v>1887</v>
      </c>
      <c r="E11" s="299">
        <v>2</v>
      </c>
      <c r="F11" s="255"/>
      <c r="G11" s="255"/>
      <c r="H11" s="390"/>
      <c r="I11" s="311"/>
      <c r="J11" s="311"/>
      <c r="K11" s="312">
        <v>2</v>
      </c>
      <c r="L11" s="313" t="str">
        <f ca="1">IF(OR(TRIM(H14)="-",TRIM(H15)="-"),IF(TRIM(H14)="-",H15,H14),IF(AND(I14="",I15="")," ",IF(N(I14)=N(I15)," ",IF(N(I14)&gt;N(I15),H14,H15))))</f>
        <v>Carreau Brno - Hodboď Pavel</v>
      </c>
      <c r="M11" s="314">
        <v>10</v>
      </c>
      <c r="N11" s="255"/>
      <c r="O11" s="351">
        <v>2</v>
      </c>
      <c r="P11" s="367" t="str">
        <f ca="1">IF(AND(M10="",M11="")," ",IF(N(M11)=N(M10)," ",IF(N(M11)&gt;N(M10),L10,L11)))</f>
        <v>Carreau Brno - Hodboď Pavel</v>
      </c>
      <c r="Q11" s="368">
        <v>2</v>
      </c>
      <c r="R11" s="255"/>
      <c r="S11" s="255"/>
      <c r="T11" s="255"/>
      <c r="U11" s="255"/>
      <c r="V11" s="255"/>
      <c r="W11" s="255"/>
      <c r="X11" s="255"/>
      <c r="Y11" s="293"/>
      <c r="Z11" s="255"/>
      <c r="AA11" s="255"/>
      <c r="AB11" s="255"/>
      <c r="AC11" s="311"/>
    </row>
    <row r="12" spans="1:30" ht="18" customHeight="1">
      <c r="A12" s="305" t="str">
        <f>VLOOKUP(C12,Postupy!$A$3:$C$18,3,0)</f>
        <v>C1</v>
      </c>
      <c r="B12" s="255"/>
      <c r="C12" s="307">
        <v>3</v>
      </c>
      <c r="D12" s="373" t="str">
        <f ca="1">VLOOKUP(C12,Postupy!$A$3:$AI$10,35,0)</f>
        <v>SKP Hranice VI-Valšovice - Kutá Miloslava</v>
      </c>
      <c r="E12" s="309">
        <v>13</v>
      </c>
      <c r="F12" s="310"/>
      <c r="G12" s="255"/>
      <c r="H12" s="390"/>
      <c r="I12" s="311"/>
      <c r="J12" s="322"/>
      <c r="K12" s="326"/>
      <c r="L12" s="327"/>
      <c r="M12" s="311"/>
      <c r="N12" s="255"/>
      <c r="O12" s="255"/>
      <c r="P12" s="255"/>
      <c r="Q12" s="255"/>
      <c r="R12" s="255"/>
      <c r="S12" s="311"/>
      <c r="T12" s="255"/>
      <c r="U12" s="255"/>
      <c r="V12" s="255"/>
      <c r="W12" s="255"/>
      <c r="X12" s="255"/>
      <c r="Y12" s="293"/>
      <c r="Z12" s="255"/>
      <c r="AA12" s="255"/>
      <c r="AB12" s="255"/>
      <c r="AC12" s="255"/>
    </row>
    <row r="13" spans="1:30" ht="18" customHeight="1">
      <c r="A13" s="305" t="str">
        <f>VLOOKUP(C13,Postupy!$A$3:$C$18,3,0)</f>
        <v>F1</v>
      </c>
      <c r="B13" s="255"/>
      <c r="C13" s="312">
        <v>6</v>
      </c>
      <c r="D13" s="373" t="str">
        <f ca="1">VLOOKUP(C13,Postupy!$A$3:$AI$10,35,0)</f>
        <v>HRODE KRUMSÍN - Krpec Miroslav</v>
      </c>
      <c r="E13" s="314">
        <v>6</v>
      </c>
      <c r="F13" s="315"/>
      <c r="G13" s="326"/>
      <c r="H13" s="298" t="s">
        <v>1887</v>
      </c>
      <c r="I13" s="299">
        <v>19</v>
      </c>
      <c r="J13" s="322"/>
      <c r="K13" s="326"/>
      <c r="L13" s="327"/>
      <c r="M13" s="293"/>
      <c r="N13" s="255"/>
      <c r="O13" s="255"/>
      <c r="P13" s="343"/>
      <c r="Q13" s="311"/>
      <c r="R13" s="255"/>
      <c r="S13" s="311"/>
      <c r="T13" s="255"/>
      <c r="U13" s="255"/>
      <c r="V13" s="255"/>
      <c r="W13" s="255"/>
      <c r="X13" s="255"/>
      <c r="Y13" s="255"/>
      <c r="Z13" s="255"/>
      <c r="AA13" s="255"/>
    </row>
    <row r="14" spans="1:30" ht="18" customHeight="1">
      <c r="A14" s="318"/>
      <c r="B14" s="365"/>
      <c r="C14" s="255"/>
      <c r="D14" s="385"/>
      <c r="E14" s="255"/>
      <c r="F14" s="255"/>
      <c r="G14" s="307">
        <v>3</v>
      </c>
      <c r="H14" s="308" t="str">
        <f ca="1">IF(OR(TRIM(D12)="-",TRIM(D13)="-"),IF(TRIM(D12)="-",D13,D12),IF(AND(E12="",E13="")," ",IF(N(E12)=N(E13)," ",IF(N(E12)&gt;N(E13),D12,D13))))</f>
        <v>SKP Hranice VI-Valšovice - Kutá Miloslava</v>
      </c>
      <c r="I14" s="309"/>
      <c r="J14" s="328"/>
      <c r="K14" s="255"/>
      <c r="L14" s="327"/>
      <c r="M14" s="293"/>
      <c r="N14" s="255"/>
      <c r="O14" s="255"/>
      <c r="P14" s="343"/>
      <c r="Q14" s="255"/>
      <c r="R14" s="255"/>
      <c r="S14" s="255"/>
      <c r="T14" s="255"/>
      <c r="U14" s="311"/>
      <c r="V14" s="255"/>
      <c r="W14" s="255"/>
      <c r="X14" s="255"/>
      <c r="Y14" s="311"/>
      <c r="Z14" s="255"/>
      <c r="AA14" s="255"/>
    </row>
    <row r="15" spans="1:30" ht="18" customHeight="1">
      <c r="A15" s="323"/>
      <c r="B15" s="296"/>
      <c r="C15" s="255"/>
      <c r="D15" s="298" t="s">
        <v>1887</v>
      </c>
      <c r="E15" s="299">
        <v>4</v>
      </c>
      <c r="F15" s="255"/>
      <c r="G15" s="312">
        <v>2</v>
      </c>
      <c r="H15" s="313" t="str">
        <f ca="1">IF(OR(TRIM(D16)="-",TRIM(D17)="-"),IF(TRIM(D16)="-",D17,D16),IF(AND(E16="",E17="")," ",IF(N(E16)=N(E17)," ",IF(N(E16)&gt;N(E17),D16,D17))))</f>
        <v>Carreau Brno - Hodboď Pavel</v>
      </c>
      <c r="I15" s="314">
        <v>1</v>
      </c>
      <c r="J15" s="268"/>
      <c r="K15" s="255"/>
      <c r="L15" s="327"/>
      <c r="M15" s="293"/>
      <c r="N15" s="255"/>
      <c r="O15" s="255"/>
      <c r="P15" s="343"/>
      <c r="Q15" s="255"/>
      <c r="R15" s="255"/>
      <c r="S15" s="255"/>
      <c r="T15" s="255"/>
      <c r="U15" s="311"/>
      <c r="V15" s="255"/>
      <c r="W15" s="255"/>
      <c r="X15" s="255"/>
      <c r="Y15" s="311"/>
      <c r="Z15" s="255"/>
      <c r="AA15" s="255"/>
    </row>
    <row r="16" spans="1:30" ht="18" customHeight="1">
      <c r="A16" s="305" t="str">
        <f>VLOOKUP(C16,Postupy!$A$3:$C$18,3,0)</f>
        <v>G1</v>
      </c>
      <c r="B16" s="255"/>
      <c r="C16" s="307">
        <v>7</v>
      </c>
      <c r="D16" s="373" t="str">
        <f ca="1">VLOOKUP(C16,Postupy!$A$3:$AI$10,35,0)</f>
        <v>Carreau Brno - Hodboď Pavel</v>
      </c>
      <c r="E16" s="309">
        <v>12</v>
      </c>
      <c r="F16" s="328"/>
      <c r="G16" s="326"/>
      <c r="H16" s="385"/>
      <c r="I16" s="293"/>
      <c r="J16" s="255"/>
      <c r="K16" s="255"/>
      <c r="L16" s="327"/>
      <c r="M16" s="293"/>
      <c r="N16" s="255"/>
      <c r="O16" s="255"/>
      <c r="P16" s="343"/>
      <c r="Q16" s="311"/>
      <c r="R16" s="255"/>
      <c r="S16" s="311"/>
      <c r="T16" s="317"/>
      <c r="U16" s="255"/>
      <c r="V16" s="255"/>
      <c r="W16" s="255"/>
      <c r="X16" s="255"/>
      <c r="Y16" s="255"/>
      <c r="Z16" s="255"/>
      <c r="AA16" s="255"/>
    </row>
    <row r="17" spans="1:27" ht="18" customHeight="1">
      <c r="A17" s="305" t="str">
        <f>VLOOKUP(C17,Postupy!$A$3:$C$18,3,0)</f>
        <v>B1</v>
      </c>
      <c r="B17" s="255"/>
      <c r="C17" s="312">
        <v>2</v>
      </c>
      <c r="D17" s="373" t="str">
        <f ca="1">VLOOKUP(C17,Postupy!$A$3:$AI$10,35,0)</f>
        <v>PLUK Jablonec - Lukáš Vojtěch</v>
      </c>
      <c r="E17" s="314">
        <v>11</v>
      </c>
      <c r="F17" s="268"/>
      <c r="G17" s="255"/>
      <c r="H17" s="385"/>
      <c r="I17" s="255"/>
      <c r="J17" s="255"/>
      <c r="K17" s="255"/>
      <c r="L17" s="370" t="s">
        <v>1888</v>
      </c>
      <c r="M17" s="293"/>
      <c r="N17" s="255"/>
      <c r="O17" s="255"/>
      <c r="P17" s="349"/>
      <c r="Q17" s="311"/>
      <c r="R17" s="255"/>
      <c r="S17" s="311"/>
      <c r="T17" s="374"/>
      <c r="U17" s="255"/>
      <c r="V17" s="255"/>
      <c r="W17" s="255"/>
      <c r="X17" s="255"/>
      <c r="Y17" s="255"/>
      <c r="Z17" s="255"/>
      <c r="AA17" s="255"/>
    </row>
    <row r="18" spans="1:27" ht="17.25" customHeight="1">
      <c r="A18" s="323"/>
      <c r="B18" s="386"/>
      <c r="C18" s="387"/>
      <c r="D18" s="311"/>
      <c r="E18" s="255"/>
      <c r="F18" s="255"/>
      <c r="G18" s="255"/>
      <c r="H18" s="356"/>
      <c r="I18" s="255"/>
      <c r="J18" s="255"/>
      <c r="K18" s="255"/>
      <c r="L18" s="371" t="s">
        <v>1889</v>
      </c>
      <c r="M18" s="255"/>
      <c r="N18" s="255"/>
      <c r="O18" s="255"/>
      <c r="P18" s="255"/>
      <c r="Q18" s="255"/>
      <c r="R18" s="255"/>
      <c r="S18" s="311"/>
      <c r="T18" s="255"/>
      <c r="U18" s="255"/>
      <c r="V18" s="255"/>
      <c r="W18" s="255"/>
      <c r="X18" s="255"/>
      <c r="Y18" s="255"/>
      <c r="Z18" s="255"/>
      <c r="AA18" s="255"/>
    </row>
    <row r="19" spans="1:27" ht="13.5" customHeight="1">
      <c r="A19" s="255"/>
      <c r="B19" s="365"/>
      <c r="C19" s="255"/>
      <c r="D19" s="255"/>
      <c r="E19" s="255"/>
      <c r="F19" s="255"/>
      <c r="G19" s="255"/>
      <c r="H19" s="255"/>
      <c r="I19" s="255"/>
      <c r="J19" s="255"/>
      <c r="K19" s="255"/>
      <c r="L19" s="298" t="s">
        <v>1887</v>
      </c>
      <c r="M19" s="299" t="s">
        <v>1897</v>
      </c>
      <c r="N19" s="255"/>
      <c r="O19" s="255"/>
      <c r="P19" s="255"/>
      <c r="Q19" s="255"/>
      <c r="R19" s="255"/>
      <c r="S19" s="311"/>
      <c r="T19" s="255"/>
      <c r="U19" s="255"/>
      <c r="V19" s="255"/>
      <c r="W19" s="255"/>
      <c r="X19" s="255"/>
      <c r="Y19" s="255"/>
      <c r="Z19" s="255"/>
      <c r="AA19" s="255"/>
    </row>
    <row r="20" spans="1:27" ht="18" customHeight="1">
      <c r="A20" s="255"/>
      <c r="B20" s="365"/>
      <c r="C20" s="255"/>
      <c r="D20" s="255"/>
      <c r="E20" s="321"/>
      <c r="F20" s="255"/>
      <c r="G20" s="255"/>
      <c r="H20" s="255"/>
      <c r="I20" s="255"/>
      <c r="J20" s="255"/>
      <c r="K20" s="307">
        <v>4</v>
      </c>
      <c r="L20" s="308" t="str">
        <f ca="1">IF(OR(TRIM(H6)="-",TRIM(H7)="-"),IF(TRIM(H6)="-",H6,H7),IF(AND(I6="",I7="")," ",IF(N(I7)=N(I6)," ",IF(N(I7)&gt;N(I6),H6,H7))))</f>
        <v>P.C.B.D. - Hejl ml. Pavel</v>
      </c>
      <c r="M20" s="309">
        <v>13</v>
      </c>
      <c r="N20" s="328"/>
      <c r="O20" s="351">
        <v>3</v>
      </c>
      <c r="P20" s="367" t="str">
        <f ca="1">IF(AND(M20="",M21="")," ",IF(N(M20)=N(M21)," ",IF(N(M20)&gt;N(M21),L20,L21)))</f>
        <v>P.C.B.D. - Hejl ml. Pavel</v>
      </c>
      <c r="Q20" s="368">
        <v>3</v>
      </c>
      <c r="R20" s="255"/>
      <c r="S20" s="311"/>
      <c r="T20" s="255"/>
      <c r="U20" s="255"/>
      <c r="V20" s="255"/>
      <c r="W20" s="255"/>
      <c r="X20" s="255"/>
      <c r="Y20" s="255"/>
      <c r="Z20" s="255"/>
      <c r="AA20" s="255"/>
    </row>
    <row r="21" spans="1:27" ht="18" customHeight="1">
      <c r="A21" s="255"/>
      <c r="B21" s="365"/>
      <c r="C21" s="255"/>
      <c r="D21" s="255"/>
      <c r="E21" s="321"/>
      <c r="F21" s="255"/>
      <c r="G21" s="255"/>
      <c r="H21" s="255"/>
      <c r="I21" s="255"/>
      <c r="J21" s="255"/>
      <c r="K21" s="312">
        <v>3</v>
      </c>
      <c r="L21" s="313" t="str">
        <f ca="1">IF(OR(TRIM(H14)="-",TRIM(H15)="-"),IF(TRIM(H14)="-",H14,H15),IF(AND(I14="",I15="")," ",IF(N(I15)=N(I14)," ",IF(N(I15)&gt;N(I14),H14,H15))))</f>
        <v>SKP Hranice VI-Valšovice - Kutá Miloslava</v>
      </c>
      <c r="M21" s="314">
        <v>9</v>
      </c>
      <c r="N21" s="315"/>
      <c r="O21" s="351">
        <v>4</v>
      </c>
      <c r="P21" s="367" t="str">
        <f ca="1">IF(AND(M20="",M21="")," ",IF(N(M21)=N(M20)," ",IF(N(M21)&gt;N(M20),L20,L21)))</f>
        <v>SKP Hranice VI-Valšovice - Kutá Miloslava</v>
      </c>
      <c r="Q21" s="368">
        <v>4</v>
      </c>
      <c r="R21" s="255"/>
      <c r="S21" s="311"/>
      <c r="T21" s="255"/>
      <c r="U21" s="255"/>
      <c r="V21" s="255"/>
      <c r="W21" s="255"/>
      <c r="X21" s="255"/>
      <c r="Y21" s="255"/>
      <c r="Z21" s="255"/>
      <c r="AA21" s="255"/>
    </row>
    <row r="22" spans="1:27" ht="12" customHeight="1">
      <c r="A22" s="255"/>
      <c r="B22" s="365"/>
      <c r="C22" s="255"/>
      <c r="D22" s="255"/>
      <c r="E22" s="321"/>
      <c r="F22" s="255"/>
      <c r="G22" s="255"/>
      <c r="H22" s="255"/>
      <c r="I22" s="255"/>
      <c r="J22" s="255"/>
      <c r="K22" s="255"/>
      <c r="L22" s="255"/>
      <c r="M22" s="255"/>
      <c r="N22" s="255"/>
      <c r="O22" s="255"/>
      <c r="P22" s="255"/>
      <c r="Q22" s="255"/>
      <c r="R22" s="255"/>
      <c r="S22" s="311"/>
      <c r="T22" s="255"/>
      <c r="U22" s="255"/>
      <c r="V22" s="255"/>
      <c r="W22" s="255"/>
      <c r="X22" s="255"/>
      <c r="Y22" s="255"/>
      <c r="Z22" s="255"/>
      <c r="AA22" s="255"/>
    </row>
    <row r="23" spans="1:27" ht="12" customHeight="1">
      <c r="A23" s="255"/>
      <c r="B23" s="365"/>
      <c r="C23" s="255"/>
      <c r="D23" s="255"/>
      <c r="E23" s="321"/>
      <c r="F23" s="255"/>
      <c r="G23" s="255"/>
      <c r="H23" s="255"/>
      <c r="I23" s="255"/>
      <c r="J23" s="255"/>
      <c r="K23" s="255"/>
      <c r="L23" s="255"/>
      <c r="M23" s="255"/>
      <c r="N23" s="255"/>
      <c r="O23" s="255"/>
      <c r="P23" s="255"/>
      <c r="Q23" s="255"/>
      <c r="R23" s="255"/>
      <c r="S23" s="311"/>
      <c r="T23" s="255"/>
      <c r="U23" s="255"/>
      <c r="V23" s="255"/>
      <c r="W23" s="255"/>
      <c r="X23" s="255"/>
      <c r="Y23" s="255"/>
      <c r="Z23" s="255"/>
      <c r="AA23" s="255"/>
    </row>
    <row r="24" spans="1:27" ht="12" customHeight="1">
      <c r="A24" s="255"/>
      <c r="B24" s="365"/>
      <c r="C24" s="255"/>
      <c r="D24" s="255"/>
      <c r="E24" s="321"/>
      <c r="F24" s="255"/>
      <c r="G24" s="255"/>
      <c r="H24" s="255"/>
      <c r="I24" s="255"/>
      <c r="J24" s="255"/>
      <c r="K24" s="255"/>
      <c r="L24" s="255"/>
      <c r="M24" s="255"/>
      <c r="N24" s="255"/>
      <c r="O24" s="255"/>
      <c r="P24" s="255"/>
      <c r="Q24" s="255"/>
      <c r="R24" s="255"/>
      <c r="S24" s="311"/>
      <c r="T24" s="255"/>
      <c r="U24" s="255"/>
      <c r="V24" s="255"/>
      <c r="W24" s="255"/>
      <c r="X24" s="255"/>
      <c r="Y24" s="255"/>
      <c r="Z24" s="255"/>
      <c r="AA24" s="255"/>
    </row>
    <row r="25" spans="1:27" ht="12" customHeight="1">
      <c r="A25" s="255"/>
      <c r="B25" s="365"/>
      <c r="C25" s="255"/>
      <c r="D25" s="255"/>
      <c r="E25" s="321"/>
      <c r="F25" s="255"/>
      <c r="G25" s="255"/>
      <c r="H25" s="255"/>
      <c r="I25" s="255"/>
      <c r="J25" s="255"/>
      <c r="K25" s="255"/>
      <c r="L25" s="255"/>
      <c r="M25" s="255"/>
      <c r="N25" s="255"/>
      <c r="O25" s="255"/>
      <c r="P25" s="255"/>
      <c r="Q25" s="255"/>
      <c r="R25" s="255"/>
      <c r="S25" s="311"/>
      <c r="T25" s="255"/>
      <c r="U25" s="255"/>
      <c r="V25" s="255"/>
      <c r="W25" s="255"/>
      <c r="X25" s="255"/>
      <c r="Y25" s="255"/>
      <c r="Z25" s="255"/>
      <c r="AA25" s="255"/>
    </row>
    <row r="26" spans="1:27" ht="12" customHeight="1">
      <c r="A26" s="255"/>
      <c r="B26" s="365"/>
      <c r="C26" s="255"/>
      <c r="D26" s="255"/>
      <c r="E26" s="321"/>
      <c r="F26" s="255"/>
      <c r="G26" s="255"/>
      <c r="H26" s="255"/>
      <c r="I26" s="255"/>
      <c r="J26" s="255"/>
      <c r="K26" s="255"/>
      <c r="L26" s="255"/>
      <c r="M26" s="255"/>
      <c r="N26" s="255"/>
      <c r="O26" s="255"/>
      <c r="P26" s="255"/>
      <c r="Q26" s="255"/>
      <c r="R26" s="255"/>
      <c r="S26" s="311"/>
      <c r="T26" s="255"/>
      <c r="U26" s="255"/>
      <c r="V26" s="255"/>
      <c r="W26" s="255"/>
      <c r="X26" s="255"/>
      <c r="Y26" s="255"/>
      <c r="Z26" s="255"/>
      <c r="AA26" s="255"/>
    </row>
    <row r="27" spans="1:27" ht="12" customHeight="1">
      <c r="A27" s="255"/>
      <c r="B27" s="365"/>
      <c r="C27" s="255"/>
      <c r="D27" s="255"/>
      <c r="E27" s="321"/>
      <c r="F27" s="255"/>
      <c r="G27" s="255"/>
      <c r="H27" s="255"/>
      <c r="I27" s="255"/>
      <c r="J27" s="255"/>
      <c r="K27" s="255"/>
      <c r="L27" s="255"/>
      <c r="M27" s="255"/>
      <c r="N27" s="255"/>
      <c r="O27" s="255"/>
      <c r="P27" s="255"/>
      <c r="Q27" s="255"/>
      <c r="R27" s="255"/>
      <c r="S27" s="311"/>
      <c r="T27" s="255"/>
      <c r="U27" s="255"/>
      <c r="V27" s="255"/>
      <c r="W27" s="255"/>
      <c r="X27" s="255"/>
      <c r="Y27" s="255"/>
      <c r="Z27" s="255"/>
      <c r="AA27" s="255"/>
    </row>
    <row r="28" spans="1:27" ht="12" customHeight="1">
      <c r="A28" s="255"/>
      <c r="B28" s="365"/>
      <c r="C28" s="255"/>
      <c r="D28" s="255"/>
      <c r="E28" s="321"/>
      <c r="F28" s="255"/>
      <c r="G28" s="255"/>
      <c r="H28" s="255"/>
      <c r="I28" s="255"/>
      <c r="J28" s="255"/>
      <c r="K28" s="255"/>
      <c r="L28" s="255"/>
      <c r="M28" s="255"/>
      <c r="N28" s="255"/>
      <c r="O28" s="255"/>
      <c r="P28" s="255"/>
      <c r="Q28" s="255"/>
      <c r="R28" s="255"/>
      <c r="S28" s="311"/>
      <c r="T28" s="255"/>
      <c r="U28" s="255"/>
      <c r="V28" s="255"/>
      <c r="W28" s="255"/>
      <c r="X28" s="255"/>
      <c r="Y28" s="255"/>
      <c r="Z28" s="255"/>
      <c r="AA28" s="255"/>
    </row>
    <row r="29" spans="1:27" ht="12" customHeight="1">
      <c r="A29" s="255"/>
      <c r="B29" s="365"/>
      <c r="C29" s="255"/>
      <c r="D29" s="255"/>
      <c r="E29" s="321"/>
      <c r="F29" s="255"/>
      <c r="G29" s="255"/>
      <c r="H29" s="255"/>
      <c r="I29" s="255"/>
      <c r="J29" s="255"/>
      <c r="K29" s="255"/>
      <c r="L29" s="255"/>
      <c r="M29" s="255"/>
      <c r="N29" s="255"/>
      <c r="O29" s="255"/>
      <c r="P29" s="255"/>
      <c r="Q29" s="255"/>
      <c r="R29" s="255"/>
      <c r="S29" s="311"/>
      <c r="T29" s="255"/>
      <c r="U29" s="255"/>
      <c r="V29" s="255"/>
      <c r="W29" s="255"/>
      <c r="X29" s="255"/>
      <c r="Y29" s="255"/>
      <c r="Z29" s="255"/>
      <c r="AA29" s="255"/>
    </row>
    <row r="30" spans="1:27" ht="12" customHeight="1">
      <c r="A30" s="255"/>
      <c r="B30" s="365"/>
      <c r="C30" s="255"/>
      <c r="D30" s="255"/>
      <c r="E30" s="321"/>
      <c r="F30" s="255"/>
      <c r="G30" s="255"/>
      <c r="H30" s="255"/>
      <c r="I30" s="255"/>
      <c r="J30" s="255"/>
      <c r="K30" s="255"/>
      <c r="L30" s="255"/>
      <c r="M30" s="255"/>
      <c r="N30" s="255"/>
      <c r="O30" s="255"/>
      <c r="P30" s="255"/>
      <c r="Q30" s="255"/>
      <c r="R30" s="255"/>
      <c r="S30" s="311"/>
      <c r="T30" s="255"/>
      <c r="U30" s="255"/>
      <c r="V30" s="255"/>
      <c r="W30" s="255"/>
      <c r="X30" s="255"/>
      <c r="Y30" s="255"/>
      <c r="Z30" s="255"/>
      <c r="AA30" s="255"/>
    </row>
    <row r="31" spans="1:27" ht="12" customHeight="1">
      <c r="A31" s="255"/>
      <c r="B31" s="365"/>
      <c r="C31" s="255"/>
      <c r="D31" s="255"/>
      <c r="E31" s="321"/>
      <c r="F31" s="255"/>
      <c r="G31" s="255"/>
      <c r="H31" s="255"/>
      <c r="I31" s="255"/>
      <c r="J31" s="255"/>
      <c r="K31" s="255"/>
      <c r="L31" s="255"/>
      <c r="M31" s="255"/>
      <c r="N31" s="255"/>
      <c r="O31" s="255"/>
      <c r="P31" s="255"/>
      <c r="Q31" s="255"/>
      <c r="R31" s="255"/>
      <c r="S31" s="311"/>
      <c r="T31" s="255"/>
      <c r="U31" s="255"/>
      <c r="V31" s="255"/>
      <c r="W31" s="255"/>
      <c r="X31" s="255"/>
      <c r="Y31" s="255"/>
      <c r="Z31" s="255"/>
      <c r="AA31" s="255"/>
    </row>
    <row r="32" spans="1:27" ht="12" customHeight="1">
      <c r="A32" s="255"/>
      <c r="B32" s="365"/>
      <c r="C32" s="255"/>
      <c r="D32" s="255"/>
      <c r="E32" s="321"/>
      <c r="F32" s="255"/>
      <c r="G32" s="255"/>
      <c r="H32" s="255"/>
      <c r="I32" s="255"/>
      <c r="J32" s="255"/>
      <c r="K32" s="255"/>
      <c r="L32" s="255"/>
      <c r="M32" s="255"/>
      <c r="N32" s="255"/>
      <c r="O32" s="255"/>
      <c r="P32" s="255"/>
      <c r="Q32" s="255"/>
      <c r="R32" s="255"/>
      <c r="S32" s="311"/>
      <c r="T32" s="255"/>
      <c r="U32" s="255"/>
      <c r="V32" s="255"/>
      <c r="W32" s="255"/>
      <c r="X32" s="255"/>
      <c r="Y32" s="255"/>
      <c r="Z32" s="255"/>
      <c r="AA32" s="255"/>
    </row>
    <row r="33" spans="1:27" ht="12" customHeight="1">
      <c r="A33" s="255"/>
      <c r="B33" s="365"/>
      <c r="C33" s="255"/>
      <c r="D33" s="255"/>
      <c r="E33" s="321"/>
      <c r="F33" s="255"/>
      <c r="G33" s="255"/>
      <c r="H33" s="255"/>
      <c r="I33" s="255"/>
      <c r="J33" s="255"/>
      <c r="K33" s="255"/>
      <c r="L33" s="255"/>
      <c r="M33" s="255"/>
      <c r="N33" s="255"/>
      <c r="O33" s="255"/>
      <c r="P33" s="255"/>
      <c r="Q33" s="255"/>
      <c r="R33" s="255"/>
      <c r="S33" s="311"/>
      <c r="T33" s="255"/>
      <c r="U33" s="255"/>
      <c r="V33" s="255"/>
      <c r="W33" s="255"/>
      <c r="X33" s="255"/>
      <c r="Y33" s="255"/>
      <c r="Z33" s="255"/>
      <c r="AA33" s="255"/>
    </row>
    <row r="34" spans="1:27" ht="12" customHeight="1">
      <c r="A34" s="255"/>
      <c r="B34" s="365"/>
      <c r="C34" s="255"/>
      <c r="D34" s="255"/>
      <c r="E34" s="321"/>
      <c r="F34" s="255"/>
      <c r="G34" s="255"/>
      <c r="H34" s="255"/>
      <c r="I34" s="255"/>
      <c r="J34" s="255"/>
      <c r="K34" s="255"/>
      <c r="L34" s="255"/>
      <c r="M34" s="255"/>
      <c r="N34" s="255"/>
      <c r="O34" s="255"/>
      <c r="P34" s="255"/>
      <c r="Q34" s="255"/>
      <c r="R34" s="255"/>
      <c r="S34" s="311"/>
      <c r="T34" s="255"/>
      <c r="U34" s="255"/>
      <c r="V34" s="255"/>
      <c r="W34" s="255"/>
      <c r="X34" s="255"/>
      <c r="Y34" s="255"/>
      <c r="Z34" s="255"/>
      <c r="AA34" s="255"/>
    </row>
    <row r="35" spans="1:27" ht="12" customHeight="1">
      <c r="A35" s="255"/>
      <c r="B35" s="365"/>
      <c r="C35" s="255"/>
      <c r="D35" s="255"/>
      <c r="E35" s="321"/>
      <c r="F35" s="255"/>
      <c r="G35" s="255"/>
      <c r="H35" s="255"/>
      <c r="I35" s="255"/>
      <c r="J35" s="255"/>
      <c r="K35" s="255"/>
      <c r="L35" s="255"/>
      <c r="M35" s="255"/>
      <c r="N35" s="255"/>
      <c r="O35" s="255"/>
      <c r="P35" s="255"/>
      <c r="Q35" s="255"/>
      <c r="R35" s="255"/>
      <c r="S35" s="311"/>
      <c r="T35" s="255"/>
      <c r="U35" s="255"/>
      <c r="V35" s="255"/>
      <c r="W35" s="255"/>
      <c r="X35" s="255"/>
      <c r="Y35" s="255"/>
      <c r="Z35" s="255"/>
      <c r="AA35" s="255"/>
    </row>
    <row r="36" spans="1:27" ht="12" customHeight="1">
      <c r="A36" s="255"/>
      <c r="B36" s="365"/>
      <c r="C36" s="255"/>
      <c r="D36" s="255"/>
      <c r="E36" s="321"/>
      <c r="F36" s="255"/>
      <c r="G36" s="255"/>
      <c r="H36" s="255"/>
      <c r="I36" s="255"/>
      <c r="J36" s="255"/>
      <c r="K36" s="255"/>
      <c r="L36" s="255"/>
      <c r="M36" s="255"/>
      <c r="N36" s="255"/>
      <c r="O36" s="255"/>
      <c r="P36" s="255"/>
      <c r="Q36" s="255"/>
      <c r="R36" s="255"/>
      <c r="S36" s="311"/>
      <c r="T36" s="255"/>
      <c r="U36" s="255"/>
      <c r="V36" s="255"/>
      <c r="W36" s="255"/>
      <c r="X36" s="255"/>
      <c r="Y36" s="255"/>
      <c r="Z36" s="255"/>
      <c r="AA36" s="255"/>
    </row>
    <row r="37" spans="1:27" ht="12" customHeight="1">
      <c r="A37" s="255"/>
      <c r="B37" s="365"/>
      <c r="C37" s="255"/>
      <c r="D37" s="255"/>
      <c r="E37" s="321"/>
      <c r="F37" s="255"/>
      <c r="G37" s="255"/>
      <c r="H37" s="255"/>
      <c r="I37" s="255"/>
      <c r="J37" s="255"/>
      <c r="K37" s="255"/>
      <c r="L37" s="255"/>
      <c r="M37" s="255"/>
      <c r="N37" s="255"/>
      <c r="O37" s="255"/>
      <c r="P37" s="255"/>
      <c r="Q37" s="255"/>
      <c r="R37" s="255"/>
      <c r="S37" s="311"/>
      <c r="T37" s="255"/>
      <c r="U37" s="255"/>
      <c r="V37" s="255"/>
      <c r="W37" s="255"/>
      <c r="X37" s="255"/>
      <c r="Y37" s="255"/>
      <c r="Z37" s="255"/>
      <c r="AA37" s="255"/>
    </row>
    <row r="38" spans="1:27" ht="12" customHeight="1">
      <c r="A38" s="255"/>
      <c r="B38" s="365"/>
      <c r="C38" s="255"/>
      <c r="D38" s="255"/>
      <c r="E38" s="321"/>
      <c r="F38" s="255"/>
      <c r="G38" s="255"/>
      <c r="H38" s="255"/>
      <c r="I38" s="255"/>
      <c r="J38" s="255"/>
      <c r="K38" s="255"/>
      <c r="L38" s="255"/>
      <c r="M38" s="255"/>
      <c r="N38" s="255"/>
      <c r="O38" s="255"/>
      <c r="P38" s="255"/>
      <c r="Q38" s="255"/>
      <c r="R38" s="255"/>
      <c r="S38" s="311"/>
      <c r="T38" s="255"/>
      <c r="U38" s="255"/>
      <c r="V38" s="255"/>
      <c r="W38" s="255"/>
      <c r="X38" s="255"/>
      <c r="Y38" s="255"/>
      <c r="Z38" s="255"/>
      <c r="AA38" s="255"/>
    </row>
    <row r="39" spans="1:27" ht="12" customHeight="1">
      <c r="A39" s="255"/>
      <c r="B39" s="365"/>
      <c r="C39" s="255"/>
      <c r="D39" s="255"/>
      <c r="E39" s="321"/>
      <c r="F39" s="255"/>
      <c r="G39" s="255"/>
      <c r="H39" s="255"/>
      <c r="I39" s="255"/>
      <c r="J39" s="255"/>
      <c r="K39" s="255"/>
      <c r="L39" s="255"/>
      <c r="M39" s="255"/>
      <c r="N39" s="255"/>
      <c r="O39" s="255"/>
      <c r="P39" s="255"/>
      <c r="Q39" s="255"/>
      <c r="R39" s="255"/>
      <c r="S39" s="311"/>
      <c r="T39" s="255"/>
      <c r="U39" s="255"/>
      <c r="V39" s="255"/>
      <c r="W39" s="255"/>
      <c r="X39" s="255"/>
      <c r="Y39" s="255"/>
      <c r="Z39" s="255"/>
      <c r="AA39" s="255"/>
    </row>
    <row r="40" spans="1:27" ht="12" customHeight="1">
      <c r="A40" s="255"/>
      <c r="B40" s="365"/>
      <c r="C40" s="255"/>
      <c r="D40" s="255"/>
      <c r="E40" s="321"/>
      <c r="F40" s="255"/>
      <c r="G40" s="255"/>
      <c r="H40" s="255"/>
      <c r="I40" s="255"/>
      <c r="J40" s="255"/>
      <c r="K40" s="255"/>
      <c r="L40" s="255"/>
      <c r="M40" s="255"/>
      <c r="N40" s="255"/>
      <c r="O40" s="255"/>
      <c r="P40" s="255"/>
      <c r="Q40" s="255"/>
      <c r="R40" s="255"/>
      <c r="S40" s="311"/>
      <c r="T40" s="255"/>
      <c r="U40" s="255"/>
      <c r="V40" s="255"/>
      <c r="W40" s="255"/>
      <c r="X40" s="255"/>
      <c r="Y40" s="255"/>
      <c r="Z40" s="255"/>
      <c r="AA40" s="255"/>
    </row>
    <row r="41" spans="1:27" ht="12" customHeight="1">
      <c r="A41" s="255"/>
      <c r="B41" s="365"/>
      <c r="C41" s="255"/>
      <c r="D41" s="255"/>
      <c r="E41" s="321"/>
      <c r="F41" s="255"/>
      <c r="G41" s="255"/>
      <c r="H41" s="255"/>
      <c r="I41" s="255"/>
      <c r="J41" s="255"/>
      <c r="K41" s="255"/>
      <c r="L41" s="255"/>
      <c r="M41" s="255"/>
      <c r="N41" s="255"/>
      <c r="O41" s="255"/>
      <c r="P41" s="255"/>
      <c r="Q41" s="255"/>
      <c r="R41" s="255"/>
      <c r="S41" s="311"/>
      <c r="T41" s="255"/>
      <c r="U41" s="255"/>
      <c r="V41" s="255"/>
      <c r="W41" s="255"/>
      <c r="X41" s="255"/>
      <c r="Y41" s="255"/>
      <c r="Z41" s="255"/>
      <c r="AA41" s="255"/>
    </row>
    <row r="42" spans="1:27" ht="12" customHeight="1">
      <c r="A42" s="255"/>
      <c r="B42" s="365"/>
      <c r="C42" s="255"/>
      <c r="D42" s="255"/>
      <c r="E42" s="321"/>
      <c r="F42" s="255"/>
      <c r="G42" s="255"/>
      <c r="H42" s="255"/>
      <c r="I42" s="255"/>
      <c r="J42" s="255"/>
      <c r="K42" s="255"/>
      <c r="L42" s="255"/>
      <c r="M42" s="255"/>
      <c r="N42" s="255"/>
      <c r="O42" s="255"/>
      <c r="P42" s="255"/>
      <c r="Q42" s="255"/>
      <c r="R42" s="255"/>
      <c r="S42" s="311"/>
      <c r="T42" s="255"/>
      <c r="U42" s="255"/>
      <c r="V42" s="255"/>
      <c r="W42" s="255"/>
      <c r="X42" s="255"/>
      <c r="Y42" s="255"/>
      <c r="Z42" s="255"/>
      <c r="AA42" s="255"/>
    </row>
    <row r="43" spans="1:27" ht="12" customHeight="1">
      <c r="A43" s="255"/>
      <c r="B43" s="365"/>
      <c r="C43" s="255"/>
      <c r="D43" s="255"/>
      <c r="E43" s="321"/>
      <c r="F43" s="255"/>
      <c r="G43" s="255"/>
      <c r="H43" s="255"/>
      <c r="I43" s="255"/>
      <c r="J43" s="255"/>
      <c r="K43" s="255"/>
      <c r="L43" s="255"/>
      <c r="M43" s="255"/>
      <c r="N43" s="255"/>
      <c r="O43" s="255"/>
      <c r="P43" s="255"/>
      <c r="Q43" s="255"/>
      <c r="R43" s="255"/>
      <c r="S43" s="311"/>
      <c r="T43" s="255"/>
      <c r="U43" s="255"/>
      <c r="V43" s="255"/>
      <c r="W43" s="255"/>
      <c r="X43" s="255"/>
      <c r="Y43" s="255"/>
      <c r="Z43" s="255"/>
      <c r="AA43" s="255"/>
    </row>
    <row r="44" spans="1:27" ht="12" customHeight="1"/>
    <row r="45" spans="1:27" ht="12" customHeight="1"/>
    <row r="46" spans="1:27" ht="12" customHeight="1"/>
    <row r="47" spans="1:27" ht="12" customHeight="1"/>
    <row r="48" spans="1:27"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D12 D16 H6 H14 L10 L20">
    <cfRule type="expression" dxfId="21" priority="1">
      <formula>IF(N(M10)&gt;N(M11),TRUE,FALSE)</formula>
    </cfRule>
  </conditionalFormatting>
  <conditionalFormatting sqref="C4 C8 C12 C16 G6 G14 K10 K20">
    <cfRule type="expression" dxfId="20" priority="2">
      <formula>IF(N(E4)&gt;N(E5),TRUE,FALSE)</formula>
    </cfRule>
  </conditionalFormatting>
  <conditionalFormatting sqref="E4 E8 E12 E16 I6 I14 M10 M20">
    <cfRule type="expression" dxfId="19" priority="3">
      <formula>IF(N(I6)&gt;N(I7),TRUE,FALSE)</formula>
    </cfRule>
  </conditionalFormatting>
  <conditionalFormatting sqref="C5 C9 C13 C17 G7 G15 K11 K21">
    <cfRule type="expression" dxfId="18" priority="4">
      <formula>IF(N(E5)&gt;N(E4),TRUE,FALSE)</formula>
    </cfRule>
  </conditionalFormatting>
  <conditionalFormatting sqref="H7 H15 L11 L21">
    <cfRule type="expression" dxfId="17" priority="5">
      <formula>IF(N(M21)&gt;N(M20),TRUE,FALSE)</formula>
    </cfRule>
  </conditionalFormatting>
  <conditionalFormatting sqref="E5 E9 E13 E17 I7 I15 M11 M21">
    <cfRule type="expression" dxfId="16" priority="6">
      <formula>IF(N(I7)&gt;N(I6),TRUE,FALSE)</formula>
    </cfRule>
  </conditionalFormatting>
  <conditionalFormatting sqref="D5 D9 D13 D17">
    <cfRule type="expression" dxfId="15" priority="7">
      <formula>IF(N(E5)&gt;N(E4),TRUE,FALSE)</formula>
    </cfRule>
  </conditionalFormatting>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375" defaultRowHeight="15" customHeight="1"/>
  <cols>
    <col min="1" max="1" width="6.375" hidden="1" customWidth="1"/>
    <col min="2" max="2" width="1.75" customWidth="1"/>
    <col min="3" max="3" width="5.375" customWidth="1"/>
    <col min="4" max="4" width="28.375" customWidth="1"/>
    <col min="5" max="5" width="5" customWidth="1"/>
    <col min="6" max="6" width="2.375" customWidth="1"/>
    <col min="7" max="7" width="0.25" customWidth="1"/>
    <col min="8" max="8" width="28.375" customWidth="1"/>
    <col min="9" max="9" width="5" customWidth="1"/>
    <col min="10" max="10" width="2.375" customWidth="1"/>
    <col min="11" max="11" width="0.375" customWidth="1"/>
    <col min="12" max="12" width="28.375" customWidth="1"/>
    <col min="13" max="13" width="5" customWidth="1"/>
    <col min="14" max="14" width="2.375" customWidth="1"/>
    <col min="15" max="15" width="5.375" customWidth="1"/>
    <col min="16" max="16" width="22.875" customWidth="1"/>
    <col min="17" max="17" width="5" customWidth="1"/>
    <col min="18" max="18" width="2.375" customWidth="1"/>
    <col min="19" max="19" width="5.375" customWidth="1"/>
    <col min="20" max="20" width="25.375" customWidth="1"/>
    <col min="21" max="21" width="5" customWidth="1"/>
    <col min="22" max="30" width="8" customWidth="1"/>
  </cols>
  <sheetData>
    <row r="1" spans="1:30" ht="12" customHeight="1">
      <c r="B1" s="268"/>
      <c r="C1" s="288"/>
      <c r="D1" s="288"/>
      <c r="E1" s="288"/>
      <c r="F1" s="288"/>
      <c r="G1" s="288"/>
      <c r="H1" s="288"/>
      <c r="I1" s="288"/>
      <c r="J1" s="288"/>
      <c r="K1" s="288"/>
      <c r="L1" s="288"/>
      <c r="M1" s="288"/>
      <c r="N1" s="288"/>
      <c r="O1" s="288"/>
      <c r="P1" s="288"/>
      <c r="R1" s="255"/>
      <c r="S1" s="255"/>
      <c r="T1" s="255"/>
      <c r="U1" s="255"/>
      <c r="V1" s="293"/>
      <c r="W1" s="255"/>
      <c r="X1" s="255"/>
      <c r="Y1" s="255"/>
      <c r="Z1" s="293"/>
      <c r="AA1" s="255"/>
    </row>
    <row r="2" spans="1:30" ht="32.25" customHeight="1">
      <c r="A2" s="289"/>
      <c r="B2" s="365"/>
      <c r="C2" s="291">
        <v>8</v>
      </c>
      <c r="D2" s="395" t="s">
        <v>1898</v>
      </c>
      <c r="E2" s="293"/>
      <c r="F2" s="255"/>
      <c r="G2" s="255"/>
      <c r="H2" s="269"/>
      <c r="I2" s="255"/>
      <c r="J2" s="255"/>
      <c r="K2" s="255"/>
      <c r="L2" s="255"/>
      <c r="M2" s="255"/>
      <c r="N2" s="255"/>
      <c r="O2" s="255"/>
      <c r="P2" s="255"/>
      <c r="Q2" s="255"/>
      <c r="R2" s="255"/>
      <c r="S2" s="255"/>
      <c r="T2" s="255"/>
      <c r="U2" s="255"/>
      <c r="V2" s="293"/>
      <c r="W2" s="255"/>
      <c r="X2" s="255"/>
      <c r="Y2" s="255"/>
      <c r="Z2" s="293"/>
      <c r="AA2" s="255"/>
    </row>
    <row r="3" spans="1:30" ht="28.5" customHeight="1">
      <c r="A3" s="255"/>
      <c r="B3" s="296"/>
      <c r="C3" s="301"/>
      <c r="D3" s="298" t="s">
        <v>1887</v>
      </c>
      <c r="E3" s="299">
        <v>13</v>
      </c>
      <c r="F3" s="300"/>
      <c r="G3" s="301"/>
      <c r="H3" s="304"/>
      <c r="I3" s="303"/>
      <c r="J3" s="300"/>
      <c r="K3" s="300"/>
      <c r="L3" s="304"/>
      <c r="M3" s="303"/>
      <c r="N3" s="300"/>
      <c r="O3" s="300"/>
      <c r="P3" s="304"/>
      <c r="Q3" s="303"/>
      <c r="R3" s="255"/>
      <c r="S3" s="255"/>
      <c r="T3" s="255"/>
      <c r="U3" s="255"/>
      <c r="V3" s="293"/>
      <c r="W3" s="255"/>
      <c r="X3" s="255"/>
      <c r="Y3" s="255"/>
      <c r="Z3" s="293"/>
      <c r="AA3" s="255"/>
    </row>
    <row r="4" spans="1:30" ht="18" customHeight="1">
      <c r="A4" s="305" t="str">
        <f>VLOOKUP(C4,Postupy!$A$3:$C$34,3,0)</f>
        <v>H1</v>
      </c>
      <c r="B4" s="408"/>
      <c r="C4" s="307">
        <v>8</v>
      </c>
      <c r="D4" s="373" t="str">
        <f ca="1">IF(OR(TRIM('KO8'!D4)="-",TRIM('KO8'!D5)="-"),IF(TRIM('KO8'!D4)="-",'KO8'!D4,'KO8'!D5),IF(AND('KO8'!E4="",'KO8'!E5="")," ",IF(N('KO8'!E4)=N('KO8'!E5)," ",IF(N('KO8'!E4)&gt;N('KO8'!E5),'KO8'!D5,'KO8'!D4))))</f>
        <v>Carreau Brno - Grepl Jiří</v>
      </c>
      <c r="E4" s="309">
        <v>6</v>
      </c>
      <c r="F4" s="310"/>
      <c r="G4" s="255"/>
      <c r="H4" s="383"/>
      <c r="I4" s="255"/>
      <c r="J4" s="255"/>
      <c r="K4" s="255"/>
      <c r="L4" s="317"/>
      <c r="M4" s="255"/>
      <c r="N4" s="255"/>
      <c r="O4" s="255"/>
      <c r="P4" s="255"/>
      <c r="Q4" s="255"/>
      <c r="R4" s="255"/>
      <c r="S4" s="255"/>
      <c r="T4" s="311"/>
      <c r="U4" s="255"/>
      <c r="V4" s="255"/>
      <c r="W4" s="255"/>
      <c r="X4" s="255"/>
      <c r="Y4" s="255"/>
      <c r="Z4" s="255"/>
      <c r="AA4" s="255"/>
      <c r="AB4" s="255"/>
    </row>
    <row r="5" spans="1:30" ht="18" customHeight="1">
      <c r="A5" s="305" t="str">
        <f>VLOOKUP(C5,Postupy!$A$3:$C$34,3,0)</f>
        <v>E1</v>
      </c>
      <c r="B5" s="409"/>
      <c r="C5" s="312">
        <v>5</v>
      </c>
      <c r="D5" s="399" t="str">
        <f ca="1">IF(OR(TRIM('KO8'!D8)="-",TRIM('KO8'!D9)="-"),IF(TRIM('KO8'!D8)="-",'KO8'!D8,'KO8'!D9),IF(AND('KO8'!E8="",'KO8'!E9="")," ",IF(N('KO8'!E8)=N('KO8'!E9)," ",IF(N('KO8'!E8)&gt;N('KO8'!E9),'KO8'!D9,'KO8'!D8))))</f>
        <v>SKP Hranice VI-Valšovice - Jakeš Zbyněk</v>
      </c>
      <c r="E5" s="314">
        <v>13</v>
      </c>
      <c r="F5" s="315"/>
      <c r="G5" s="326"/>
      <c r="H5" s="400" t="s">
        <v>1899</v>
      </c>
      <c r="I5" s="299">
        <v>12</v>
      </c>
      <c r="J5" s="255"/>
      <c r="K5" s="255"/>
      <c r="L5" s="317"/>
      <c r="M5" s="255"/>
      <c r="N5" s="255"/>
      <c r="O5" s="255"/>
      <c r="P5" s="255"/>
      <c r="Q5" s="255"/>
      <c r="R5" s="255"/>
      <c r="S5" s="255"/>
      <c r="T5" s="311"/>
      <c r="U5" s="255"/>
      <c r="V5" s="255"/>
      <c r="W5" s="255"/>
      <c r="X5" s="255"/>
      <c r="Y5" s="255"/>
      <c r="Z5" s="255"/>
      <c r="AA5" s="255"/>
      <c r="AB5" s="255"/>
    </row>
    <row r="6" spans="1:30" ht="18" customHeight="1">
      <c r="A6" s="318"/>
      <c r="B6" s="365"/>
      <c r="C6" s="255"/>
      <c r="D6" s="385"/>
      <c r="E6" s="255"/>
      <c r="F6" s="255"/>
      <c r="G6" s="307">
        <v>5</v>
      </c>
      <c r="H6" s="308" t="str">
        <f ca="1">IF(OR(TRIM(D4)="-",TRIM(D5)="-"),IF(TRIM(D4)="-",D5,D4),IF(AND(E4="",E5="")," ",IF(N(E4)=N(E5)," ",IF(N(E4)&gt;N(E5),D4,D5))))</f>
        <v>SKP Hranice VI-Valšovice - Jakeš Zbyněk</v>
      </c>
      <c r="I6" s="309">
        <v>1</v>
      </c>
      <c r="J6" s="328"/>
      <c r="K6" s="364">
        <v>5</v>
      </c>
      <c r="L6" s="363" t="str">
        <f ca="1">IF(AND(I6="",I7="")," ",IF(N(I6)=N(I7)," ",IF(N(I6)&gt;N(I7),H6,H7)))</f>
        <v>SKP Hranice VI-Valšovice - Jakeš Zbyněk</v>
      </c>
      <c r="M6" s="364">
        <v>5</v>
      </c>
      <c r="N6" s="255"/>
      <c r="O6" s="255"/>
      <c r="P6" s="311"/>
      <c r="Q6" s="255"/>
      <c r="R6" s="255"/>
      <c r="S6" s="255"/>
      <c r="T6" s="255"/>
      <c r="U6" s="255"/>
      <c r="V6" s="293"/>
      <c r="W6" s="255"/>
      <c r="X6" s="255"/>
      <c r="Y6" s="255"/>
      <c r="Z6" s="293"/>
      <c r="AA6" s="255"/>
      <c r="AB6" s="255"/>
      <c r="AC6" s="255"/>
      <c r="AD6" s="311"/>
    </row>
    <row r="7" spans="1:30" ht="18" customHeight="1">
      <c r="A7" s="323"/>
      <c r="B7" s="296"/>
      <c r="C7" s="255"/>
      <c r="D7" s="298" t="s">
        <v>1887</v>
      </c>
      <c r="E7" s="299">
        <v>11</v>
      </c>
      <c r="F7" s="255"/>
      <c r="G7" s="312">
        <v>6</v>
      </c>
      <c r="H7" s="313" t="str">
        <f ca="1">IF(OR(TRIM(D8)="-",TRIM(D9)="-"),IF(TRIM(D8)="-",D9,D8),IF(AND(E8="",E9="")," ",IF(N(E8)=N(E9)," ",IF(N(E8)&gt;N(E9),D8,D9))))</f>
        <v>PLUK Jablonec - Lukáš Vojtěch</v>
      </c>
      <c r="I7" s="314"/>
      <c r="J7" s="315"/>
      <c r="K7" s="410">
        <v>6</v>
      </c>
      <c r="L7" s="367" t="str">
        <f ca="1">IF(AND(I6="",I7="")," ",IF(N(I7)=N(I6)," ",IF(N(I7)&gt;N(I6),H6,H7)))</f>
        <v>PLUK Jablonec - Lukáš Vojtěch</v>
      </c>
      <c r="M7" s="368">
        <v>6</v>
      </c>
      <c r="N7" s="255"/>
      <c r="O7" s="255"/>
      <c r="P7" s="255"/>
      <c r="Q7" s="255"/>
      <c r="R7" s="255"/>
      <c r="S7" s="255"/>
      <c r="T7" s="255"/>
      <c r="U7" s="255"/>
      <c r="V7" s="293"/>
      <c r="W7" s="255"/>
      <c r="X7" s="255"/>
      <c r="Y7" s="255"/>
      <c r="Z7" s="293"/>
      <c r="AA7" s="255"/>
      <c r="AB7" s="255"/>
      <c r="AC7" s="255"/>
      <c r="AD7" s="255"/>
    </row>
    <row r="8" spans="1:30" ht="18" customHeight="1">
      <c r="A8" s="305" t="e">
        <f>VLOOKUP(C50,Postupy!$A$3:$C$34,3,0)</f>
        <v>#N/A</v>
      </c>
      <c r="B8" s="408"/>
      <c r="C8" s="307">
        <v>6</v>
      </c>
      <c r="D8" s="373" t="str">
        <f ca="1">IF(OR(TRIM('KO8'!D12)="-",TRIM('KO8'!D13)="-"),IF(TRIM('KO8'!D12)="-",'KO8'!D12,'KO8'!D13),IF(AND('KO8'!E12="",'KO8'!E13="")," ",IF(N('KO8'!E12)=N('KO8'!E13)," ",IF(N('KO8'!E12)&gt;N('KO8'!E13),'KO8'!D13,'KO8'!D12))))</f>
        <v>HRODE KRUMSÍN - Krpec Miroslav</v>
      </c>
      <c r="E8" s="309">
        <v>12</v>
      </c>
      <c r="F8" s="328"/>
      <c r="G8" s="326"/>
      <c r="H8" s="385"/>
      <c r="I8" s="293"/>
      <c r="J8" s="255"/>
      <c r="K8" s="255"/>
      <c r="L8" s="387"/>
      <c r="M8" s="343"/>
      <c r="N8" s="311"/>
      <c r="O8" s="255"/>
      <c r="P8" s="311"/>
      <c r="Q8" s="255"/>
      <c r="R8" s="255"/>
      <c r="S8" s="255"/>
      <c r="T8" s="255"/>
      <c r="U8" s="255"/>
      <c r="V8" s="293"/>
      <c r="W8" s="255"/>
      <c r="X8" s="255"/>
      <c r="Y8" s="255"/>
      <c r="Z8" s="293"/>
      <c r="AA8" s="255"/>
      <c r="AB8" s="255"/>
      <c r="AC8" s="255"/>
      <c r="AD8" s="255"/>
    </row>
    <row r="9" spans="1:30" ht="18" customHeight="1">
      <c r="A9" s="305" t="e">
        <f>VLOOKUP(C51,Postupy!$A$3:$C$34,3,0)</f>
        <v>#N/A</v>
      </c>
      <c r="B9" s="296"/>
      <c r="C9" s="312">
        <v>7</v>
      </c>
      <c r="D9" s="399" t="str">
        <f ca="1">IF(OR(TRIM('KO8'!D16)="-",TRIM('KO8'!D17)="-"),IF(TRIM('KO8'!D16)="-",'KO8'!D16,'KO8'!D17),IF(AND('KO8'!E16="",'KO8'!E17="")," ",IF(N('KO8'!E16)=N('KO8'!E17)," ",IF(N('KO8'!E16)&gt;N('KO8'!E17),'KO8'!D17,'KO8'!D16))))</f>
        <v>PLUK Jablonec - Lukáš Vojtěch</v>
      </c>
      <c r="E9" s="314">
        <v>13</v>
      </c>
      <c r="F9" s="268"/>
      <c r="G9" s="255"/>
      <c r="H9" s="385"/>
      <c r="I9" s="255"/>
      <c r="J9" s="388"/>
      <c r="K9" s="388"/>
      <c r="L9" s="388"/>
      <c r="M9" s="388"/>
      <c r="N9" s="388"/>
      <c r="O9" s="388"/>
      <c r="P9" s="388"/>
      <c r="Q9" s="388"/>
      <c r="R9" s="255"/>
      <c r="S9" s="255"/>
      <c r="T9" s="311"/>
      <c r="U9" s="255"/>
      <c r="V9" s="255"/>
      <c r="W9" s="255"/>
      <c r="X9" s="255"/>
      <c r="Y9" s="255"/>
      <c r="Z9" s="255"/>
      <c r="AA9" s="255"/>
      <c r="AB9" s="255"/>
    </row>
    <row r="10" spans="1:30" ht="14.25" customHeight="1">
      <c r="A10" s="255"/>
      <c r="B10" s="386"/>
      <c r="C10" s="387"/>
      <c r="D10" s="388"/>
      <c r="E10" s="255"/>
      <c r="F10" s="255"/>
      <c r="G10" s="255"/>
      <c r="H10" s="389"/>
      <c r="I10" s="311"/>
      <c r="J10" s="390"/>
      <c r="K10" s="390"/>
      <c r="L10" s="390"/>
      <c r="M10" s="390"/>
      <c r="N10" s="390"/>
      <c r="O10" s="390"/>
      <c r="P10" s="390"/>
      <c r="Q10" s="390"/>
      <c r="R10" s="255"/>
      <c r="S10" s="311"/>
      <c r="T10" s="255"/>
      <c r="U10" s="255"/>
      <c r="V10" s="255"/>
      <c r="W10" s="255"/>
      <c r="X10" s="255"/>
      <c r="Y10" s="255"/>
      <c r="Z10" s="255"/>
      <c r="AA10" s="255"/>
    </row>
    <row r="11" spans="1:30" ht="14.25" customHeight="1">
      <c r="A11" s="255"/>
      <c r="B11" s="365"/>
      <c r="C11" s="255"/>
      <c r="D11" s="385"/>
      <c r="E11" s="255"/>
      <c r="F11" s="255"/>
      <c r="G11" s="255"/>
      <c r="H11" s="400" t="s">
        <v>1900</v>
      </c>
      <c r="I11" s="299">
        <v>18</v>
      </c>
      <c r="J11" s="390"/>
      <c r="K11" s="390"/>
      <c r="L11" s="390"/>
      <c r="M11" s="390"/>
      <c r="N11" s="390"/>
      <c r="O11" s="390"/>
      <c r="P11" s="390"/>
      <c r="Q11" s="390"/>
      <c r="R11" s="255"/>
      <c r="S11" s="255"/>
      <c r="T11" s="255"/>
      <c r="U11" s="255"/>
      <c r="V11" s="255"/>
      <c r="W11" s="255"/>
      <c r="X11" s="255"/>
      <c r="Y11" s="293"/>
      <c r="Z11" s="255"/>
      <c r="AA11" s="255"/>
      <c r="AB11" s="255"/>
      <c r="AC11" s="311"/>
    </row>
    <row r="12" spans="1:30" ht="18" customHeight="1">
      <c r="A12" s="255"/>
      <c r="B12" s="296"/>
      <c r="C12" s="269"/>
      <c r="D12" s="402"/>
      <c r="E12" s="255"/>
      <c r="F12" s="255"/>
      <c r="G12" s="307">
        <v>7</v>
      </c>
      <c r="H12" s="308" t="str">
        <f ca="1">IF(OR(TRIM(D4)="-",TRIM(D5)="-"),IF(TRIM(D4)="-",D5,D4),IF(AND(E4="",E5="")," ",IF(N(E4)=N(E5)," ",IF(N(E5)&gt;N(E4),D4,D5))))</f>
        <v>Carreau Brno - Grepl Jiří</v>
      </c>
      <c r="I12" s="309"/>
      <c r="J12" s="328"/>
      <c r="K12" s="368">
        <v>7</v>
      </c>
      <c r="L12" s="367" t="str">
        <f ca="1">IF(AND(I12="",I13="")," ",IF(N(I12)=N(I13)," ",IF(N(I12)&gt;N(I13),H12,H13)))</f>
        <v>HRODE KRUMSÍN - Krpec Miroslav</v>
      </c>
      <c r="M12" s="368">
        <v>7</v>
      </c>
      <c r="N12" s="255"/>
      <c r="O12" s="255"/>
      <c r="P12" s="311"/>
      <c r="Q12" s="392"/>
      <c r="R12" s="392"/>
      <c r="S12" s="392"/>
      <c r="T12" s="392"/>
      <c r="U12" s="392"/>
      <c r="V12" s="255"/>
      <c r="W12" s="255"/>
      <c r="X12" s="255"/>
      <c r="Y12" s="255"/>
      <c r="Z12" s="255"/>
      <c r="AA12" s="255"/>
    </row>
    <row r="13" spans="1:30" ht="18" customHeight="1">
      <c r="A13" s="255"/>
      <c r="B13" s="386"/>
      <c r="C13" s="403"/>
      <c r="D13" s="404"/>
      <c r="E13" s="336"/>
      <c r="F13" s="255"/>
      <c r="G13" s="312">
        <v>8</v>
      </c>
      <c r="H13" s="313" t="str">
        <f ca="1">IF(OR(TRIM(D8)="-",TRIM(D9)="-"),IF(TRIM(D8)="-",D9,D8),IF(AND(E8="",E9="")," ",IF(N(E8)=N(E9)," ",IF(N(E9)&gt;N(E8),D8,D9))))</f>
        <v>HRODE KRUMSÍN - Krpec Miroslav</v>
      </c>
      <c r="I13" s="314">
        <v>1</v>
      </c>
      <c r="J13" s="315"/>
      <c r="K13" s="410">
        <v>8</v>
      </c>
      <c r="L13" s="367" t="str">
        <f ca="1">IF(AND(I12="",I13="")," ",IF(N(I13)=N(I12)," ",IF(N(I13)&gt;N(I12),H12,H13)))</f>
        <v>Carreau Brno - Grepl Jiří</v>
      </c>
      <c r="M13" s="368">
        <v>8</v>
      </c>
      <c r="N13" s="255"/>
      <c r="O13" s="255"/>
      <c r="P13" s="311"/>
      <c r="Q13" s="255"/>
      <c r="R13" s="255"/>
      <c r="S13" s="311"/>
      <c r="T13" s="255"/>
      <c r="U13" s="255"/>
      <c r="V13" s="255"/>
      <c r="W13" s="255"/>
      <c r="X13" s="255"/>
      <c r="Y13" s="255"/>
      <c r="Z13" s="255"/>
      <c r="AA13" s="255"/>
    </row>
    <row r="14" spans="1:30" ht="12" customHeight="1">
      <c r="A14" s="255"/>
      <c r="B14" s="386"/>
      <c r="C14" s="405"/>
      <c r="D14" s="406"/>
      <c r="E14" s="255"/>
      <c r="F14" s="255"/>
      <c r="G14" s="255"/>
      <c r="H14" s="356"/>
      <c r="I14" s="255"/>
      <c r="J14" s="255"/>
      <c r="K14" s="255"/>
      <c r="L14" s="255"/>
      <c r="M14" s="255"/>
      <c r="N14" s="255"/>
      <c r="O14" s="255"/>
      <c r="P14" s="311"/>
      <c r="Q14" s="255"/>
      <c r="R14" s="255"/>
      <c r="S14" s="311"/>
      <c r="T14" s="255"/>
      <c r="U14" s="255"/>
      <c r="V14" s="255"/>
      <c r="W14" s="255"/>
      <c r="X14" s="255"/>
      <c r="Y14" s="255"/>
      <c r="Z14" s="255"/>
      <c r="AA14" s="255"/>
    </row>
    <row r="15" spans="1:30" ht="12" customHeight="1">
      <c r="A15" s="255"/>
      <c r="B15" s="365"/>
      <c r="C15" s="255"/>
      <c r="D15" s="255"/>
      <c r="E15" s="255"/>
      <c r="F15" s="255"/>
      <c r="G15" s="255"/>
      <c r="H15" s="255"/>
      <c r="I15" s="255"/>
      <c r="J15" s="255"/>
      <c r="K15" s="255"/>
      <c r="L15" s="255"/>
      <c r="M15" s="255"/>
      <c r="N15" s="255"/>
      <c r="O15" s="255"/>
      <c r="P15" s="311"/>
      <c r="Q15" s="255"/>
      <c r="R15" s="255"/>
      <c r="S15" s="311"/>
      <c r="T15" s="255"/>
      <c r="U15" s="255"/>
      <c r="V15" s="255"/>
      <c r="W15" s="255"/>
      <c r="X15" s="255"/>
      <c r="Y15" s="255"/>
      <c r="Z15" s="255"/>
      <c r="AA15" s="255"/>
    </row>
    <row r="16" spans="1:30" ht="13.5" customHeight="1">
      <c r="A16" s="255"/>
      <c r="B16" s="365"/>
      <c r="C16" s="255"/>
      <c r="D16" s="255"/>
      <c r="E16" s="321"/>
      <c r="F16" s="255"/>
      <c r="G16" s="255"/>
      <c r="H16" s="255"/>
      <c r="I16" s="255"/>
      <c r="J16" s="255"/>
      <c r="K16" s="255"/>
      <c r="L16" s="255"/>
      <c r="M16" s="255"/>
      <c r="N16" s="255"/>
      <c r="O16" s="255"/>
      <c r="P16" s="311"/>
      <c r="Q16" s="392"/>
      <c r="R16" s="255"/>
      <c r="S16" s="311"/>
      <c r="T16" s="255"/>
      <c r="U16" s="255"/>
      <c r="V16" s="255"/>
      <c r="W16" s="255"/>
      <c r="X16" s="255"/>
      <c r="Y16" s="255"/>
      <c r="Z16" s="255"/>
      <c r="AA16" s="255"/>
    </row>
    <row r="17" spans="1:27" ht="12" customHeight="1">
      <c r="A17" s="255"/>
      <c r="B17" s="296"/>
      <c r="C17" s="255"/>
      <c r="D17" s="311"/>
      <c r="E17" s="255"/>
      <c r="F17" s="255"/>
      <c r="G17" s="255"/>
      <c r="H17" s="255"/>
      <c r="I17" s="255"/>
      <c r="J17" s="255"/>
      <c r="K17" s="255"/>
      <c r="L17" s="255"/>
      <c r="M17" s="255"/>
      <c r="N17" s="255"/>
      <c r="O17" s="255"/>
      <c r="P17" s="255"/>
      <c r="Q17" s="255"/>
      <c r="R17" s="255"/>
      <c r="S17" s="311"/>
      <c r="T17" s="255"/>
      <c r="U17" s="255"/>
      <c r="V17" s="255"/>
      <c r="W17" s="255"/>
      <c r="X17" s="255"/>
      <c r="Y17" s="255"/>
      <c r="Z17" s="255"/>
      <c r="AA17" s="255"/>
    </row>
    <row r="18" spans="1:27" ht="12" customHeight="1">
      <c r="A18" s="255"/>
      <c r="B18" s="407"/>
      <c r="C18" s="255"/>
      <c r="D18" s="411"/>
      <c r="E18" s="255"/>
      <c r="F18" s="255"/>
      <c r="G18" s="255"/>
      <c r="H18" s="255"/>
      <c r="I18" s="255"/>
      <c r="J18" s="255"/>
      <c r="K18" s="255"/>
      <c r="L18" s="255"/>
      <c r="M18" s="255"/>
      <c r="N18" s="255"/>
      <c r="O18" s="255"/>
      <c r="P18" s="255"/>
      <c r="Q18" s="255"/>
      <c r="R18" s="255"/>
      <c r="S18" s="311"/>
      <c r="T18" s="255"/>
      <c r="U18" s="255"/>
      <c r="V18" s="255"/>
      <c r="W18" s="255"/>
      <c r="X18" s="255"/>
      <c r="Y18" s="255"/>
      <c r="Z18" s="255"/>
      <c r="AA18" s="255"/>
    </row>
    <row r="19" spans="1:27" ht="12" customHeight="1">
      <c r="A19" s="255"/>
      <c r="B19" s="407"/>
      <c r="C19" s="255"/>
      <c r="D19" s="255"/>
      <c r="E19" s="255"/>
      <c r="F19" s="255"/>
      <c r="G19" s="255"/>
      <c r="H19" s="255"/>
      <c r="I19" s="255"/>
      <c r="J19" s="255"/>
      <c r="K19" s="255"/>
      <c r="L19" s="255"/>
      <c r="M19" s="255"/>
      <c r="N19" s="255"/>
      <c r="O19" s="255"/>
      <c r="P19" s="255"/>
      <c r="Q19" s="255"/>
      <c r="R19" s="255"/>
      <c r="S19" s="311"/>
      <c r="T19" s="255"/>
      <c r="U19" s="255"/>
      <c r="V19" s="255"/>
      <c r="W19" s="255"/>
      <c r="X19" s="255"/>
      <c r="Y19" s="255"/>
      <c r="Z19" s="255"/>
      <c r="AA19" s="255"/>
    </row>
    <row r="20" spans="1:27" ht="13.5" customHeight="1">
      <c r="A20" s="255"/>
      <c r="B20" s="412"/>
      <c r="C20" s="269"/>
      <c r="D20" s="402"/>
      <c r="E20" s="255"/>
      <c r="F20" s="255"/>
      <c r="G20" s="255"/>
      <c r="H20" s="392"/>
      <c r="I20" s="255"/>
      <c r="J20" s="255"/>
      <c r="K20" s="255"/>
      <c r="L20" s="255"/>
      <c r="M20" s="255"/>
      <c r="N20" s="255"/>
      <c r="O20" s="255"/>
      <c r="P20" s="311"/>
      <c r="Q20" s="392"/>
      <c r="R20" s="392"/>
      <c r="S20" s="392"/>
      <c r="T20" s="392"/>
      <c r="U20" s="392"/>
      <c r="V20" s="255"/>
      <c r="W20" s="255"/>
      <c r="X20" s="255"/>
      <c r="Y20" s="255"/>
      <c r="Z20" s="255"/>
      <c r="AA20" s="255"/>
    </row>
    <row r="21" spans="1:27" ht="13.5" customHeight="1">
      <c r="A21" s="255"/>
      <c r="B21" s="412"/>
      <c r="C21" s="269"/>
      <c r="D21" s="402"/>
      <c r="E21" s="255"/>
      <c r="F21" s="255"/>
      <c r="G21" s="255"/>
      <c r="H21" s="392"/>
      <c r="I21" s="255"/>
      <c r="J21" s="255"/>
      <c r="K21" s="255"/>
      <c r="L21" s="255"/>
      <c r="M21" s="255"/>
      <c r="N21" s="255"/>
      <c r="O21" s="255"/>
      <c r="P21" s="311"/>
      <c r="Q21" s="392"/>
      <c r="R21" s="392"/>
      <c r="S21" s="392"/>
      <c r="T21" s="392"/>
      <c r="U21" s="392"/>
      <c r="V21" s="255"/>
      <c r="W21" s="255"/>
      <c r="X21" s="255"/>
      <c r="Y21" s="255"/>
      <c r="Z21" s="255"/>
      <c r="AA21" s="255"/>
    </row>
    <row r="22" spans="1:27" ht="13.5" customHeight="1">
      <c r="A22" s="255"/>
      <c r="B22" s="412"/>
      <c r="C22" s="269"/>
      <c r="D22" s="402"/>
      <c r="E22" s="255"/>
      <c r="F22" s="255"/>
      <c r="G22" s="255"/>
      <c r="H22" s="392"/>
      <c r="I22" s="255"/>
      <c r="J22" s="255"/>
      <c r="K22" s="255"/>
      <c r="L22" s="255"/>
      <c r="M22" s="255"/>
      <c r="N22" s="255"/>
      <c r="O22" s="255"/>
      <c r="P22" s="311"/>
      <c r="Q22" s="392"/>
      <c r="R22" s="392"/>
      <c r="S22" s="392"/>
      <c r="T22" s="392"/>
      <c r="U22" s="392"/>
      <c r="V22" s="255"/>
      <c r="W22" s="255"/>
      <c r="X22" s="255"/>
      <c r="Y22" s="255"/>
      <c r="Z22" s="255"/>
      <c r="AA22" s="255"/>
    </row>
    <row r="23" spans="1:27" ht="13.5" customHeight="1">
      <c r="A23" s="255"/>
      <c r="B23" s="412"/>
      <c r="C23" s="269"/>
      <c r="D23" s="402"/>
      <c r="E23" s="255"/>
      <c r="F23" s="255"/>
      <c r="G23" s="255"/>
      <c r="H23" s="392"/>
      <c r="I23" s="255"/>
      <c r="J23" s="255"/>
      <c r="K23" s="255"/>
      <c r="L23" s="255"/>
      <c r="M23" s="255"/>
      <c r="N23" s="255"/>
      <c r="O23" s="255"/>
      <c r="P23" s="311"/>
      <c r="Q23" s="392"/>
      <c r="R23" s="392"/>
      <c r="S23" s="392"/>
      <c r="T23" s="392"/>
      <c r="U23" s="392"/>
      <c r="V23" s="255"/>
      <c r="W23" s="255"/>
      <c r="X23" s="255"/>
      <c r="Y23" s="255"/>
      <c r="Z23" s="255"/>
      <c r="AA23" s="255"/>
    </row>
    <row r="24" spans="1:27" ht="13.5" customHeight="1">
      <c r="A24" s="255"/>
      <c r="B24" s="412"/>
      <c r="C24" s="269"/>
      <c r="D24" s="402"/>
      <c r="E24" s="255"/>
      <c r="F24" s="255"/>
      <c r="G24" s="255"/>
      <c r="H24" s="392"/>
      <c r="I24" s="255"/>
      <c r="J24" s="255"/>
      <c r="K24" s="255"/>
      <c r="L24" s="255"/>
      <c r="M24" s="255"/>
      <c r="N24" s="255"/>
      <c r="O24" s="255"/>
      <c r="P24" s="311"/>
      <c r="Q24" s="392"/>
      <c r="R24" s="392"/>
      <c r="S24" s="392"/>
      <c r="T24" s="392"/>
      <c r="U24" s="392"/>
      <c r="V24" s="255"/>
      <c r="W24" s="255"/>
      <c r="X24" s="255"/>
      <c r="Y24" s="255"/>
      <c r="Z24" s="255"/>
      <c r="AA24" s="255"/>
    </row>
    <row r="25" spans="1:27" ht="13.5" customHeight="1">
      <c r="A25" s="255"/>
      <c r="B25" s="412"/>
      <c r="C25" s="269"/>
      <c r="D25" s="402"/>
      <c r="E25" s="255"/>
      <c r="F25" s="255"/>
      <c r="G25" s="255"/>
      <c r="H25" s="392"/>
      <c r="I25" s="255"/>
      <c r="J25" s="255"/>
      <c r="K25" s="255"/>
      <c r="L25" s="255"/>
      <c r="M25" s="255"/>
      <c r="N25" s="255"/>
      <c r="O25" s="255"/>
      <c r="P25" s="311"/>
      <c r="Q25" s="392"/>
      <c r="R25" s="392"/>
      <c r="S25" s="392"/>
      <c r="T25" s="392"/>
      <c r="U25" s="392"/>
      <c r="V25" s="255"/>
      <c r="W25" s="255"/>
      <c r="X25" s="255"/>
      <c r="Y25" s="255"/>
      <c r="Z25" s="255"/>
      <c r="AA25" s="255"/>
    </row>
    <row r="26" spans="1:27" ht="13.5" customHeight="1">
      <c r="A26" s="255"/>
      <c r="B26" s="412"/>
      <c r="C26" s="269"/>
      <c r="D26" s="402"/>
      <c r="E26" s="255"/>
      <c r="F26" s="255"/>
      <c r="G26" s="255"/>
      <c r="H26" s="392"/>
      <c r="I26" s="255"/>
      <c r="J26" s="255"/>
      <c r="K26" s="255"/>
      <c r="L26" s="255"/>
      <c r="M26" s="255"/>
      <c r="N26" s="255"/>
      <c r="O26" s="255"/>
      <c r="P26" s="311"/>
      <c r="Q26" s="392"/>
      <c r="R26" s="392"/>
      <c r="S26" s="392"/>
      <c r="T26" s="392"/>
      <c r="U26" s="392"/>
      <c r="V26" s="255"/>
      <c r="W26" s="255"/>
      <c r="X26" s="255"/>
      <c r="Y26" s="255"/>
      <c r="Z26" s="255"/>
      <c r="AA26" s="255"/>
    </row>
    <row r="27" spans="1:27" ht="13.5" customHeight="1">
      <c r="A27" s="255"/>
      <c r="B27" s="412"/>
      <c r="C27" s="269"/>
      <c r="D27" s="402"/>
      <c r="E27" s="255"/>
      <c r="F27" s="255"/>
      <c r="G27" s="255"/>
      <c r="H27" s="392"/>
      <c r="I27" s="255"/>
      <c r="J27" s="255"/>
      <c r="K27" s="255"/>
      <c r="L27" s="255"/>
      <c r="M27" s="255"/>
      <c r="N27" s="255"/>
      <c r="O27" s="255"/>
      <c r="P27" s="311"/>
      <c r="Q27" s="392"/>
      <c r="R27" s="392"/>
      <c r="S27" s="392"/>
      <c r="T27" s="392"/>
      <c r="U27" s="392"/>
      <c r="V27" s="255"/>
      <c r="W27" s="255"/>
      <c r="X27" s="255"/>
      <c r="Y27" s="255"/>
      <c r="Z27" s="255"/>
      <c r="AA27" s="255"/>
    </row>
    <row r="28" spans="1:27" ht="13.5" customHeight="1">
      <c r="A28" s="255"/>
      <c r="B28" s="412"/>
      <c r="C28" s="269"/>
      <c r="D28" s="402"/>
      <c r="E28" s="255"/>
      <c r="F28" s="255"/>
      <c r="G28" s="255"/>
      <c r="H28" s="392"/>
      <c r="I28" s="255"/>
      <c r="J28" s="255"/>
      <c r="K28" s="255"/>
      <c r="L28" s="255"/>
      <c r="M28" s="255"/>
      <c r="N28" s="255"/>
      <c r="O28" s="255"/>
      <c r="P28" s="311"/>
      <c r="Q28" s="392"/>
      <c r="R28" s="392"/>
      <c r="S28" s="392"/>
      <c r="T28" s="392"/>
      <c r="U28" s="392"/>
      <c r="V28" s="255"/>
      <c r="W28" s="255"/>
      <c r="X28" s="255"/>
      <c r="Y28" s="255"/>
      <c r="Z28" s="255"/>
      <c r="AA28" s="255"/>
    </row>
    <row r="29" spans="1:27" ht="13.5" customHeight="1">
      <c r="A29" s="255"/>
      <c r="B29" s="412"/>
      <c r="C29" s="269"/>
      <c r="D29" s="402"/>
      <c r="E29" s="255"/>
      <c r="F29" s="255"/>
      <c r="G29" s="255"/>
      <c r="H29" s="392"/>
      <c r="I29" s="255"/>
      <c r="J29" s="255"/>
      <c r="K29" s="255"/>
      <c r="L29" s="255"/>
      <c r="M29" s="255"/>
      <c r="N29" s="255"/>
      <c r="O29" s="255"/>
      <c r="P29" s="311"/>
      <c r="Q29" s="392"/>
      <c r="R29" s="392"/>
      <c r="S29" s="392"/>
      <c r="T29" s="392"/>
      <c r="U29" s="392"/>
      <c r="V29" s="255"/>
      <c r="W29" s="255"/>
      <c r="X29" s="255"/>
      <c r="Y29" s="255"/>
      <c r="Z29" s="255"/>
      <c r="AA29" s="255"/>
    </row>
    <row r="30" spans="1:27" ht="13.5" customHeight="1">
      <c r="A30" s="255"/>
      <c r="B30" s="412"/>
      <c r="C30" s="269"/>
      <c r="D30" s="402"/>
      <c r="E30" s="255"/>
      <c r="F30" s="255"/>
      <c r="G30" s="255"/>
      <c r="H30" s="392"/>
      <c r="I30" s="255"/>
      <c r="J30" s="255"/>
      <c r="K30" s="255"/>
      <c r="L30" s="255"/>
      <c r="M30" s="255"/>
      <c r="N30" s="255"/>
      <c r="O30" s="255"/>
      <c r="P30" s="311"/>
      <c r="Q30" s="392"/>
      <c r="R30" s="392"/>
      <c r="S30" s="392"/>
      <c r="T30" s="392"/>
      <c r="U30" s="392"/>
      <c r="V30" s="255"/>
      <c r="W30" s="255"/>
      <c r="X30" s="255"/>
      <c r="Y30" s="255"/>
      <c r="Z30" s="255"/>
      <c r="AA30" s="255"/>
    </row>
    <row r="31" spans="1:27" ht="13.5" customHeight="1">
      <c r="A31" s="255"/>
      <c r="B31" s="412"/>
      <c r="C31" s="269"/>
      <c r="D31" s="402"/>
      <c r="E31" s="255"/>
      <c r="F31" s="255"/>
      <c r="G31" s="255"/>
      <c r="H31" s="392"/>
      <c r="I31" s="255"/>
      <c r="J31" s="255"/>
      <c r="K31" s="255"/>
      <c r="L31" s="255"/>
      <c r="M31" s="255"/>
      <c r="N31" s="255"/>
      <c r="O31" s="255"/>
      <c r="P31" s="311"/>
      <c r="Q31" s="392"/>
      <c r="R31" s="392"/>
      <c r="S31" s="392"/>
      <c r="T31" s="392"/>
      <c r="U31" s="392"/>
      <c r="V31" s="255"/>
      <c r="W31" s="255"/>
      <c r="X31" s="255"/>
      <c r="Y31" s="255"/>
      <c r="Z31" s="255"/>
      <c r="AA31" s="255"/>
    </row>
    <row r="32" spans="1:27" ht="13.5" customHeight="1">
      <c r="A32" s="255"/>
      <c r="B32" s="412"/>
      <c r="C32" s="269"/>
      <c r="D32" s="402"/>
      <c r="E32" s="255"/>
      <c r="F32" s="255"/>
      <c r="G32" s="255"/>
      <c r="H32" s="392"/>
      <c r="I32" s="255"/>
      <c r="J32" s="255"/>
      <c r="K32" s="255"/>
      <c r="L32" s="255"/>
      <c r="M32" s="255"/>
      <c r="N32" s="255"/>
      <c r="O32" s="255"/>
      <c r="P32" s="311"/>
      <c r="Q32" s="392"/>
      <c r="R32" s="392"/>
      <c r="S32" s="392"/>
      <c r="T32" s="392"/>
      <c r="U32" s="392"/>
      <c r="V32" s="255"/>
      <c r="W32" s="255"/>
      <c r="X32" s="255"/>
      <c r="Y32" s="255"/>
      <c r="Z32" s="255"/>
      <c r="AA32" s="255"/>
    </row>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H6 H12">
    <cfRule type="expression" dxfId="14" priority="1">
      <formula>IF(N(E4)&gt;N(E5),TRUE,FALSE)</formula>
    </cfRule>
  </conditionalFormatting>
  <conditionalFormatting sqref="C4 C8 G6 G12">
    <cfRule type="expression" dxfId="13" priority="2">
      <formula>IF(N(E4)&gt;N(E5),TRUE,FALSE)</formula>
    </cfRule>
  </conditionalFormatting>
  <conditionalFormatting sqref="E4 E8 I6 I12">
    <cfRule type="expression" dxfId="12" priority="3">
      <formula>IF(N(E8)&gt;N(E9),TRUE,FALSE)</formula>
    </cfRule>
  </conditionalFormatting>
  <conditionalFormatting sqref="C5 C9 G7 G13">
    <cfRule type="expression" dxfId="11" priority="4">
      <formula>IF(N(E5)&gt;N(E4),TRUE,FALSE)</formula>
    </cfRule>
  </conditionalFormatting>
  <conditionalFormatting sqref="D5 D9 H7 H13">
    <cfRule type="expression" dxfId="10" priority="5">
      <formula>IF(N(E5)&gt;N(E4),TRUE,FALSE)</formula>
    </cfRule>
  </conditionalFormatting>
  <conditionalFormatting sqref="E5 E9 I7 I13">
    <cfRule type="expression" dxfId="9" priority="6">
      <formula>IF(N(E9)&gt;N(E8),TRUE,FALSE)</formula>
    </cfRule>
  </conditionalFormatting>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100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375" defaultRowHeight="15" customHeight="1"/>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2.875" customWidth="1"/>
    <col min="13" max="13" width="5" customWidth="1"/>
    <col min="14" max="28" width="8" customWidth="1"/>
  </cols>
  <sheetData>
    <row r="1" spans="1:28" ht="12" customHeight="1">
      <c r="B1" s="268"/>
      <c r="C1" s="288"/>
      <c r="D1" s="288"/>
      <c r="E1" s="288"/>
      <c r="F1" s="288"/>
      <c r="G1" s="288"/>
      <c r="H1" s="288"/>
      <c r="I1" s="288"/>
      <c r="J1" s="288"/>
      <c r="K1" s="288"/>
      <c r="L1" s="288"/>
      <c r="M1" s="288"/>
      <c r="N1" s="288"/>
      <c r="O1" s="288"/>
      <c r="P1" s="288"/>
      <c r="Q1" s="288"/>
      <c r="S1" s="255"/>
      <c r="T1" s="255"/>
      <c r="U1" s="255"/>
      <c r="V1" s="255"/>
      <c r="W1" s="293"/>
      <c r="X1" s="255"/>
      <c r="Y1" s="255"/>
      <c r="Z1" s="255"/>
      <c r="AA1" s="293"/>
      <c r="AB1" s="255"/>
    </row>
    <row r="2" spans="1:28" ht="30" customHeight="1">
      <c r="A2" s="289"/>
      <c r="B2" s="290"/>
      <c r="C2" s="291">
        <v>4</v>
      </c>
      <c r="D2" s="292" t="s">
        <v>1884</v>
      </c>
      <c r="E2" s="255"/>
      <c r="F2" s="255"/>
      <c r="G2" s="294">
        <v>2</v>
      </c>
      <c r="H2" s="292" t="s">
        <v>1885</v>
      </c>
      <c r="I2" s="255"/>
      <c r="J2" s="255"/>
      <c r="K2" s="294">
        <v>1</v>
      </c>
      <c r="L2" s="295" t="s">
        <v>1886</v>
      </c>
      <c r="M2" s="255"/>
      <c r="N2" s="255"/>
      <c r="O2" s="255"/>
      <c r="P2" s="311"/>
    </row>
    <row r="3" spans="1:28" ht="28.5" customHeight="1">
      <c r="A3" s="255"/>
      <c r="B3" s="255"/>
      <c r="C3" s="268"/>
      <c r="D3" s="298" t="s">
        <v>1887</v>
      </c>
      <c r="E3" s="299" t="str">
        <f ca="1">IF(OR(TRIM(D4)="-",TRIM(D5)="-"),"",VLOOKUP(MIN(C4,C5),Hřiště!$B$11:$E$42,4,0))</f>
        <v/>
      </c>
      <c r="F3" s="311"/>
      <c r="G3" s="300"/>
      <c r="H3" s="300"/>
      <c r="I3" s="302"/>
      <c r="J3" s="303"/>
      <c r="K3" s="300"/>
      <c r="L3" s="300"/>
      <c r="M3" s="302"/>
      <c r="N3" s="255"/>
      <c r="O3" s="255"/>
      <c r="P3" s="311"/>
      <c r="Q3" s="302"/>
      <c r="R3" s="303"/>
      <c r="S3" s="300"/>
      <c r="T3" s="300"/>
      <c r="U3" s="304"/>
      <c r="V3" s="382"/>
      <c r="W3" s="293"/>
      <c r="X3" s="255"/>
      <c r="Y3" s="255"/>
      <c r="Z3" s="255"/>
      <c r="AA3" s="293"/>
      <c r="AB3" s="255"/>
    </row>
    <row r="4" spans="1:28" ht="18.75" customHeight="1">
      <c r="A4" s="305" t="str">
        <f>VLOOKUP(C4,Postupy!$A$3:$C$9,3,0)</f>
        <v>A1</v>
      </c>
      <c r="B4" s="255"/>
      <c r="C4" s="307">
        <v>1</v>
      </c>
      <c r="D4" s="373" t="str">
        <f ca="1">VLOOKUP(C4,Postupy!$A$3:$W$6,23,0)</f>
        <v>Carreau Brno - Michálek Ivo</v>
      </c>
      <c r="E4" s="309">
        <f>VLOOKUP(C4,Postupy!$A$3:$X$6,24,0)</f>
        <v>1</v>
      </c>
      <c r="F4" s="310"/>
      <c r="G4" s="293"/>
      <c r="H4" s="355" t="s">
        <v>1885</v>
      </c>
      <c r="I4" s="293"/>
      <c r="J4" s="255"/>
      <c r="K4" s="255"/>
      <c r="L4" s="255"/>
      <c r="M4" s="255"/>
      <c r="N4" s="255"/>
      <c r="O4" s="255"/>
      <c r="P4" s="311"/>
    </row>
    <row r="5" spans="1:28" ht="18" customHeight="1">
      <c r="A5" s="305" t="str">
        <f>VLOOKUP(C5,Postupy!$A$3:$C$18,3,0)</f>
        <v>D1</v>
      </c>
      <c r="B5" s="255"/>
      <c r="C5" s="312">
        <v>4</v>
      </c>
      <c r="D5" s="373" t="str">
        <f ca="1">VLOOKUP(C5,Postupy!$A$3:$W$6,23,0)</f>
        <v>P.C.B.D. - Hejl ml. Pavel</v>
      </c>
      <c r="E5" s="314">
        <f>VLOOKUP(C5,Postupy!$A$3:$X$6,24,0)</f>
        <v>0</v>
      </c>
      <c r="F5" s="315"/>
      <c r="G5" s="326"/>
      <c r="H5" s="298" t="s">
        <v>1887</v>
      </c>
      <c r="I5" s="299" t="str">
        <f ca="1">IF(OR(TRIM(H6)="-",TRIM(H7)="-"),"",VLOOKUP(MIN(G6,G7),Hřiště!$B$11:$E$42,4,0))</f>
        <v/>
      </c>
      <c r="J5" s="311"/>
      <c r="K5" s="311"/>
      <c r="L5" s="374"/>
      <c r="M5" s="255"/>
      <c r="N5" s="255"/>
      <c r="O5" s="255"/>
      <c r="P5" s="311"/>
    </row>
    <row r="6" spans="1:28" ht="18" customHeight="1">
      <c r="A6" s="318"/>
      <c r="B6" s="365"/>
      <c r="C6" s="255"/>
      <c r="D6" s="389"/>
      <c r="E6" s="311"/>
      <c r="F6" s="311"/>
      <c r="G6" s="307">
        <v>1</v>
      </c>
      <c r="H6" s="308" t="str">
        <f ca="1">IF(OR(TRIM(D4)="-",TRIM(D5)="-"),IF(TRIM(D4)="-",D5,D4),IF(AND(E4="",E5="")," ",IF(N(E4)=N(E5)," ",IF(N(E4)&gt;N(E5),D4,D5))))</f>
        <v>Carreau Brno - Michálek Ivo</v>
      </c>
      <c r="I6" s="309">
        <f>VLOOKUP(G6,Postupy!$A$3:$Z$6,26,0)</f>
        <v>13</v>
      </c>
      <c r="J6" s="328"/>
      <c r="K6" s="351">
        <v>1</v>
      </c>
      <c r="L6" s="363" t="str">
        <f ca="1">IF(AND(I6="",I7="")," ",IF(N(I6)=N(I7)," ",IF(N(I6)&gt;N(I7),H6,H7)))</f>
        <v>Carreau Brno - Michálek Ivo</v>
      </c>
      <c r="M6" s="364">
        <v>1</v>
      </c>
      <c r="N6" s="255"/>
      <c r="O6" s="311"/>
      <c r="P6" s="255"/>
    </row>
    <row r="7" spans="1:28" ht="18" customHeight="1">
      <c r="A7" s="323"/>
      <c r="B7" s="296"/>
      <c r="C7" s="255"/>
      <c r="D7" s="298" t="s">
        <v>1887</v>
      </c>
      <c r="E7" s="299" t="str">
        <f ca="1">IF(OR(TRIM(D8)="-",TRIM(D9)="-"),"",VLOOKUP(MIN(C8,C9),Hřiště!$B$11:$E$42,4,0))</f>
        <v/>
      </c>
      <c r="F7" s="311"/>
      <c r="G7" s="312">
        <v>2</v>
      </c>
      <c r="H7" s="313" t="str">
        <f ca="1">IF(OR(TRIM(D8)="-",TRIM(D9)="-"),IF(TRIM(D8)="-",D9,D8),IF(AND(E8="",E9="")," ",IF(N(E8)=N(E9)," ",IF(N(E8)&gt;N(E9),D8,D9))))</f>
        <v>Carreau Brno - Hodboď Pavel</v>
      </c>
      <c r="I7" s="314">
        <f>VLOOKUP(G7,Postupy!$A$3:$Z$6,26,0)</f>
        <v>10</v>
      </c>
      <c r="J7" s="255"/>
      <c r="K7" s="351">
        <v>2</v>
      </c>
      <c r="L7" s="367" t="str">
        <f ca="1">IF(AND(I6="",I7="")," ",IF(N(I7)=N(I6)," ",IF(N(I7)&gt;N(I6),H6,H7)))</f>
        <v>Carreau Brno - Hodboď Pavel</v>
      </c>
      <c r="M7" s="368">
        <v>2</v>
      </c>
      <c r="N7" s="255"/>
      <c r="O7" s="255"/>
      <c r="P7" s="255"/>
    </row>
    <row r="8" spans="1:28" ht="18" customHeight="1">
      <c r="A8" s="305" t="str">
        <f>VLOOKUP(C8,Postupy!$A$3:$C$9,3,0)</f>
        <v>C1</v>
      </c>
      <c r="B8" s="255"/>
      <c r="C8" s="307">
        <v>3</v>
      </c>
      <c r="D8" s="373" t="str">
        <f ca="1">VLOOKUP(C8,Postupy!$A$3:$W$6,23,0)</f>
        <v>SKP Hranice VI-Valšovice - Kutá Miloslava</v>
      </c>
      <c r="E8" s="309">
        <f>VLOOKUP(C8,Postupy!$A$3:$X$6,24,0)</f>
        <v>0</v>
      </c>
      <c r="F8" s="328"/>
      <c r="G8" s="255"/>
      <c r="H8" s="390"/>
      <c r="I8" s="311"/>
      <c r="J8" s="255"/>
      <c r="K8" s="255"/>
      <c r="L8" s="255"/>
      <c r="M8" s="255"/>
      <c r="N8" s="255"/>
      <c r="O8" s="311"/>
      <c r="P8" s="255"/>
    </row>
    <row r="9" spans="1:28" ht="18" customHeight="1">
      <c r="A9" s="305" t="str">
        <f>VLOOKUP(C9,Postupy!$A$3:$C$18,3,0)</f>
        <v>B1</v>
      </c>
      <c r="B9" s="255"/>
      <c r="C9" s="312">
        <v>2</v>
      </c>
      <c r="D9" s="373" t="str">
        <f ca="1">VLOOKUP(C9,Postupy!$A$3:$W$6,23,0)</f>
        <v>Carreau Brno - Hodboď Pavel</v>
      </c>
      <c r="E9" s="314">
        <f>VLOOKUP(C9,Postupy!$A$3:$X$6,24,0)</f>
        <v>1</v>
      </c>
      <c r="F9" s="268"/>
      <c r="G9" s="255"/>
      <c r="H9" s="388"/>
      <c r="I9" s="311"/>
      <c r="J9" s="388"/>
      <c r="K9" s="388"/>
      <c r="L9" s="311"/>
      <c r="M9" s="311"/>
      <c r="N9" s="255"/>
      <c r="O9" s="255"/>
      <c r="P9" s="311"/>
    </row>
    <row r="10" spans="1:28" ht="12" customHeight="1">
      <c r="A10" s="318"/>
      <c r="B10" s="386"/>
      <c r="C10" s="255"/>
      <c r="D10" s="385"/>
      <c r="E10" s="293"/>
      <c r="F10" s="255"/>
      <c r="G10" s="255"/>
      <c r="H10" s="388"/>
      <c r="I10" s="311"/>
      <c r="J10" s="388"/>
      <c r="K10" s="388"/>
      <c r="L10" s="311"/>
      <c r="M10" s="311"/>
      <c r="N10" s="255"/>
      <c r="O10" s="255"/>
      <c r="P10" s="311"/>
    </row>
    <row r="11" spans="1:28" ht="12" customHeight="1">
      <c r="A11" s="323"/>
      <c r="B11" s="365"/>
      <c r="C11" s="255"/>
      <c r="D11" s="385"/>
      <c r="E11" s="255"/>
      <c r="F11" s="255"/>
      <c r="G11" s="255"/>
      <c r="H11" s="388"/>
      <c r="I11" s="311"/>
      <c r="J11" s="388"/>
      <c r="K11" s="388"/>
      <c r="L11" s="311"/>
      <c r="M11" s="311"/>
      <c r="N11" s="255"/>
      <c r="O11" s="255"/>
      <c r="P11" s="311"/>
    </row>
    <row r="12" spans="1:28" ht="13.5" customHeight="1">
      <c r="A12" s="318"/>
      <c r="B12" s="255"/>
      <c r="C12" s="255"/>
      <c r="D12" s="392"/>
      <c r="E12" s="255"/>
      <c r="F12" s="255"/>
      <c r="G12" s="255"/>
      <c r="H12" s="388"/>
      <c r="I12" s="311"/>
      <c r="J12" s="388"/>
      <c r="K12" s="388"/>
      <c r="L12" s="311"/>
      <c r="M12" s="311"/>
      <c r="N12" s="255"/>
      <c r="O12" s="255"/>
      <c r="P12" s="311"/>
    </row>
    <row r="13" spans="1:28" ht="16.5" customHeight="1">
      <c r="A13" s="323"/>
      <c r="B13" s="255"/>
      <c r="C13" s="255"/>
      <c r="D13" s="392"/>
      <c r="E13" s="255"/>
      <c r="F13" s="255"/>
      <c r="G13" s="388"/>
      <c r="H13" s="370" t="s">
        <v>1888</v>
      </c>
      <c r="I13" s="311"/>
      <c r="J13" s="388"/>
      <c r="K13" s="388"/>
      <c r="L13" s="311"/>
      <c r="M13" s="311"/>
      <c r="N13" s="255"/>
      <c r="O13" s="255"/>
      <c r="P13" s="311"/>
    </row>
    <row r="14" spans="1:28" ht="17.25" customHeight="1">
      <c r="A14" s="318"/>
      <c r="B14" s="365"/>
      <c r="C14" s="255"/>
      <c r="D14" s="392"/>
      <c r="E14" s="255"/>
      <c r="F14" s="255"/>
      <c r="G14" s="388"/>
      <c r="H14" s="371" t="s">
        <v>1889</v>
      </c>
      <c r="I14" s="311"/>
      <c r="J14" s="388"/>
      <c r="K14" s="388"/>
      <c r="L14" s="311"/>
      <c r="M14" s="311"/>
      <c r="N14" s="255"/>
      <c r="O14" s="255"/>
      <c r="P14" s="311"/>
    </row>
    <row r="15" spans="1:28" ht="17.25" customHeight="1">
      <c r="A15" s="323"/>
      <c r="B15" s="296"/>
      <c r="C15" s="255"/>
      <c r="D15" s="385"/>
      <c r="E15" s="255"/>
      <c r="F15" s="255"/>
      <c r="G15" s="255"/>
      <c r="H15" s="298" t="s">
        <v>1887</v>
      </c>
      <c r="I15" s="299" t="str">
        <f ca="1">IF(OR(TRIM(H16)="-",TRIM(H17)="-"),"",VLOOKUP(MIN(G16,G17),Hřiště!$B$11:$E$42,4,0))</f>
        <v/>
      </c>
      <c r="J15" s="311"/>
      <c r="K15" s="255"/>
      <c r="L15" s="255"/>
      <c r="M15" s="255"/>
      <c r="N15" s="255"/>
      <c r="O15" s="311"/>
      <c r="P15" s="255"/>
    </row>
    <row r="16" spans="1:28" ht="18" customHeight="1">
      <c r="A16" s="323"/>
      <c r="B16" s="255"/>
      <c r="C16" s="255"/>
      <c r="D16" s="385"/>
      <c r="E16" s="255"/>
      <c r="F16" s="255"/>
      <c r="G16" s="307">
        <v>4</v>
      </c>
      <c r="H16" s="308" t="str">
        <f ca="1">IF(OR(TRIM(D4)="-",TRIM(D5)="-"),IF(TRIM(D4)="-",D5,D4),IF(AND(E4="",E5="")," ",IF(N(E5)=N(E4)," ",IF(N(E5)&gt;N(E4),D4,D5))))</f>
        <v>P.C.B.D. - Hejl ml. Pavel</v>
      </c>
      <c r="I16" s="309">
        <f>VLOOKUP(G16,Postupy!$A$3:$Z$6,26,0)</f>
        <v>13</v>
      </c>
      <c r="J16" s="328"/>
      <c r="K16" s="351">
        <v>3</v>
      </c>
      <c r="L16" s="367" t="str">
        <f ca="1">IF(AND(I16="",I17="")," ",IF(N(I16)=N(I17)," ",IF(N(I16)&gt;N(I17),H16,H17)))</f>
        <v>P.C.B.D. - Hejl ml. Pavel</v>
      </c>
      <c r="M16" s="368">
        <v>3</v>
      </c>
      <c r="N16" s="255"/>
      <c r="O16" s="311"/>
      <c r="P16" s="255"/>
    </row>
    <row r="17" spans="1:16" ht="18" customHeight="1">
      <c r="A17" s="323"/>
      <c r="B17" s="255"/>
      <c r="C17" s="255"/>
      <c r="D17" s="385"/>
      <c r="E17" s="255"/>
      <c r="F17" s="255"/>
      <c r="G17" s="312">
        <v>3</v>
      </c>
      <c r="H17" s="313" t="str">
        <f ca="1">IF(OR(TRIM(D8)="-",TRIM(D9)="-"),IF(TRIM(D8)="-",D9,D8),IF(AND(E8="",E9="")," ",IF(N(E9)=N(E8)," ",IF(N(E9)&gt;N(E8),D8,D9))))</f>
        <v>SKP Hranice VI-Valšovice - Kutá Miloslava</v>
      </c>
      <c r="I17" s="314">
        <f>VLOOKUP(G17,Postupy!$A$3:$Z$6,26,0)</f>
        <v>9</v>
      </c>
      <c r="J17" s="315"/>
      <c r="K17" s="351">
        <v>4</v>
      </c>
      <c r="L17" s="367" t="str">
        <f ca="1">IF(AND(I16="",I17="")," ",IF(N(I17)=N(I16)," ",IF(N(I17)&gt;N(I16),H16,H17)))</f>
        <v>SKP Hranice VI-Valšovice - Kutá Miloslava</v>
      </c>
      <c r="M17" s="368">
        <v>4</v>
      </c>
      <c r="N17" s="255"/>
      <c r="O17" s="311"/>
      <c r="P17" s="255"/>
    </row>
    <row r="18" spans="1:16" ht="12" customHeight="1">
      <c r="A18" s="323"/>
      <c r="B18" s="386"/>
      <c r="C18" s="255"/>
      <c r="D18" s="385"/>
      <c r="E18" s="255"/>
      <c r="F18" s="255"/>
      <c r="G18" s="255"/>
      <c r="H18" s="388"/>
      <c r="I18" s="311"/>
      <c r="J18" s="255"/>
      <c r="K18" s="255"/>
      <c r="L18" s="255"/>
      <c r="M18" s="255"/>
      <c r="N18" s="255"/>
      <c r="O18" s="311"/>
      <c r="P18" s="255"/>
    </row>
    <row r="19" spans="1:16" ht="12" customHeight="1">
      <c r="A19" s="323"/>
      <c r="B19" s="365"/>
      <c r="C19" s="255"/>
      <c r="D19" s="385"/>
      <c r="E19" s="255"/>
      <c r="F19" s="255"/>
      <c r="G19" s="255"/>
      <c r="H19" s="388"/>
      <c r="I19" s="311"/>
      <c r="J19" s="388"/>
      <c r="K19" s="388"/>
      <c r="L19" s="311"/>
      <c r="M19" s="311"/>
      <c r="N19" s="255"/>
      <c r="O19" s="255"/>
      <c r="P19" s="311"/>
    </row>
    <row r="20" spans="1:16" ht="12" customHeight="1">
      <c r="A20" s="323"/>
      <c r="B20" s="365"/>
      <c r="C20" s="255"/>
      <c r="D20" s="385"/>
      <c r="E20" s="255"/>
      <c r="F20" s="255"/>
      <c r="G20" s="255"/>
      <c r="H20" s="388"/>
      <c r="I20" s="311"/>
      <c r="J20" s="388"/>
      <c r="K20" s="388"/>
      <c r="L20" s="311"/>
      <c r="M20" s="311"/>
      <c r="N20" s="255"/>
      <c r="O20" s="255"/>
      <c r="P20" s="311"/>
    </row>
    <row r="21" spans="1:16" ht="12" customHeight="1">
      <c r="A21" s="323"/>
      <c r="B21" s="365"/>
      <c r="C21" s="255"/>
      <c r="D21" s="385"/>
      <c r="E21" s="255"/>
      <c r="F21" s="255"/>
      <c r="G21" s="255"/>
      <c r="H21" s="388"/>
      <c r="I21" s="311"/>
      <c r="J21" s="388"/>
      <c r="K21" s="388"/>
      <c r="L21" s="311"/>
      <c r="M21" s="311"/>
      <c r="N21" s="255"/>
      <c r="O21" s="255"/>
      <c r="P21" s="311"/>
    </row>
    <row r="22" spans="1:16" ht="12" customHeight="1">
      <c r="A22" s="323"/>
      <c r="B22" s="365"/>
      <c r="C22" s="255"/>
      <c r="D22" s="385"/>
      <c r="E22" s="255"/>
      <c r="F22" s="255"/>
      <c r="G22" s="255"/>
      <c r="H22" s="388"/>
      <c r="I22" s="311"/>
      <c r="J22" s="388"/>
      <c r="K22" s="388"/>
      <c r="L22" s="311"/>
      <c r="M22" s="311"/>
      <c r="N22" s="255"/>
      <c r="O22" s="255"/>
      <c r="P22" s="311"/>
    </row>
    <row r="23" spans="1:16" ht="12" customHeight="1">
      <c r="A23" s="323"/>
      <c r="B23" s="365"/>
      <c r="C23" s="255"/>
      <c r="D23" s="385"/>
      <c r="E23" s="255"/>
      <c r="F23" s="255"/>
      <c r="G23" s="255"/>
      <c r="H23" s="388"/>
      <c r="I23" s="311"/>
      <c r="J23" s="388"/>
      <c r="K23" s="388"/>
      <c r="L23" s="311"/>
      <c r="M23" s="311"/>
      <c r="N23" s="255"/>
      <c r="O23" s="255"/>
      <c r="P23" s="311"/>
    </row>
    <row r="24" spans="1:16" ht="12" customHeight="1">
      <c r="A24" s="323"/>
      <c r="B24" s="365"/>
      <c r="C24" s="255"/>
      <c r="D24" s="385"/>
      <c r="E24" s="255"/>
      <c r="F24" s="255"/>
      <c r="G24" s="255"/>
      <c r="H24" s="388"/>
      <c r="I24" s="311"/>
      <c r="J24" s="388"/>
      <c r="K24" s="388"/>
      <c r="L24" s="311"/>
      <c r="M24" s="311"/>
      <c r="N24" s="255"/>
      <c r="O24" s="255"/>
      <c r="P24" s="311"/>
    </row>
    <row r="25" spans="1:16" ht="12" customHeight="1">
      <c r="A25" s="323"/>
      <c r="B25" s="365"/>
      <c r="C25" s="255"/>
      <c r="D25" s="385"/>
      <c r="E25" s="255"/>
      <c r="F25" s="255"/>
      <c r="G25" s="255"/>
      <c r="H25" s="388"/>
      <c r="I25" s="311"/>
      <c r="J25" s="388"/>
      <c r="K25" s="388"/>
      <c r="L25" s="311"/>
      <c r="M25" s="311"/>
      <c r="N25" s="255"/>
      <c r="O25" s="255"/>
      <c r="P25" s="311"/>
    </row>
    <row r="26" spans="1:16" ht="12" customHeight="1">
      <c r="A26" s="323"/>
      <c r="B26" s="365"/>
      <c r="C26" s="255"/>
      <c r="D26" s="385"/>
      <c r="E26" s="255"/>
      <c r="F26" s="255"/>
      <c r="G26" s="255"/>
      <c r="H26" s="388"/>
      <c r="I26" s="311"/>
      <c r="J26" s="388"/>
      <c r="K26" s="388"/>
      <c r="L26" s="311"/>
      <c r="M26" s="311"/>
      <c r="N26" s="255"/>
      <c r="O26" s="255"/>
      <c r="P26" s="311"/>
    </row>
    <row r="27" spans="1:16" ht="12" customHeight="1">
      <c r="A27" s="323"/>
      <c r="B27" s="365"/>
      <c r="C27" s="255"/>
      <c r="D27" s="385"/>
      <c r="E27" s="255"/>
      <c r="F27" s="255"/>
      <c r="G27" s="255"/>
      <c r="H27" s="388"/>
      <c r="I27" s="311"/>
      <c r="J27" s="388"/>
      <c r="K27" s="388"/>
      <c r="L27" s="311"/>
      <c r="M27" s="311"/>
      <c r="N27" s="255"/>
      <c r="O27" s="255"/>
      <c r="P27" s="311"/>
    </row>
    <row r="28" spans="1:16" ht="12" customHeight="1">
      <c r="A28" s="318"/>
      <c r="B28" s="365"/>
    </row>
    <row r="29" spans="1:16" ht="12" customHeight="1">
      <c r="A29" s="323"/>
      <c r="B29" s="365"/>
    </row>
    <row r="30" spans="1:16" ht="12" customHeight="1">
      <c r="A30" s="318"/>
      <c r="B30" s="365"/>
    </row>
    <row r="31" spans="1:16" ht="12" customHeight="1">
      <c r="A31" s="323"/>
      <c r="B31" s="365"/>
    </row>
    <row r="32" spans="1:16" ht="12" customHeight="1">
      <c r="A32" s="255"/>
      <c r="B32" s="365"/>
    </row>
    <row r="33" spans="1:2" ht="12" customHeight="1">
      <c r="A33" s="255"/>
      <c r="B33" s="365"/>
    </row>
    <row r="34" spans="1:2" ht="12" customHeight="1">
      <c r="A34" s="255"/>
      <c r="B34" s="365"/>
    </row>
    <row r="35" spans="1:2" ht="12" customHeight="1">
      <c r="A35" s="255"/>
      <c r="B35" s="365"/>
    </row>
    <row r="36" spans="1:2" ht="12" customHeight="1">
      <c r="A36" s="255"/>
      <c r="B36" s="365"/>
    </row>
    <row r="37" spans="1:2" ht="12" customHeight="1">
      <c r="A37" s="255"/>
      <c r="B37" s="365"/>
    </row>
    <row r="38" spans="1:2" ht="12" customHeight="1">
      <c r="B38" s="365"/>
    </row>
    <row r="39" spans="1:2" ht="12" customHeight="1">
      <c r="B39" s="365"/>
    </row>
    <row r="40" spans="1:2" ht="12" customHeight="1">
      <c r="B40" s="365"/>
    </row>
    <row r="41" spans="1:2" ht="12" customHeight="1">
      <c r="B41" s="365"/>
    </row>
    <row r="42" spans="1:2" ht="12" customHeight="1">
      <c r="B42" s="365"/>
    </row>
    <row r="43" spans="1:2" ht="12" customHeight="1">
      <c r="B43" s="365"/>
    </row>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 D8 H6 H16">
    <cfRule type="expression" dxfId="8" priority="1">
      <formula>IF(N(I16)&gt;N(I17),TRUE,FALSE)</formula>
    </cfRule>
  </conditionalFormatting>
  <conditionalFormatting sqref="C4 C8 G6 G16">
    <cfRule type="expression" dxfId="7" priority="2">
      <formula>IF(N(I6)&gt;N(I7),TRUE,FALSE)</formula>
    </cfRule>
  </conditionalFormatting>
  <conditionalFormatting sqref="E4 E8 I6 I16">
    <cfRule type="expression" dxfId="6" priority="3">
      <formula>IF(N(E8)&gt;N(E9),TRUE,FALSE)</formula>
    </cfRule>
  </conditionalFormatting>
  <conditionalFormatting sqref="C5 C9 G7 G17">
    <cfRule type="expression" dxfId="5" priority="4">
      <formula>IF(N(I7)&gt;N(I6),TRUE,FALSE)</formula>
    </cfRule>
  </conditionalFormatting>
  <conditionalFormatting sqref="D5 D9 H7 H17">
    <cfRule type="expression" dxfId="4" priority="5">
      <formula>IF(N(E9)&gt;N(E8),TRUE,FALSE)</formula>
    </cfRule>
  </conditionalFormatting>
  <conditionalFormatting sqref="E5 E9 I7 I17">
    <cfRule type="expression" dxfId="3" priority="6">
      <formula>IF(N(E9)&gt;N(E8),TRUE,FALSE)</formula>
    </cfRule>
  </conditionalFormatting>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375" defaultRowHeight="15" customHeight="1"/>
  <cols>
    <col min="1" max="1" width="10.625" customWidth="1"/>
    <col min="2" max="2" width="62.875" customWidth="1"/>
    <col min="3" max="3" width="84.75" customWidth="1"/>
    <col min="4" max="4" width="8" hidden="1" customWidth="1"/>
    <col min="5" max="26" width="8" customWidth="1"/>
  </cols>
  <sheetData>
    <row r="1" spans="1:4" ht="42" customHeight="1">
      <c r="A1" s="413"/>
      <c r="B1" s="414" t="s">
        <v>1739</v>
      </c>
      <c r="D1" s="255"/>
    </row>
    <row r="2" spans="1:4" ht="24" customHeight="1">
      <c r="A2" s="415">
        <v>1</v>
      </c>
      <c r="B2" s="416" t="str">
        <f ca="1">VLOOKUP($A2,Postupy!$A$3:$I$18,9,0)</f>
        <v>Carreau Brno - Michálek Ivo</v>
      </c>
      <c r="C2" s="417"/>
      <c r="D2" s="415">
        <v>1</v>
      </c>
    </row>
    <row r="3" spans="1:4" ht="22.5" customHeight="1">
      <c r="A3" s="418">
        <v>2</v>
      </c>
      <c r="B3" s="419" t="str">
        <f ca="1">VLOOKUP($A3,Postupy!$A$3:$I$18,9,0)</f>
        <v>Carreau Brno - Hodboď Pavel</v>
      </c>
      <c r="C3" s="417"/>
      <c r="D3" s="418">
        <v>2</v>
      </c>
    </row>
    <row r="4" spans="1:4" ht="22.5" customHeight="1">
      <c r="A4" s="418">
        <v>3</v>
      </c>
      <c r="B4" s="419" t="str">
        <f ca="1">VLOOKUP($A4,Postupy!$A$3:$I$18,9,0)</f>
        <v>P.C.B.D. - Hejl ml. Pavel</v>
      </c>
      <c r="C4" s="417"/>
      <c r="D4" s="418">
        <v>3</v>
      </c>
    </row>
    <row r="5" spans="1:4" ht="22.5" customHeight="1">
      <c r="A5" s="418">
        <v>4</v>
      </c>
      <c r="B5" s="419" t="str">
        <f ca="1">VLOOKUP($A5,Postupy!$A$3:$I$18,9,0)</f>
        <v>SKP Hranice VI-Valšovice - Kutá Miloslava</v>
      </c>
      <c r="C5" s="417"/>
      <c r="D5" s="418">
        <v>4</v>
      </c>
    </row>
    <row r="6" spans="1:4" ht="22.5" customHeight="1">
      <c r="A6" s="418">
        <v>5</v>
      </c>
      <c r="B6" s="419" t="str">
        <f ca="1">VLOOKUP($A6,Postupy!$A$3:$I$18,9,0)</f>
        <v>SKP Hranice VI-Valšovice - Jakeš Zbyněk</v>
      </c>
      <c r="C6" s="417"/>
      <c r="D6" s="418">
        <v>5</v>
      </c>
    </row>
    <row r="7" spans="1:4" ht="22.5" customHeight="1">
      <c r="A7" s="418">
        <v>6</v>
      </c>
      <c r="B7" s="419" t="str">
        <f ca="1">VLOOKUP($A7,Postupy!$A$3:$I$18,9,0)</f>
        <v>PLUK Jablonec - Lukáš Vojtěch</v>
      </c>
      <c r="C7" s="417"/>
      <c r="D7" s="418">
        <v>6</v>
      </c>
    </row>
    <row r="8" spans="1:4" ht="22.5" customHeight="1">
      <c r="A8" s="418">
        <v>7</v>
      </c>
      <c r="B8" s="419" t="str">
        <f ca="1">VLOOKUP($A8,Postupy!$A$3:$I$18,9,0)</f>
        <v>HRODE KRUMSÍN - Krpec Miroslav</v>
      </c>
      <c r="C8" s="417"/>
      <c r="D8" s="418">
        <v>7</v>
      </c>
    </row>
    <row r="9" spans="1:4" ht="22.5" customHeight="1">
      <c r="A9" s="418">
        <v>8</v>
      </c>
      <c r="B9" s="419" t="str">
        <f ca="1">VLOOKUP($A9,Postupy!$A$3:$I$18,9,0)</f>
        <v>Carreau Brno - Grepl Jiří</v>
      </c>
      <c r="C9" s="417"/>
      <c r="D9" s="418">
        <v>8</v>
      </c>
    </row>
    <row r="10" spans="1:4" ht="22.5" customHeight="1">
      <c r="A10" s="418">
        <v>9</v>
      </c>
      <c r="B10" s="419" t="str">
        <f ca="1">VLOOKUP($A10,Postupy!$A$3:$I$18,9,0)</f>
        <v>SKP Kulová osma - Krejčín Leoš</v>
      </c>
      <c r="C10" s="417"/>
      <c r="D10" s="418">
        <v>9</v>
      </c>
    </row>
    <row r="11" spans="1:4" ht="22.5" customHeight="1">
      <c r="A11" s="418">
        <v>10</v>
      </c>
      <c r="B11" s="419" t="str">
        <f ca="1">VLOOKUP($A11,Postupy!$A$3:$I$18,9,0)</f>
        <v>TOP - ORLOVÁ - Bačo David</v>
      </c>
      <c r="C11" s="417"/>
      <c r="D11" s="418">
        <v>10</v>
      </c>
    </row>
    <row r="12" spans="1:4" ht="22.5" customHeight="1">
      <c r="A12" s="418">
        <v>11</v>
      </c>
      <c r="B12" s="419" t="str">
        <f ca="1">VLOOKUP($A12,Postupy!$A$3:$I$18,9,0)</f>
        <v>1. Starobrněnský PK - Strouhalová Terezie</v>
      </c>
      <c r="C12" s="417"/>
      <c r="D12" s="418">
        <v>11</v>
      </c>
    </row>
    <row r="13" spans="1:4" ht="22.5" customHeight="1">
      <c r="A13" s="418">
        <v>12</v>
      </c>
      <c r="B13" s="419" t="str">
        <f ca="1">VLOOKUP($A13,Postupy!$A$3:$I$18,9,0)</f>
        <v>UBU Únětice - Kot Pavel</v>
      </c>
      <c r="C13" s="417"/>
      <c r="D13" s="418">
        <v>12</v>
      </c>
    </row>
    <row r="14" spans="1:4" ht="22.5" customHeight="1">
      <c r="A14" s="418">
        <v>13</v>
      </c>
      <c r="B14" s="419" t="str">
        <f ca="1">VLOOKUP($A14,Postupy!$A$3:$I$18,9,0)</f>
        <v>SOKOL Staříč - Šimíček Ladislav</v>
      </c>
      <c r="C14" s="417"/>
      <c r="D14" s="418">
        <v>13</v>
      </c>
    </row>
    <row r="15" spans="1:4" ht="22.5" customHeight="1">
      <c r="A15" s="418">
        <v>14</v>
      </c>
      <c r="B15" s="419" t="str">
        <f ca="1">VLOOKUP($A15,Postupy!$A$3:$I$18,9,0)</f>
        <v>Orel Řečkovice - Olbort Tomáš</v>
      </c>
      <c r="C15" s="417"/>
      <c r="D15" s="418">
        <v>14</v>
      </c>
    </row>
    <row r="16" spans="1:4" ht="22.5" customHeight="1">
      <c r="A16" s="418">
        <v>15</v>
      </c>
      <c r="B16" s="419" t="str">
        <f ca="1">VLOOKUP($A16,Postupy!$A$3:$I$18,9,0)</f>
        <v>Kulový blesk Olomouc - Hildenbrand Benjamin</v>
      </c>
      <c r="C16" s="417"/>
      <c r="D16" s="418">
        <v>15</v>
      </c>
    </row>
    <row r="17" spans="1:4" ht="22.5" customHeight="1">
      <c r="A17" s="420">
        <v>16</v>
      </c>
      <c r="B17" s="421" t="str">
        <f ca="1">VLOOKUP($A17,Postupy!$A$3:$I$18,9,0)</f>
        <v>PAK Albrechtice - Valík Václav</v>
      </c>
      <c r="C17" s="417"/>
      <c r="D17" s="420">
        <v>16</v>
      </c>
    </row>
    <row r="18" spans="1:4" ht="12" customHeight="1">
      <c r="A18" s="422"/>
      <c r="B18" s="268"/>
      <c r="C18" s="255"/>
      <c r="D18" s="255"/>
    </row>
    <row r="19" spans="1:4" ht="12" customHeight="1">
      <c r="A19" s="273"/>
      <c r="B19" s="255"/>
      <c r="C19" s="255"/>
      <c r="D19" s="255"/>
    </row>
    <row r="20" spans="1:4" ht="12" customHeight="1">
      <c r="A20" s="273"/>
      <c r="B20" s="255"/>
      <c r="C20" s="255"/>
      <c r="D20" s="255"/>
    </row>
    <row r="21" spans="1:4" ht="12" customHeight="1">
      <c r="A21" s="273"/>
      <c r="B21" s="255"/>
      <c r="C21" s="255"/>
      <c r="D21" s="255"/>
    </row>
    <row r="22" spans="1:4" ht="12" customHeight="1">
      <c r="A22" s="273"/>
      <c r="B22" s="255"/>
      <c r="C22" s="255"/>
      <c r="D22" s="255"/>
    </row>
    <row r="23" spans="1:4" ht="12" customHeight="1">
      <c r="A23" s="273"/>
      <c r="B23" s="255"/>
      <c r="C23" s="255"/>
      <c r="D23" s="255"/>
    </row>
    <row r="24" spans="1:4" ht="12" customHeight="1">
      <c r="A24" s="273"/>
      <c r="B24" s="255"/>
      <c r="C24" s="255"/>
      <c r="D24" s="255"/>
    </row>
    <row r="25" spans="1:4" ht="12" customHeight="1">
      <c r="A25" s="273"/>
      <c r="B25" s="255"/>
      <c r="C25" s="255"/>
      <c r="D25" s="255"/>
    </row>
    <row r="26" spans="1:4" ht="12" customHeight="1">
      <c r="A26" s="273"/>
      <c r="B26" s="255"/>
      <c r="C26" s="255"/>
      <c r="D26" s="255"/>
    </row>
    <row r="27" spans="1:4" ht="12" customHeight="1">
      <c r="A27" s="273"/>
      <c r="B27" s="255"/>
      <c r="C27" s="255"/>
      <c r="D27" s="255"/>
    </row>
    <row r="28" spans="1:4" ht="12" customHeight="1">
      <c r="A28" s="273"/>
      <c r="B28" s="255"/>
      <c r="C28" s="255"/>
      <c r="D28" s="255"/>
    </row>
    <row r="29" spans="1:4" ht="12" customHeight="1">
      <c r="A29" s="273"/>
      <c r="B29" s="255"/>
      <c r="C29" s="255"/>
      <c r="D29" s="255"/>
    </row>
    <row r="30" spans="1:4" ht="12" customHeight="1">
      <c r="A30" s="273"/>
      <c r="B30" s="255"/>
      <c r="C30" s="255"/>
      <c r="D30" s="255"/>
    </row>
    <row r="31" spans="1:4" ht="12" customHeight="1">
      <c r="A31" s="273"/>
      <c r="B31" s="255"/>
      <c r="C31" s="255"/>
      <c r="D31" s="255"/>
    </row>
    <row r="32" spans="1:4" ht="12" customHeight="1">
      <c r="A32" s="273"/>
      <c r="B32" s="255"/>
      <c r="C32" s="255"/>
      <c r="D32" s="255"/>
    </row>
    <row r="33" spans="1:4" ht="12" customHeight="1">
      <c r="A33" s="273"/>
      <c r="B33" s="255"/>
      <c r="C33" s="255"/>
      <c r="D33" s="255"/>
    </row>
    <row r="34" spans="1:4" ht="12" customHeight="1">
      <c r="A34" s="273"/>
      <c r="B34" s="255"/>
      <c r="C34" s="255"/>
      <c r="D34" s="255"/>
    </row>
    <row r="35" spans="1:4" ht="12" customHeight="1">
      <c r="A35" s="273"/>
      <c r="B35" s="255"/>
      <c r="C35" s="255"/>
      <c r="D35" s="255"/>
    </row>
    <row r="36" spans="1:4" ht="12" customHeight="1">
      <c r="A36" s="273"/>
      <c r="B36" s="255"/>
      <c r="C36" s="255"/>
      <c r="D36" s="255"/>
    </row>
    <row r="37" spans="1:4" ht="12" customHeight="1">
      <c r="A37" s="273"/>
      <c r="B37" s="255"/>
      <c r="C37" s="255"/>
      <c r="D37" s="255"/>
    </row>
    <row r="38" spans="1:4" ht="12" customHeight="1">
      <c r="A38" s="273"/>
      <c r="B38" s="255"/>
      <c r="C38" s="255"/>
      <c r="D38" s="255"/>
    </row>
    <row r="39" spans="1:4" ht="12" customHeight="1"/>
    <row r="40" spans="1:4" ht="12" customHeight="1"/>
    <row r="41" spans="1:4" ht="12" customHeight="1"/>
    <row r="42" spans="1:4" ht="12" customHeight="1"/>
    <row r="43" spans="1:4" ht="12" customHeight="1"/>
    <row r="44" spans="1:4" ht="12" customHeight="1"/>
    <row r="45" spans="1:4" ht="12" customHeight="1"/>
    <row r="46" spans="1:4" ht="12" customHeight="1"/>
    <row r="47" spans="1:4" ht="12" customHeight="1"/>
    <row r="48" spans="1:4"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B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4.375" defaultRowHeight="15" customHeight="1"/>
  <cols>
    <col min="1" max="2" width="8" customWidth="1"/>
    <col min="3" max="3" width="47.75" customWidth="1"/>
    <col min="4" max="5" width="8" customWidth="1"/>
    <col min="6" max="7" width="10.375" customWidth="1"/>
    <col min="8" max="12" width="9" customWidth="1"/>
    <col min="13" max="13" width="5" customWidth="1"/>
    <col min="14" max="15" width="11" customWidth="1"/>
    <col min="16" max="16" width="4" customWidth="1"/>
    <col min="17" max="34" width="11" customWidth="1"/>
    <col min="35" max="54" width="8" customWidth="1"/>
  </cols>
  <sheetData>
    <row r="1" spans="1:54" ht="12.75" customHeight="1">
      <c r="A1" s="160"/>
      <c r="B1" s="160"/>
      <c r="C1" s="160"/>
      <c r="D1" s="160"/>
      <c r="E1" s="160"/>
      <c r="F1" s="6" t="s">
        <v>1901</v>
      </c>
      <c r="G1" s="160"/>
      <c r="H1" s="160"/>
      <c r="I1" s="160"/>
      <c r="J1" s="160"/>
      <c r="K1" s="160"/>
      <c r="L1" s="160"/>
      <c r="M1" s="160"/>
      <c r="N1" s="423">
        <f>Start.listina!M6</f>
        <v>5</v>
      </c>
      <c r="O1" s="423">
        <f>Start.listina!M7</f>
        <v>6</v>
      </c>
      <c r="P1" s="160"/>
      <c r="Q1" s="160">
        <v>0</v>
      </c>
      <c r="R1" s="160"/>
      <c r="S1" s="160"/>
      <c r="T1" s="160">
        <v>-1</v>
      </c>
      <c r="U1" s="160"/>
      <c r="V1" s="160"/>
      <c r="W1" s="160">
        <v>-2</v>
      </c>
      <c r="X1" s="160"/>
      <c r="Y1" s="160"/>
      <c r="Z1" s="160">
        <v>-3</v>
      </c>
      <c r="AA1" s="160"/>
      <c r="AB1" s="160"/>
      <c r="AC1" s="160">
        <v>-4</v>
      </c>
      <c r="AD1" s="160"/>
      <c r="AE1" s="160"/>
      <c r="AF1" s="160">
        <v>-5</v>
      </c>
      <c r="AG1" s="160"/>
      <c r="AH1" s="160"/>
      <c r="AI1" s="160"/>
      <c r="AJ1" s="160"/>
      <c r="AK1" s="160"/>
      <c r="AL1" s="160"/>
      <c r="AM1" s="160"/>
      <c r="AN1" s="160"/>
      <c r="AO1" s="160"/>
      <c r="AP1" s="160"/>
      <c r="AQ1" s="160"/>
      <c r="AR1" s="160"/>
      <c r="AS1" s="160"/>
      <c r="AT1" s="160"/>
      <c r="AU1" s="160"/>
      <c r="AV1" s="160"/>
      <c r="AW1" s="160"/>
      <c r="AX1" s="160"/>
      <c r="AY1" s="160"/>
      <c r="AZ1" s="160"/>
      <c r="BA1" s="160"/>
      <c r="BB1" s="160"/>
    </row>
    <row r="2" spans="1:54" ht="42" customHeight="1">
      <c r="A2" s="161" t="s">
        <v>1902</v>
      </c>
      <c r="B2" s="161" t="s">
        <v>1755</v>
      </c>
      <c r="C2" s="161" t="s">
        <v>1743</v>
      </c>
      <c r="D2" s="161" t="s">
        <v>1903</v>
      </c>
      <c r="E2" s="161" t="s">
        <v>1904</v>
      </c>
      <c r="F2" s="424" t="s">
        <v>1905</v>
      </c>
      <c r="G2" s="424">
        <v>64</v>
      </c>
      <c r="H2" s="424">
        <v>32</v>
      </c>
      <c r="I2" s="424">
        <v>16</v>
      </c>
      <c r="J2" s="424">
        <v>8</v>
      </c>
      <c r="K2" s="424">
        <v>4</v>
      </c>
      <c r="L2" s="424" t="s">
        <v>1906</v>
      </c>
      <c r="M2" s="277">
        <f>Start.listina!$O$7</f>
        <v>8</v>
      </c>
      <c r="N2" s="425">
        <f>(P2-O2*O1)/N1</f>
        <v>3</v>
      </c>
      <c r="O2" s="425">
        <f>IF(S2=0,Q2,IF(V2=0,T2,IF(Y2=0,W2,IF(AB2=0,Z2,IF(AE2=0,IF(AH2=0,AF2,0))))))</f>
        <v>5</v>
      </c>
      <c r="P2" s="277">
        <f>Start.listina!$K$7</f>
        <v>45</v>
      </c>
      <c r="Q2" s="425">
        <f>INT($P2/$O1)+Q1</f>
        <v>7</v>
      </c>
      <c r="R2" s="425">
        <f>IF(($P2-INT(Q2)*$O1)&gt;$P2,-1,$P2-INT(Q2)*$O1)</f>
        <v>3</v>
      </c>
      <c r="S2" s="426">
        <f>IF(($P2-INT(Q2)*$O1)&gt;$P2,-1,MOD(R2,$N1))</f>
        <v>3</v>
      </c>
      <c r="T2" s="425">
        <f>INT($P2/$O1)+T1</f>
        <v>6</v>
      </c>
      <c r="U2" s="425">
        <f>IF(($P2-INT(T2)*$O1)&gt;$P2,-1,$P2-INT(T2)*$O1)</f>
        <v>9</v>
      </c>
      <c r="V2" s="426">
        <f>IF(($P2-INT(T2)*$O1)&gt;$P2,-1,MOD(U2,$N1))</f>
        <v>4</v>
      </c>
      <c r="W2" s="425">
        <f>INT($P2/$O1)+W1</f>
        <v>5</v>
      </c>
      <c r="X2" s="425">
        <f>IF(($P2-INT(W2)*$O1)&gt;$P2,-1,$P2-INT(W2)*$O1)</f>
        <v>15</v>
      </c>
      <c r="Y2" s="426">
        <f>IF(($P2-INT(W2)*$O1)&gt;$P2,-1,MOD(X2,$N1))</f>
        <v>0</v>
      </c>
      <c r="Z2" s="425">
        <f>INT($P2/$O1)+Z1</f>
        <v>4</v>
      </c>
      <c r="AA2" s="425">
        <f>IF(($P2-INT(Z2)*$O1)&gt;$P2,-1,$P2-INT(Z2)*$O1)</f>
        <v>21</v>
      </c>
      <c r="AB2" s="426">
        <f>IF(($P2-INT(Z2)*$O1)&gt;$P2,-1,MOD(AA2,$N1))</f>
        <v>1</v>
      </c>
      <c r="AC2" s="425">
        <f>INT($P2/$O1)+AC1</f>
        <v>3</v>
      </c>
      <c r="AD2" s="425">
        <f>IF(($P2-INT(AC2)*$O1)&gt;$P2,-1,$P2-INT(AC2)*$O1)</f>
        <v>27</v>
      </c>
      <c r="AE2" s="426">
        <f>IF(($P2-INT(AC2)*$O1)&gt;$P2,-1,MOD(AD2,$N1))</f>
        <v>2</v>
      </c>
      <c r="AF2" s="425">
        <f>INT($P2/$O1)+AF1</f>
        <v>2</v>
      </c>
      <c r="AG2" s="425">
        <f>IF(($P2-INT(AF2)*$O1)&gt;$P2,-1,$P2-INT(AF2)*$O1)</f>
        <v>33</v>
      </c>
      <c r="AH2" s="426">
        <f>IF(($P2-INT(AF2)*$O1)&gt;$P2,-1,MOD(AG2,$N1))</f>
        <v>3</v>
      </c>
    </row>
    <row r="3" spans="1:54" ht="12" customHeight="1">
      <c r="A3" s="6">
        <f>IF(OR(Start.listina!H11&gt;Start.listina!$K$7,Start.listina!G11=TRUE),"",Start.listina!H11)</f>
        <v>1</v>
      </c>
      <c r="B3" s="160" t="str">
        <f>IF(A3&gt;Start.listina!$K$7,"",ADDRESS(INT((A3-1)/$M$2)+1,IF(MOD(A3,$M$2)=0,IF(MOD(INT((A3-1)/$M$2)+1,2)=1,$M$2,1),IF(MOD(INT((A3-1)/$M$2)+1,2)=1,MOD(A3,$M$2),$M$2-MOD(A3,$M$2)+1)),4,1))</f>
        <v>A1</v>
      </c>
      <c r="C3" s="162" t="str">
        <f>Start.listina!$AL11</f>
        <v>Carreau Brno - Michálek Ivo</v>
      </c>
      <c r="D3" s="160">
        <f>IF(A3&gt;Start.listina!$K$7,"",INT((A3-1)/$M$2)+1)</f>
        <v>1</v>
      </c>
      <c r="E3" s="160">
        <f ca="1">IF(A3&gt;Start.listina!$K$7,"",MIN(F3:L3))</f>
        <v>1</v>
      </c>
      <c r="F3" s="160">
        <f ca="1">IF(TYPE(VLOOKUP(C3,Konečné_pořadí_1_16!$B$2:$D$17,3,0))&lt;4,VLOOKUP(C3,Konečné_pořadí_1_16!$B$2:$D$17,3,0),999)</f>
        <v>1</v>
      </c>
      <c r="G3" s="160">
        <f ca="1">IF(TYPE(VLOOKUP(C3,'KO64'!$D$4:$D$129,1,0))&lt;4,64,999)</f>
        <v>64</v>
      </c>
      <c r="H3" s="160">
        <f ca="1">IF(TYPE(VLOOKUP(C3,'KO32'!$D$4:$D$65,1,0))&lt;4,32,999)</f>
        <v>32</v>
      </c>
      <c r="I3" s="160">
        <f ca="1">IF(TYPE(VLOOKUP(C3,'KO16'!$D$4:$D$33,1,0))&lt;4,16,999)</f>
        <v>16</v>
      </c>
      <c r="J3" s="160">
        <f ca="1">IF(TYPE(VLOOKUP(C3,'KO8'!$D$4:$D$17,1,0))&lt;4,8,999)</f>
        <v>8</v>
      </c>
      <c r="K3" s="160">
        <f ca="1">IF(TYPE(VLOOKUP(C3,'KO4'!$D$4:$D$9,1,0))&lt;4,4,999)</f>
        <v>4</v>
      </c>
      <c r="L3" s="160">
        <f>Start.listina!$K$7</f>
        <v>45</v>
      </c>
      <c r="M3" s="160"/>
      <c r="N3" s="160"/>
      <c r="O3" s="160"/>
      <c r="P3" s="160"/>
      <c r="Q3" s="160"/>
      <c r="R3" s="160"/>
      <c r="S3" s="160"/>
      <c r="T3" s="160"/>
      <c r="U3" s="160"/>
      <c r="V3" s="160"/>
      <c r="W3" s="160"/>
      <c r="X3" s="160"/>
      <c r="Y3" s="160"/>
      <c r="Z3" s="160"/>
      <c r="AA3" s="160"/>
      <c r="AB3" s="160"/>
      <c r="AC3" s="160"/>
      <c r="AD3" s="160"/>
      <c r="AE3" s="160"/>
      <c r="AF3" s="160"/>
      <c r="AG3" s="160"/>
      <c r="AH3" s="160"/>
    </row>
    <row r="4" spans="1:54" ht="12" customHeight="1">
      <c r="A4" s="6">
        <f>IF(OR(Start.listina!H12&gt;Start.listina!$K$7,Start.listina!G12=TRUE),"",Start.listina!H12)</f>
        <v>2</v>
      </c>
      <c r="B4" s="160" t="str">
        <f>IF(A4&gt;Start.listina!$K$7,"",ADDRESS(INT((A4-1)/$M$2)+1,IF(MOD(A4,$M$2)=0,IF(MOD(INT((A4-1)/$M$2)+1,2)=1,$M$2,1),IF(MOD(INT((A4-1)/$M$2)+1,2)=1,MOD(A4,$M$2),$M$2-MOD(A4,$M$2)+1)),4,1))</f>
        <v>B1</v>
      </c>
      <c r="C4" s="162" t="str">
        <f>Start.listina!$AL12</f>
        <v>PLUK Jablonec - Lukáš Vojtěch</v>
      </c>
      <c r="D4" s="160">
        <f>IF(A4&gt;Start.listina!$K$7,"",INT((A4-1)/$M$2)+1)</f>
        <v>1</v>
      </c>
      <c r="E4" s="160">
        <f ca="1">IF(A4&gt;Start.listina!$K$7,"",MIN(F4:L4))</f>
        <v>6</v>
      </c>
      <c r="F4" s="160">
        <f ca="1">IF(TYPE(VLOOKUP(C4,Konečné_pořadí_1_16!$B$2:$D$17,3,0))&lt;4,VLOOKUP(C4,Konečné_pořadí_1_16!$B$2:$D$17,3,0),999)</f>
        <v>6</v>
      </c>
      <c r="G4" s="160">
        <f ca="1">IF(TYPE(VLOOKUP(C4,'KO64'!$D$4:$D$129,1,0))&lt;4,64,999)</f>
        <v>64</v>
      </c>
      <c r="H4" s="160">
        <f ca="1">IF(TYPE(VLOOKUP(C4,'KO32'!$D$4:$D$65,1,0))&lt;4,32,999)</f>
        <v>32</v>
      </c>
      <c r="I4" s="160">
        <f ca="1">IF(TYPE(VLOOKUP(C4,'KO16'!$D$4:$D$33,1,0))&lt;4,16,999)</f>
        <v>16</v>
      </c>
      <c r="J4" s="160">
        <f ca="1">IF(TYPE(VLOOKUP(C4,'KO8'!$D$4:$D$17,1,0))&lt;4,8,999)</f>
        <v>8</v>
      </c>
      <c r="K4" s="160">
        <f ca="1">IF(TYPE(VLOOKUP(C4,'KO4'!$D$4:$D$9,1,0))&lt;4,4,999)</f>
        <v>999</v>
      </c>
      <c r="L4" s="160">
        <f>Start.listina!$K$7</f>
        <v>45</v>
      </c>
      <c r="M4" s="160"/>
      <c r="N4" s="160"/>
      <c r="O4" s="160"/>
      <c r="P4" s="160"/>
      <c r="Q4" s="160"/>
      <c r="R4" s="160"/>
      <c r="S4" s="160"/>
      <c r="T4" s="160"/>
      <c r="U4" s="160"/>
      <c r="V4" s="160"/>
      <c r="W4" s="160"/>
      <c r="X4" s="160"/>
      <c r="Y4" s="160"/>
      <c r="Z4" s="160"/>
      <c r="AA4" s="160"/>
      <c r="AB4" s="160"/>
      <c r="AC4" s="160"/>
      <c r="AD4" s="160"/>
      <c r="AE4" s="160"/>
      <c r="AF4" s="160"/>
      <c r="AG4" s="160"/>
      <c r="AH4" s="160"/>
    </row>
    <row r="5" spans="1:54" ht="12" customHeight="1">
      <c r="A5" s="6">
        <f>IF(OR(Start.listina!H13&gt;Start.listina!$K$7,Start.listina!G13=TRUE),"",Start.listina!H13)</f>
        <v>3</v>
      </c>
      <c r="B5" s="160" t="str">
        <f>IF(A5&gt;Start.listina!$K$7,"",ADDRESS(INT((A5-1)/$M$2)+1,IF(MOD(A5,$M$2)=0,IF(MOD(INT((A5-1)/$M$2)+1,2)=1,$M$2,1),IF(MOD(INT((A5-1)/$M$2)+1,2)=1,MOD(A5,$M$2),$M$2-MOD(A5,$M$2)+1)),4,1))</f>
        <v>C1</v>
      </c>
      <c r="C5" s="162" t="str">
        <f>Start.listina!$AL13</f>
        <v>SKP Hranice VI-Valšovice - Kutá Miloslava</v>
      </c>
      <c r="D5" s="160">
        <f>IF(A5&gt;Start.listina!$K$7,"",INT((A5-1)/$M$2)+1)</f>
        <v>1</v>
      </c>
      <c r="E5" s="160">
        <f ca="1">IF(A5&gt;Start.listina!$K$7,"",MIN(F5:L5))</f>
        <v>4</v>
      </c>
      <c r="F5" s="160">
        <f ca="1">IF(TYPE(VLOOKUP(C5,Konečné_pořadí_1_16!$B$2:$D$17,3,0))&lt;4,VLOOKUP(C5,Konečné_pořadí_1_16!$B$2:$D$17,3,0),999)</f>
        <v>4</v>
      </c>
      <c r="G5" s="160">
        <f ca="1">IF(TYPE(VLOOKUP(C5,'KO64'!$D$4:$D$129,1,0))&lt;4,64,999)</f>
        <v>64</v>
      </c>
      <c r="H5" s="160">
        <f ca="1">IF(TYPE(VLOOKUP(C5,'KO32'!$D$4:$D$65,1,0))&lt;4,32,999)</f>
        <v>32</v>
      </c>
      <c r="I5" s="160">
        <f ca="1">IF(TYPE(VLOOKUP(C5,'KO16'!$D$4:$D$33,1,0))&lt;4,16,999)</f>
        <v>16</v>
      </c>
      <c r="J5" s="160">
        <f ca="1">IF(TYPE(VLOOKUP(C5,'KO8'!$D$4:$D$17,1,0))&lt;4,8,999)</f>
        <v>8</v>
      </c>
      <c r="K5" s="160">
        <f ca="1">IF(TYPE(VLOOKUP(C5,'KO4'!$D$4:$D$9,1,0))&lt;4,4,999)</f>
        <v>4</v>
      </c>
      <c r="L5" s="160">
        <f>Start.listina!$K$7</f>
        <v>45</v>
      </c>
      <c r="M5" s="160"/>
      <c r="N5" s="160"/>
      <c r="O5" s="160"/>
      <c r="P5" s="160"/>
      <c r="Q5" s="160"/>
      <c r="R5" s="160"/>
      <c r="S5" s="160"/>
      <c r="T5" s="160"/>
      <c r="U5" s="160"/>
      <c r="V5" s="160"/>
      <c r="W5" s="160"/>
      <c r="X5" s="160"/>
      <c r="Y5" s="160"/>
      <c r="Z5" s="160"/>
      <c r="AA5" s="160"/>
      <c r="AB5" s="160"/>
      <c r="AC5" s="160"/>
      <c r="AD5" s="160"/>
      <c r="AE5" s="160"/>
      <c r="AF5" s="160"/>
      <c r="AG5" s="160"/>
      <c r="AH5" s="160"/>
    </row>
    <row r="6" spans="1:54" ht="12" customHeight="1">
      <c r="A6" s="6">
        <f>IF(OR(Start.listina!H14&gt;Start.listina!$K$7,Start.listina!G14=TRUE),"",Start.listina!H14)</f>
        <v>4</v>
      </c>
      <c r="B6" s="160" t="str">
        <f>IF(A6&gt;Start.listina!$K$7,"",ADDRESS(INT((A6-1)/$M$2)+1,IF(MOD(A6,$M$2)=0,IF(MOD(INT((A6-1)/$M$2)+1,2)=1,$M$2,1),IF(MOD(INT((A6-1)/$M$2)+1,2)=1,MOD(A6,$M$2),$M$2-MOD(A6,$M$2)+1)),4,1))</f>
        <v>D1</v>
      </c>
      <c r="C6" s="162" t="str">
        <f>Start.listina!$AL14</f>
        <v>PAK Albrechtice - Valík Václav</v>
      </c>
      <c r="D6" s="160">
        <f>IF(A6&gt;Start.listina!$K$7,"",INT((A6-1)/$M$2)+1)</f>
        <v>1</v>
      </c>
      <c r="E6" s="160">
        <f ca="1">IF(A6&gt;Start.listina!$K$7,"",MIN(F6:L6))</f>
        <v>16</v>
      </c>
      <c r="F6" s="160">
        <f ca="1">IF(TYPE(VLOOKUP(C6,Konečné_pořadí_1_16!$B$2:$D$17,3,0))&lt;4,VLOOKUP(C6,Konečné_pořadí_1_16!$B$2:$D$17,3,0),999)</f>
        <v>16</v>
      </c>
      <c r="G6" s="160">
        <f ca="1">IF(TYPE(VLOOKUP(C6,'KO64'!$D$4:$D$129,1,0))&lt;4,64,999)</f>
        <v>64</v>
      </c>
      <c r="H6" s="160">
        <f ca="1">IF(TYPE(VLOOKUP(C6,'KO32'!$D$4:$D$65,1,0))&lt;4,32,999)</f>
        <v>32</v>
      </c>
      <c r="I6" s="160">
        <f ca="1">IF(TYPE(VLOOKUP(C6,'KO16'!$D$4:$D$33,1,0))&lt;4,16,999)</f>
        <v>16</v>
      </c>
      <c r="J6" s="160">
        <f ca="1">IF(TYPE(VLOOKUP(C6,'KO8'!$D$4:$D$17,1,0))&lt;4,8,999)</f>
        <v>999</v>
      </c>
      <c r="K6" s="160">
        <f ca="1">IF(TYPE(VLOOKUP(C6,'KO4'!$D$4:$D$9,1,0))&lt;4,4,999)</f>
        <v>999</v>
      </c>
      <c r="L6" s="160">
        <f>Start.listina!$K$7</f>
        <v>45</v>
      </c>
      <c r="M6" s="160"/>
      <c r="N6" s="160"/>
      <c r="O6" s="160"/>
      <c r="P6" s="160"/>
      <c r="Q6" s="160"/>
      <c r="R6" s="160"/>
      <c r="S6" s="160"/>
      <c r="T6" s="160"/>
      <c r="U6" s="160"/>
      <c r="V6" s="160"/>
      <c r="W6" s="160"/>
      <c r="X6" s="160"/>
      <c r="Y6" s="160"/>
      <c r="Z6" s="160"/>
      <c r="AA6" s="160"/>
      <c r="AB6" s="160"/>
      <c r="AC6" s="160"/>
      <c r="AD6" s="160"/>
      <c r="AE6" s="160"/>
      <c r="AF6" s="160"/>
      <c r="AG6" s="160"/>
      <c r="AH6" s="160"/>
    </row>
    <row r="7" spans="1:54" ht="12" customHeight="1">
      <c r="A7" s="6">
        <f>IF(OR(Start.listina!H15&gt;Start.listina!$K$7,Start.listina!G15=TRUE),"",Start.listina!H15)</f>
        <v>5</v>
      </c>
      <c r="B7" s="160" t="str">
        <f>IF(A7&gt;Start.listina!$K$7,"",ADDRESS(INT((A7-1)/$M$2)+1,IF(MOD(A7,$M$2)=0,IF(MOD(INT((A7-1)/$M$2)+1,2)=1,$M$2,1),IF(MOD(INT((A7-1)/$M$2)+1,2)=1,MOD(A7,$M$2),$M$2-MOD(A7,$M$2)+1)),4,1))</f>
        <v>E1</v>
      </c>
      <c r="C7" s="162" t="str">
        <f>Start.listina!$AL15</f>
        <v>HRODE KRUMSÍN - Krpec Miroslav</v>
      </c>
      <c r="D7" s="160">
        <f>IF(A7&gt;Start.listina!$K$7,"",INT((A7-1)/$M$2)+1)</f>
        <v>1</v>
      </c>
      <c r="E7" s="160">
        <f ca="1">IF(A7&gt;Start.listina!$K$7,"",MIN(F7:L7))</f>
        <v>7</v>
      </c>
      <c r="F7" s="160">
        <f ca="1">IF(TYPE(VLOOKUP(C7,Konečné_pořadí_1_16!$B$2:$D$17,3,0))&lt;4,VLOOKUP(C7,Konečné_pořadí_1_16!$B$2:$D$17,3,0),999)</f>
        <v>7</v>
      </c>
      <c r="G7" s="160">
        <f ca="1">IF(TYPE(VLOOKUP(C7,'KO64'!$D$4:$D$129,1,0))&lt;4,64,999)</f>
        <v>64</v>
      </c>
      <c r="H7" s="160">
        <f ca="1">IF(TYPE(VLOOKUP(C7,'KO32'!$D$4:$D$65,1,0))&lt;4,32,999)</f>
        <v>32</v>
      </c>
      <c r="I7" s="160">
        <f ca="1">IF(TYPE(VLOOKUP(C7,'KO16'!$D$4:$D$33,1,0))&lt;4,16,999)</f>
        <v>16</v>
      </c>
      <c r="J7" s="160">
        <f ca="1">IF(TYPE(VLOOKUP(C7,'KO8'!$D$4:$D$17,1,0))&lt;4,8,999)</f>
        <v>8</v>
      </c>
      <c r="K7" s="160">
        <f ca="1">IF(TYPE(VLOOKUP(C7,'KO4'!$D$4:$D$9,1,0))&lt;4,4,999)</f>
        <v>999</v>
      </c>
      <c r="L7" s="160">
        <f>Start.listina!$K$7</f>
        <v>45</v>
      </c>
      <c r="M7" s="160"/>
      <c r="N7" s="160"/>
      <c r="O7" s="160"/>
      <c r="P7" s="160"/>
      <c r="Q7" s="160"/>
      <c r="R7" s="160"/>
      <c r="S7" s="160"/>
      <c r="T7" s="160"/>
      <c r="U7" s="160"/>
      <c r="V7" s="160"/>
      <c r="W7" s="160"/>
      <c r="X7" s="160"/>
      <c r="Y7" s="160"/>
      <c r="Z7" s="160"/>
      <c r="AA7" s="160"/>
      <c r="AB7" s="160"/>
      <c r="AC7" s="160"/>
      <c r="AD7" s="160"/>
      <c r="AE7" s="160"/>
      <c r="AF7" s="160"/>
      <c r="AG7" s="160"/>
      <c r="AH7" s="160"/>
    </row>
    <row r="8" spans="1:54" ht="12" customHeight="1">
      <c r="A8" s="6">
        <f>IF(OR(Start.listina!H16&gt;Start.listina!$K$7,Start.listina!G16=TRUE),"",Start.listina!H16)</f>
        <v>6</v>
      </c>
      <c r="B8" s="160" t="str">
        <f>IF(A8&gt;Start.listina!$K$7,"",ADDRESS(INT((A8-1)/$M$2)+1,IF(MOD(A8,$M$2)=0,IF(MOD(INT((A8-1)/$M$2)+1,2)=1,$M$2,1),IF(MOD(INT((A8-1)/$M$2)+1,2)=1,MOD(A8,$M$2),$M$2-MOD(A8,$M$2)+1)),4,1))</f>
        <v>F1</v>
      </c>
      <c r="C8" s="162" t="str">
        <f>Start.listina!$AL16</f>
        <v>TOP - ORLOVÁ - Bačo David</v>
      </c>
      <c r="D8" s="160">
        <f>IF(A8&gt;Start.listina!$K$7,"",INT((A8-1)/$M$2)+1)</f>
        <v>1</v>
      </c>
      <c r="E8" s="160">
        <f ca="1">IF(A8&gt;Start.listina!$K$7,"",MIN(F8:L8))</f>
        <v>10</v>
      </c>
      <c r="F8" s="160">
        <f ca="1">IF(TYPE(VLOOKUP(C8,Konečné_pořadí_1_16!$B$2:$D$17,3,0))&lt;4,VLOOKUP(C8,Konečné_pořadí_1_16!$B$2:$D$17,3,0),999)</f>
        <v>10</v>
      </c>
      <c r="G8" s="160">
        <f ca="1">IF(TYPE(VLOOKUP(C8,'KO64'!$D$4:$D$129,1,0))&lt;4,64,999)</f>
        <v>64</v>
      </c>
      <c r="H8" s="160">
        <f ca="1">IF(TYPE(VLOOKUP(C8,'KO32'!$D$4:$D$65,1,0))&lt;4,32,999)</f>
        <v>32</v>
      </c>
      <c r="I8" s="160">
        <f ca="1">IF(TYPE(VLOOKUP(C8,'KO16'!$D$4:$D$33,1,0))&lt;4,16,999)</f>
        <v>16</v>
      </c>
      <c r="J8" s="160">
        <f ca="1">IF(TYPE(VLOOKUP(C8,'KO8'!$D$4:$D$17,1,0))&lt;4,8,999)</f>
        <v>999</v>
      </c>
      <c r="K8" s="160">
        <f ca="1">IF(TYPE(VLOOKUP(C8,'KO4'!$D$4:$D$9,1,0))&lt;4,4,999)</f>
        <v>999</v>
      </c>
      <c r="L8" s="160">
        <f>Start.listina!$K$7</f>
        <v>45</v>
      </c>
      <c r="M8" s="160"/>
      <c r="N8" s="160"/>
      <c r="O8" s="160"/>
      <c r="P8" s="160"/>
      <c r="Q8" s="160"/>
      <c r="R8" s="160"/>
      <c r="S8" s="160"/>
      <c r="T8" s="160"/>
      <c r="U8" s="160"/>
      <c r="V8" s="160"/>
      <c r="W8" s="160"/>
      <c r="X8" s="160"/>
      <c r="Y8" s="160"/>
      <c r="Z8" s="160"/>
      <c r="AA8" s="160"/>
      <c r="AB8" s="160"/>
      <c r="AC8" s="160"/>
      <c r="AD8" s="160"/>
      <c r="AE8" s="160"/>
      <c r="AF8" s="160"/>
      <c r="AG8" s="160"/>
      <c r="AH8" s="160"/>
    </row>
    <row r="9" spans="1:54" ht="12" customHeight="1">
      <c r="A9" s="6">
        <f>IF(OR(Start.listina!H17&gt;Start.listina!$K$7,Start.listina!G17=TRUE),"",Start.listina!H17)</f>
        <v>7</v>
      </c>
      <c r="B9" s="160" t="str">
        <f>IF(A9&gt;Start.listina!$K$7,"",ADDRESS(INT((A9-1)/$M$2)+1,IF(MOD(A9,$M$2)=0,IF(MOD(INT((A9-1)/$M$2)+1,2)=1,$M$2,1),IF(MOD(INT((A9-1)/$M$2)+1,2)=1,MOD(A9,$M$2),$M$2-MOD(A9,$M$2)+1)),4,1))</f>
        <v>G1</v>
      </c>
      <c r="C9" s="162" t="str">
        <f>Start.listina!$AL17</f>
        <v>HRODE KRUMSÍN - Ptáčková Eliška</v>
      </c>
      <c r="D9" s="160">
        <f>IF(A9&gt;Start.listina!$K$7,"",INT((A9-1)/$M$2)+1)</f>
        <v>1</v>
      </c>
      <c r="E9" s="160">
        <f ca="1">IF(A9&gt;Start.listina!$K$7,"",MIN(F9:L9))</f>
        <v>45</v>
      </c>
      <c r="F9" s="160">
        <f ca="1">IF(TYPE(VLOOKUP(C9,Konečné_pořadí_1_16!$B$2:$D$17,3,0))&lt;4,VLOOKUP(C9,Konečné_pořadí_1_16!$B$2:$D$17,3,0),999)</f>
        <v>999</v>
      </c>
      <c r="G9" s="160">
        <f ca="1">IF(TYPE(VLOOKUP(C9,'KO64'!$D$4:$D$129,1,0))&lt;4,64,999)</f>
        <v>999</v>
      </c>
      <c r="H9" s="160">
        <f ca="1">IF(TYPE(VLOOKUP(C9,'KO32'!$D$4:$D$65,1,0))&lt;4,32,999)</f>
        <v>999</v>
      </c>
      <c r="I9" s="160">
        <f ca="1">IF(TYPE(VLOOKUP(C9,'KO16'!$D$4:$D$33,1,0))&lt;4,16,999)</f>
        <v>999</v>
      </c>
      <c r="J9" s="160">
        <f ca="1">IF(TYPE(VLOOKUP(C9,'KO8'!$D$4:$D$17,1,0))&lt;4,8,999)</f>
        <v>999</v>
      </c>
      <c r="K9" s="160">
        <f ca="1">IF(TYPE(VLOOKUP(C9,'KO4'!$D$4:$D$9,1,0))&lt;4,4,999)</f>
        <v>999</v>
      </c>
      <c r="L9" s="160">
        <f>Start.listina!$K$7</f>
        <v>45</v>
      </c>
      <c r="M9" s="160"/>
      <c r="N9" s="160"/>
      <c r="O9" s="160"/>
      <c r="P9" s="160"/>
      <c r="Q9" s="160"/>
      <c r="R9" s="160"/>
      <c r="S9" s="160"/>
      <c r="T9" s="160"/>
      <c r="U9" s="160"/>
      <c r="V9" s="160"/>
      <c r="W9" s="160"/>
      <c r="X9" s="160"/>
      <c r="Y9" s="160"/>
      <c r="Z9" s="160"/>
      <c r="AA9" s="160"/>
      <c r="AB9" s="160"/>
      <c r="AC9" s="160"/>
      <c r="AD9" s="160"/>
      <c r="AE9" s="160"/>
      <c r="AF9" s="160"/>
      <c r="AG9" s="160"/>
      <c r="AH9" s="160"/>
    </row>
    <row r="10" spans="1:54" ht="12" customHeight="1">
      <c r="A10" s="6">
        <f>IF(OR(Start.listina!H18&gt;Start.listina!$K$7,Start.listina!G18=TRUE),"",Start.listina!H18)</f>
        <v>8</v>
      </c>
      <c r="B10" s="160" t="str">
        <f>IF(A10&gt;Start.listina!$K$7,"",ADDRESS(INT((A10-1)/$M$2)+1,IF(MOD(A10,$M$2)=0,IF(MOD(INT((A10-1)/$M$2)+1,2)=1,$M$2,1),IF(MOD(INT((A10-1)/$M$2)+1,2)=1,MOD(A10,$M$2),$M$2-MOD(A10,$M$2)+1)),4,1))</f>
        <v>H1</v>
      </c>
      <c r="C10" s="162" t="str">
        <f>Start.listina!$AL18</f>
        <v>Carreau Brno - Grepl Jiří</v>
      </c>
      <c r="D10" s="160">
        <f>IF(A10&gt;Start.listina!$K$7,"",INT((A10-1)/$M$2)+1)</f>
        <v>1</v>
      </c>
      <c r="E10" s="160">
        <f ca="1">IF(A10&gt;Start.listina!$K$7,"",MIN(F10:L10))</f>
        <v>8</v>
      </c>
      <c r="F10" s="160">
        <f ca="1">IF(TYPE(VLOOKUP(C10,Konečné_pořadí_1_16!$B$2:$D$17,3,0))&lt;4,VLOOKUP(C10,Konečné_pořadí_1_16!$B$2:$D$17,3,0),999)</f>
        <v>8</v>
      </c>
      <c r="G10" s="160">
        <f ca="1">IF(TYPE(VLOOKUP(C10,'KO64'!$D$4:$D$129,1,0))&lt;4,64,999)</f>
        <v>64</v>
      </c>
      <c r="H10" s="160">
        <f ca="1">IF(TYPE(VLOOKUP(C10,'KO32'!$D$4:$D$65,1,0))&lt;4,32,999)</f>
        <v>32</v>
      </c>
      <c r="I10" s="160">
        <f ca="1">IF(TYPE(VLOOKUP(C10,'KO16'!$D$4:$D$33,1,0))&lt;4,16,999)</f>
        <v>16</v>
      </c>
      <c r="J10" s="160">
        <f ca="1">IF(TYPE(VLOOKUP(C10,'KO8'!$D$4:$D$17,1,0))&lt;4,8,999)</f>
        <v>8</v>
      </c>
      <c r="K10" s="160">
        <f ca="1">IF(TYPE(VLOOKUP(C10,'KO4'!$D$4:$D$9,1,0))&lt;4,4,999)</f>
        <v>999</v>
      </c>
      <c r="L10" s="160">
        <f>Start.listina!$K$7</f>
        <v>45</v>
      </c>
      <c r="M10" s="160"/>
      <c r="N10" s="160"/>
      <c r="O10" s="160"/>
      <c r="P10" s="160"/>
      <c r="Q10" s="160"/>
      <c r="R10" s="160"/>
      <c r="S10" s="160"/>
      <c r="T10" s="160"/>
      <c r="U10" s="160"/>
      <c r="V10" s="160"/>
      <c r="W10" s="160"/>
      <c r="X10" s="160"/>
      <c r="Y10" s="160"/>
      <c r="Z10" s="160"/>
      <c r="AA10" s="160"/>
      <c r="AB10" s="160"/>
      <c r="AC10" s="160"/>
      <c r="AD10" s="160"/>
      <c r="AE10" s="160"/>
      <c r="AF10" s="160"/>
      <c r="AG10" s="160"/>
      <c r="AH10" s="160"/>
    </row>
    <row r="11" spans="1:54" ht="12" customHeight="1">
      <c r="A11" s="6">
        <f>IF(OR(Start.listina!H19&gt;Start.listina!$K$7,Start.listina!G19=TRUE),"",Start.listina!H19)</f>
        <v>9</v>
      </c>
      <c r="B11" s="160" t="str">
        <f>IF(A11&gt;Start.listina!$K$7,"",ADDRESS(INT((A11-1)/$M$2)+1,IF(MOD(A11,$M$2)=0,IF(MOD(INT((A11-1)/$M$2)+1,2)=1,$M$2,1),IF(MOD(INT((A11-1)/$M$2)+1,2)=1,MOD(A11,$M$2),$M$2-MOD(A11,$M$2)+1)),4,1))</f>
        <v>H2</v>
      </c>
      <c r="C11" s="162" t="str">
        <f>Start.listina!$AL19</f>
        <v>POP Praha - Hodboďová Romana</v>
      </c>
      <c r="D11" s="160">
        <f>IF(A11&gt;Start.listina!$K$7,"",INT((A11-1)/$M$2)+1)</f>
        <v>2</v>
      </c>
      <c r="E11" s="160">
        <f ca="1">IF(A11&gt;Start.listina!$K$7,"",MIN(F11:L11))</f>
        <v>45</v>
      </c>
      <c r="F11" s="160">
        <f ca="1">IF(TYPE(VLOOKUP(C11,Konečné_pořadí_1_16!$B$2:$D$17,3,0))&lt;4,VLOOKUP(C11,Konečné_pořadí_1_16!$B$2:$D$17,3,0),999)</f>
        <v>999</v>
      </c>
      <c r="G11" s="160">
        <f ca="1">IF(TYPE(VLOOKUP(C11,'KO64'!$D$4:$D$129,1,0))&lt;4,64,999)</f>
        <v>999</v>
      </c>
      <c r="H11" s="160">
        <f ca="1">IF(TYPE(VLOOKUP(C11,'KO32'!$D$4:$D$65,1,0))&lt;4,32,999)</f>
        <v>999</v>
      </c>
      <c r="I11" s="160">
        <f ca="1">IF(TYPE(VLOOKUP(C11,'KO16'!$D$4:$D$33,1,0))&lt;4,16,999)</f>
        <v>999</v>
      </c>
      <c r="J11" s="160">
        <f ca="1">IF(TYPE(VLOOKUP(C11,'KO8'!$D$4:$D$17,1,0))&lt;4,8,999)</f>
        <v>999</v>
      </c>
      <c r="K11" s="160">
        <f ca="1">IF(TYPE(VLOOKUP(C11,'KO4'!$D$4:$D$9,1,0))&lt;4,4,999)</f>
        <v>999</v>
      </c>
      <c r="L11" s="160">
        <f>Start.listina!$K$7</f>
        <v>45</v>
      </c>
      <c r="M11" s="160"/>
      <c r="N11" s="160"/>
      <c r="O11" s="160"/>
      <c r="P11" s="160"/>
      <c r="Q11" s="160"/>
      <c r="R11" s="160"/>
      <c r="S11" s="160"/>
      <c r="T11" s="160"/>
      <c r="U11" s="160"/>
      <c r="V11" s="160"/>
      <c r="W11" s="160"/>
      <c r="X11" s="160"/>
      <c r="Y11" s="160"/>
      <c r="Z11" s="160"/>
      <c r="AA11" s="160"/>
      <c r="AB11" s="160"/>
      <c r="AC11" s="160"/>
      <c r="AD11" s="160"/>
      <c r="AE11" s="160"/>
      <c r="AF11" s="160"/>
      <c r="AG11" s="160"/>
      <c r="AH11" s="160"/>
    </row>
    <row r="12" spans="1:54" ht="12" customHeight="1">
      <c r="A12" s="6">
        <f>IF(OR(Start.listina!H20&gt;Start.listina!$K$7,Start.listina!G20=TRUE),"",Start.listina!H20)</f>
        <v>10</v>
      </c>
      <c r="B12" s="160" t="str">
        <f>IF(A12&gt;Start.listina!$K$7,"",ADDRESS(INT((A12-1)/$M$2)+1,IF(MOD(A12,$M$2)=0,IF(MOD(INT((A12-1)/$M$2)+1,2)=1,$M$2,1),IF(MOD(INT((A12-1)/$M$2)+1,2)=1,MOD(A12,$M$2),$M$2-MOD(A12,$M$2)+1)),4,1))</f>
        <v>G2</v>
      </c>
      <c r="C12" s="162" t="str">
        <f>Start.listina!$AL20</f>
        <v>SK Pétanque Řepy - Holoubek Pavel</v>
      </c>
      <c r="D12" s="160">
        <f>IF(A12&gt;Start.listina!$K$7,"",INT((A12-1)/$M$2)+1)</f>
        <v>2</v>
      </c>
      <c r="E12" s="160">
        <f ca="1">IF(A12&gt;Start.listina!$K$7,"",MIN(F12:L12))</f>
        <v>45</v>
      </c>
      <c r="F12" s="160">
        <f ca="1">IF(TYPE(VLOOKUP(C12,Konečné_pořadí_1_16!$B$2:$D$17,3,0))&lt;4,VLOOKUP(C12,Konečné_pořadí_1_16!$B$2:$D$17,3,0),999)</f>
        <v>999</v>
      </c>
      <c r="G12" s="160">
        <f ca="1">IF(TYPE(VLOOKUP(C12,'KO64'!$D$4:$D$129,1,0))&lt;4,64,999)</f>
        <v>999</v>
      </c>
      <c r="H12" s="160">
        <f ca="1">IF(TYPE(VLOOKUP(C12,'KO32'!$D$4:$D$65,1,0))&lt;4,32,999)</f>
        <v>999</v>
      </c>
      <c r="I12" s="160">
        <f ca="1">IF(TYPE(VLOOKUP(C12,'KO16'!$D$4:$D$33,1,0))&lt;4,16,999)</f>
        <v>999</v>
      </c>
      <c r="J12" s="160">
        <f ca="1">IF(TYPE(VLOOKUP(C12,'KO8'!$D$4:$D$17,1,0))&lt;4,8,999)</f>
        <v>999</v>
      </c>
      <c r="K12" s="160">
        <f ca="1">IF(TYPE(VLOOKUP(C12,'KO4'!$D$4:$D$9,1,0))&lt;4,4,999)</f>
        <v>999</v>
      </c>
      <c r="L12" s="160">
        <f>Start.listina!$K$7</f>
        <v>45</v>
      </c>
      <c r="M12" s="160"/>
      <c r="N12" s="160"/>
      <c r="O12" s="160"/>
      <c r="P12" s="160"/>
      <c r="Q12" s="160"/>
      <c r="R12" s="160"/>
      <c r="S12" s="160"/>
      <c r="T12" s="160"/>
      <c r="U12" s="160"/>
      <c r="V12" s="160"/>
      <c r="W12" s="160"/>
      <c r="X12" s="160"/>
      <c r="Y12" s="160"/>
      <c r="Z12" s="160"/>
      <c r="AA12" s="160"/>
      <c r="AB12" s="160"/>
      <c r="AC12" s="160"/>
      <c r="AD12" s="160"/>
      <c r="AE12" s="160"/>
      <c r="AF12" s="160"/>
      <c r="AG12" s="160"/>
      <c r="AH12" s="160"/>
    </row>
    <row r="13" spans="1:54" ht="12" customHeight="1">
      <c r="A13" s="6">
        <f>IF(OR(Start.listina!H21&gt;Start.listina!$K$7,Start.listina!G21=TRUE),"",Start.listina!H21)</f>
        <v>11</v>
      </c>
      <c r="B13" s="160" t="str">
        <f>IF(A13&gt;Start.listina!$K$7,"",ADDRESS(INT((A13-1)/$M$2)+1,IF(MOD(A13,$M$2)=0,IF(MOD(INT((A13-1)/$M$2)+1,2)=1,$M$2,1),IF(MOD(INT((A13-1)/$M$2)+1,2)=1,MOD(A13,$M$2),$M$2-MOD(A13,$M$2)+1)),4,1))</f>
        <v>F2</v>
      </c>
      <c r="C13" s="162" t="str">
        <f>Start.listina!$AL21</f>
        <v>SKP Hranice VI-Valšovice - Jakeš Zbyněk</v>
      </c>
      <c r="D13" s="160">
        <f>IF(A13&gt;Start.listina!$K$7,"",INT((A13-1)/$M$2)+1)</f>
        <v>2</v>
      </c>
      <c r="E13" s="160">
        <f ca="1">IF(A13&gt;Start.listina!$K$7,"",MIN(F13:L13))</f>
        <v>5</v>
      </c>
      <c r="F13" s="160">
        <f ca="1">IF(TYPE(VLOOKUP(C13,Konečné_pořadí_1_16!$B$2:$D$17,3,0))&lt;4,VLOOKUP(C13,Konečné_pořadí_1_16!$B$2:$D$17,3,0),999)</f>
        <v>5</v>
      </c>
      <c r="G13" s="160">
        <f ca="1">IF(TYPE(VLOOKUP(C13,'KO64'!$D$4:$D$129,1,0))&lt;4,64,999)</f>
        <v>64</v>
      </c>
      <c r="H13" s="160">
        <f ca="1">IF(TYPE(VLOOKUP(C13,'KO32'!$D$4:$D$65,1,0))&lt;4,32,999)</f>
        <v>32</v>
      </c>
      <c r="I13" s="160">
        <f ca="1">IF(TYPE(VLOOKUP(C13,'KO16'!$D$4:$D$33,1,0))&lt;4,16,999)</f>
        <v>16</v>
      </c>
      <c r="J13" s="160">
        <f ca="1">IF(TYPE(VLOOKUP(C13,'KO8'!$D$4:$D$17,1,0))&lt;4,8,999)</f>
        <v>8</v>
      </c>
      <c r="K13" s="160">
        <f ca="1">IF(TYPE(VLOOKUP(C13,'KO4'!$D$4:$D$9,1,0))&lt;4,4,999)</f>
        <v>999</v>
      </c>
      <c r="L13" s="160">
        <f>Start.listina!$K$7</f>
        <v>45</v>
      </c>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54" ht="12" customHeight="1">
      <c r="A14" s="6">
        <f>IF(OR(Start.listina!H22&gt;Start.listina!$K$7,Start.listina!G22=TRUE),"",Start.listina!H22)</f>
        <v>12</v>
      </c>
      <c r="B14" s="160" t="str">
        <f>IF(A14&gt;Start.listina!$K$7,"",ADDRESS(INT((A14-1)/$M$2)+1,IF(MOD(A14,$M$2)=0,IF(MOD(INT((A14-1)/$M$2)+1,2)=1,$M$2,1),IF(MOD(INT((A14-1)/$M$2)+1,2)=1,MOD(A14,$M$2),$M$2-MOD(A14,$M$2)+1)),4,1))</f>
        <v>E2</v>
      </c>
      <c r="C14" s="162" t="str">
        <f>Start.listina!$AL22</f>
        <v>SKP Kulová osma - Krejčín Leoš</v>
      </c>
      <c r="D14" s="160">
        <f>IF(A14&gt;Start.listina!$K$7,"",INT((A14-1)/$M$2)+1)</f>
        <v>2</v>
      </c>
      <c r="E14" s="160">
        <f ca="1">IF(A14&gt;Start.listina!$K$7,"",MIN(F14:L14))</f>
        <v>9</v>
      </c>
      <c r="F14" s="160">
        <f ca="1">IF(TYPE(VLOOKUP(C14,Konečné_pořadí_1_16!$B$2:$D$17,3,0))&lt;4,VLOOKUP(C14,Konečné_pořadí_1_16!$B$2:$D$17,3,0),999)</f>
        <v>9</v>
      </c>
      <c r="G14" s="160">
        <f ca="1">IF(TYPE(VLOOKUP(C14,'KO64'!$D$4:$D$129,1,0))&lt;4,64,999)</f>
        <v>64</v>
      </c>
      <c r="H14" s="160">
        <f ca="1">IF(TYPE(VLOOKUP(C14,'KO32'!$D$4:$D$65,1,0))&lt;4,32,999)</f>
        <v>32</v>
      </c>
      <c r="I14" s="160">
        <f ca="1">IF(TYPE(VLOOKUP(C14,'KO16'!$D$4:$D$33,1,0))&lt;4,16,999)</f>
        <v>16</v>
      </c>
      <c r="J14" s="160">
        <f ca="1">IF(TYPE(VLOOKUP(C14,'KO8'!$D$4:$D$17,1,0))&lt;4,8,999)</f>
        <v>999</v>
      </c>
      <c r="K14" s="160">
        <f ca="1">IF(TYPE(VLOOKUP(C14,'KO4'!$D$4:$D$9,1,0))&lt;4,4,999)</f>
        <v>999</v>
      </c>
      <c r="L14" s="160">
        <f>Start.listina!$K$7</f>
        <v>45</v>
      </c>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54" ht="12" customHeight="1">
      <c r="A15" s="6">
        <f>IF(OR(Start.listina!H23&gt;Start.listina!$K$7,Start.listina!G23=TRUE),"",Start.listina!H23)</f>
        <v>13</v>
      </c>
      <c r="B15" s="160" t="str">
        <f>IF(A15&gt;Start.listina!$K$7,"",ADDRESS(INT((A15-1)/$M$2)+1,IF(MOD(A15,$M$2)=0,IF(MOD(INT((A15-1)/$M$2)+1,2)=1,$M$2,1),IF(MOD(INT((A15-1)/$M$2)+1,2)=1,MOD(A15,$M$2),$M$2-MOD(A15,$M$2)+1)),4,1))</f>
        <v>D2</v>
      </c>
      <c r="C15" s="162" t="str">
        <f>Start.listina!$AL23</f>
        <v>PK Polouvsí - Valošková Sára</v>
      </c>
      <c r="D15" s="160">
        <f>IF(A15&gt;Start.listina!$K$7,"",INT((A15-1)/$M$2)+1)</f>
        <v>2</v>
      </c>
      <c r="E15" s="160">
        <f ca="1">IF(A15&gt;Start.listina!$K$7,"",MIN(F15:L15))</f>
        <v>45</v>
      </c>
      <c r="F15" s="160">
        <f ca="1">IF(TYPE(VLOOKUP(C15,Konečné_pořadí_1_16!$B$2:$D$17,3,0))&lt;4,VLOOKUP(C15,Konečné_pořadí_1_16!$B$2:$D$17,3,0),999)</f>
        <v>999</v>
      </c>
      <c r="G15" s="160">
        <f ca="1">IF(TYPE(VLOOKUP(C15,'KO64'!$D$4:$D$129,1,0))&lt;4,64,999)</f>
        <v>999</v>
      </c>
      <c r="H15" s="160">
        <f ca="1">IF(TYPE(VLOOKUP(C15,'KO32'!$D$4:$D$65,1,0))&lt;4,32,999)</f>
        <v>999</v>
      </c>
      <c r="I15" s="160">
        <f ca="1">IF(TYPE(VLOOKUP(C15,'KO16'!$D$4:$D$33,1,0))&lt;4,16,999)</f>
        <v>999</v>
      </c>
      <c r="J15" s="160">
        <f ca="1">IF(TYPE(VLOOKUP(C15,'KO8'!$D$4:$D$17,1,0))&lt;4,8,999)</f>
        <v>999</v>
      </c>
      <c r="K15" s="160">
        <f ca="1">IF(TYPE(VLOOKUP(C15,'KO4'!$D$4:$D$9,1,0))&lt;4,4,999)</f>
        <v>999</v>
      </c>
      <c r="L15" s="160">
        <f>Start.listina!$K$7</f>
        <v>45</v>
      </c>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54" ht="12" customHeight="1">
      <c r="A16" s="6">
        <f>IF(OR(Start.listina!H24&gt;Start.listina!$K$7,Start.listina!G24=TRUE),"",Start.listina!H24)</f>
        <v>14</v>
      </c>
      <c r="B16" s="160" t="str">
        <f>IF(A16&gt;Start.listina!$K$7,"",ADDRESS(INT((A16-1)/$M$2)+1,IF(MOD(A16,$M$2)=0,IF(MOD(INT((A16-1)/$M$2)+1,2)=1,$M$2,1),IF(MOD(INT((A16-1)/$M$2)+1,2)=1,MOD(A16,$M$2),$M$2-MOD(A16,$M$2)+1)),4,1))</f>
        <v>C2</v>
      </c>
      <c r="C16" s="162" t="str">
        <f>Start.listina!$AL24</f>
        <v>PAK Albrechtice - Bukovčík Jan</v>
      </c>
      <c r="D16" s="160">
        <f>IF(A16&gt;Start.listina!$K$7,"",INT((A16-1)/$M$2)+1)</f>
        <v>2</v>
      </c>
      <c r="E16" s="160">
        <f ca="1">IF(A16&gt;Start.listina!$K$7,"",MIN(F16:L16))</f>
        <v>45</v>
      </c>
      <c r="F16" s="160">
        <f ca="1">IF(TYPE(VLOOKUP(C16,Konečné_pořadí_1_16!$B$2:$D$17,3,0))&lt;4,VLOOKUP(C16,Konečné_pořadí_1_16!$B$2:$D$17,3,0),999)</f>
        <v>999</v>
      </c>
      <c r="G16" s="160">
        <f ca="1">IF(TYPE(VLOOKUP(C16,'KO64'!$D$4:$D$129,1,0))&lt;4,64,999)</f>
        <v>999</v>
      </c>
      <c r="H16" s="160">
        <f ca="1">IF(TYPE(VLOOKUP(C16,'KO32'!$D$4:$D$65,1,0))&lt;4,32,999)</f>
        <v>999</v>
      </c>
      <c r="I16" s="160">
        <f ca="1">IF(TYPE(VLOOKUP(C16,'KO16'!$D$4:$D$33,1,0))&lt;4,16,999)</f>
        <v>999</v>
      </c>
      <c r="J16" s="160">
        <f ca="1">IF(TYPE(VLOOKUP(C16,'KO8'!$D$4:$D$17,1,0))&lt;4,8,999)</f>
        <v>999</v>
      </c>
      <c r="K16" s="160">
        <f ca="1">IF(TYPE(VLOOKUP(C16,'KO4'!$D$4:$D$9,1,0))&lt;4,4,999)</f>
        <v>999</v>
      </c>
      <c r="L16" s="160">
        <f>Start.listina!$K$7</f>
        <v>45</v>
      </c>
      <c r="M16" s="160"/>
      <c r="N16" s="160"/>
      <c r="O16" s="160"/>
      <c r="P16" s="160"/>
      <c r="Q16" s="160"/>
      <c r="R16" s="160"/>
      <c r="S16" s="160"/>
      <c r="T16" s="160"/>
      <c r="U16" s="160"/>
      <c r="V16" s="160"/>
      <c r="W16" s="160"/>
      <c r="X16" s="160"/>
      <c r="Y16" s="160"/>
      <c r="Z16" s="160"/>
      <c r="AA16" s="160"/>
      <c r="AB16" s="160"/>
      <c r="AC16" s="160"/>
      <c r="AD16" s="160"/>
      <c r="AE16" s="160"/>
      <c r="AF16" s="160"/>
      <c r="AG16" s="160"/>
      <c r="AH16" s="160"/>
    </row>
    <row r="17" spans="1:34" ht="12" customHeight="1">
      <c r="A17" s="6">
        <f>IF(OR(Start.listina!H25&gt;Start.listina!$K$7,Start.listina!G25=TRUE),"",Start.listina!H25)</f>
        <v>15</v>
      </c>
      <c r="B17" s="160" t="str">
        <f>IF(A17&gt;Start.listina!$K$7,"",ADDRESS(INT((A17-1)/$M$2)+1,IF(MOD(A17,$M$2)=0,IF(MOD(INT((A17-1)/$M$2)+1,2)=1,$M$2,1),IF(MOD(INT((A17-1)/$M$2)+1,2)=1,MOD(A17,$M$2),$M$2-MOD(A17,$M$2)+1)),4,1))</f>
        <v>B2</v>
      </c>
      <c r="C17" s="162" t="str">
        <f>Start.listina!$AL25</f>
        <v>FENYX Adamov - Král Pavel</v>
      </c>
      <c r="D17" s="160">
        <f>IF(A17&gt;Start.listina!$K$7,"",INT((A17-1)/$M$2)+1)</f>
        <v>2</v>
      </c>
      <c r="E17" s="160">
        <f ca="1">IF(A17&gt;Start.listina!$K$7,"",MIN(F17:L17))</f>
        <v>45</v>
      </c>
      <c r="F17" s="160">
        <f ca="1">IF(TYPE(VLOOKUP(C17,Konečné_pořadí_1_16!$B$2:$D$17,3,0))&lt;4,VLOOKUP(C17,Konečné_pořadí_1_16!$B$2:$D$17,3,0),999)</f>
        <v>999</v>
      </c>
      <c r="G17" s="160">
        <f ca="1">IF(TYPE(VLOOKUP(C17,'KO64'!$D$4:$D$129,1,0))&lt;4,64,999)</f>
        <v>999</v>
      </c>
      <c r="H17" s="160">
        <f ca="1">IF(TYPE(VLOOKUP(C17,'KO32'!$D$4:$D$65,1,0))&lt;4,32,999)</f>
        <v>999</v>
      </c>
      <c r="I17" s="160">
        <f ca="1">IF(TYPE(VLOOKUP(C17,'KO16'!$D$4:$D$33,1,0))&lt;4,16,999)</f>
        <v>999</v>
      </c>
      <c r="J17" s="160">
        <f ca="1">IF(TYPE(VLOOKUP(C17,'KO8'!$D$4:$D$17,1,0))&lt;4,8,999)</f>
        <v>999</v>
      </c>
      <c r="K17" s="160">
        <f ca="1">IF(TYPE(VLOOKUP(C17,'KO4'!$D$4:$D$9,1,0))&lt;4,4,999)</f>
        <v>999</v>
      </c>
      <c r="L17" s="160">
        <f>Start.listina!$K$7</f>
        <v>45</v>
      </c>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12" customHeight="1">
      <c r="A18" s="6">
        <f>IF(OR(Start.listina!H26&gt;Start.listina!$K$7,Start.listina!G26=TRUE),"",Start.listina!H26)</f>
        <v>16</v>
      </c>
      <c r="B18" s="160" t="str">
        <f>IF(A18&gt;Start.listina!$K$7,"",ADDRESS(INT((A18-1)/$M$2)+1,IF(MOD(A18,$M$2)=0,IF(MOD(INT((A18-1)/$M$2)+1,2)=1,$M$2,1),IF(MOD(INT((A18-1)/$M$2)+1,2)=1,MOD(A18,$M$2),$M$2-MOD(A18,$M$2)+1)),4,1))</f>
        <v>A2</v>
      </c>
      <c r="C18" s="162" t="str">
        <f>Start.listina!$AL26</f>
        <v>1. Starobrněnský PK - Strouhalová Terezie</v>
      </c>
      <c r="D18" s="160">
        <f>IF(A18&gt;Start.listina!$K$7,"",INT((A18-1)/$M$2)+1)</f>
        <v>2</v>
      </c>
      <c r="E18" s="160">
        <f ca="1">IF(A18&gt;Start.listina!$K$7,"",MIN(F18:L18))</f>
        <v>11</v>
      </c>
      <c r="F18" s="160">
        <f ca="1">IF(TYPE(VLOOKUP(C18,Konečné_pořadí_1_16!$B$2:$D$17,3,0))&lt;4,VLOOKUP(C18,Konečné_pořadí_1_16!$B$2:$D$17,3,0),999)</f>
        <v>11</v>
      </c>
      <c r="G18" s="160">
        <f ca="1">IF(TYPE(VLOOKUP(C18,'KO64'!$D$4:$D$129,1,0))&lt;4,64,999)</f>
        <v>64</v>
      </c>
      <c r="H18" s="160">
        <f ca="1">IF(TYPE(VLOOKUP(C18,'KO32'!$D$4:$D$65,1,0))&lt;4,32,999)</f>
        <v>32</v>
      </c>
      <c r="I18" s="160">
        <f ca="1">IF(TYPE(VLOOKUP(C18,'KO16'!$D$4:$D$33,1,0))&lt;4,16,999)</f>
        <v>16</v>
      </c>
      <c r="J18" s="160">
        <f ca="1">IF(TYPE(VLOOKUP(C18,'KO8'!$D$4:$D$17,1,0))&lt;4,8,999)</f>
        <v>999</v>
      </c>
      <c r="K18" s="160">
        <f ca="1">IF(TYPE(VLOOKUP(C18,'KO4'!$D$4:$D$9,1,0))&lt;4,4,999)</f>
        <v>999</v>
      </c>
      <c r="L18" s="160">
        <f>Start.listina!$K$7</f>
        <v>45</v>
      </c>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12" customHeight="1">
      <c r="A19" s="6">
        <f>IF(OR(Start.listina!H27&gt;Start.listina!$K$7,Start.listina!G27=TRUE),"",Start.listina!H27)</f>
        <v>17</v>
      </c>
      <c r="B19" s="160" t="str">
        <f>IF(A19&gt;Start.listina!$K$7,"",ADDRESS(INT((A19-1)/$M$2)+1,IF(MOD(A19,$M$2)=0,IF(MOD(INT((A19-1)/$M$2)+1,2)=1,$M$2,1),IF(MOD(INT((A19-1)/$M$2)+1,2)=1,MOD(A19,$M$2),$M$2-MOD(A19,$M$2)+1)),4,1))</f>
        <v>A3</v>
      </c>
      <c r="C19" s="162" t="str">
        <f>Start.listina!$AL27</f>
        <v>Orel Řečkovice - Marečková Yvonne</v>
      </c>
      <c r="D19" s="160">
        <f>IF(A19&gt;Start.listina!$K$7,"",INT((A19-1)/$M$2)+1)</f>
        <v>3</v>
      </c>
      <c r="E19" s="160">
        <f ca="1">IF(A19&gt;Start.listina!$K$7,"",MIN(F19:L19))</f>
        <v>45</v>
      </c>
      <c r="F19" s="160">
        <f ca="1">IF(TYPE(VLOOKUP(C19,Konečné_pořadí_1_16!$B$2:$D$17,3,0))&lt;4,VLOOKUP(C19,Konečné_pořadí_1_16!$B$2:$D$17,3,0),999)</f>
        <v>999</v>
      </c>
      <c r="G19" s="160">
        <f ca="1">IF(TYPE(VLOOKUP(C19,'KO64'!$D$4:$D$129,1,0))&lt;4,64,999)</f>
        <v>999</v>
      </c>
      <c r="H19" s="160">
        <f ca="1">IF(TYPE(VLOOKUP(C19,'KO32'!$D$4:$D$65,1,0))&lt;4,32,999)</f>
        <v>999</v>
      </c>
      <c r="I19" s="160">
        <f ca="1">IF(TYPE(VLOOKUP(C19,'KO16'!$D$4:$D$33,1,0))&lt;4,16,999)</f>
        <v>999</v>
      </c>
      <c r="J19" s="160">
        <f ca="1">IF(TYPE(VLOOKUP(C19,'KO8'!$D$4:$D$17,1,0))&lt;4,8,999)</f>
        <v>999</v>
      </c>
      <c r="K19" s="160">
        <f ca="1">IF(TYPE(VLOOKUP(C19,'KO4'!$D$4:$D$9,1,0))&lt;4,4,999)</f>
        <v>999</v>
      </c>
      <c r="L19" s="160">
        <f>Start.listina!$K$7</f>
        <v>45</v>
      </c>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12" customHeight="1">
      <c r="A20" s="6">
        <f>IF(OR(Start.listina!H28&gt;Start.listina!$K$7,Start.listina!G28=TRUE),"",Start.listina!H28)</f>
        <v>18</v>
      </c>
      <c r="B20" s="160" t="str">
        <f>IF(A20&gt;Start.listina!$K$7,"",ADDRESS(INT((A20-1)/$M$2)+1,IF(MOD(A20,$M$2)=0,IF(MOD(INT((A20-1)/$M$2)+1,2)=1,$M$2,1),IF(MOD(INT((A20-1)/$M$2)+1,2)=1,MOD(A20,$M$2),$M$2-MOD(A20,$M$2)+1)),4,1))</f>
        <v>B3</v>
      </c>
      <c r="C20" s="162" t="str">
        <f>Start.listina!$AL28</f>
        <v>UBU Únětice - Kot Pavel</v>
      </c>
      <c r="D20" s="160">
        <f>IF(A20&gt;Start.listina!$K$7,"",INT((A20-1)/$M$2)+1)</f>
        <v>3</v>
      </c>
      <c r="E20" s="160">
        <f ca="1">IF(A20&gt;Start.listina!$K$7,"",MIN(F20:L20))</f>
        <v>12</v>
      </c>
      <c r="F20" s="160">
        <f ca="1">IF(TYPE(VLOOKUP(C20,Konečné_pořadí_1_16!$B$2:$D$17,3,0))&lt;4,VLOOKUP(C20,Konečné_pořadí_1_16!$B$2:$D$17,3,0),999)</f>
        <v>12</v>
      </c>
      <c r="G20" s="160">
        <f ca="1">IF(TYPE(VLOOKUP(C20,'KO64'!$D$4:$D$129,1,0))&lt;4,64,999)</f>
        <v>64</v>
      </c>
      <c r="H20" s="160">
        <f ca="1">IF(TYPE(VLOOKUP(C20,'KO32'!$D$4:$D$65,1,0))&lt;4,32,999)</f>
        <v>32</v>
      </c>
      <c r="I20" s="160">
        <f ca="1">IF(TYPE(VLOOKUP(C20,'KO16'!$D$4:$D$33,1,0))&lt;4,16,999)</f>
        <v>16</v>
      </c>
      <c r="J20" s="160">
        <f ca="1">IF(TYPE(VLOOKUP(C20,'KO8'!$D$4:$D$17,1,0))&lt;4,8,999)</f>
        <v>999</v>
      </c>
      <c r="K20" s="160">
        <f ca="1">IF(TYPE(VLOOKUP(C20,'KO4'!$D$4:$D$9,1,0))&lt;4,4,999)</f>
        <v>999</v>
      </c>
      <c r="L20" s="160">
        <f>Start.listina!$K$7</f>
        <v>45</v>
      </c>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12" customHeight="1">
      <c r="A21" s="6">
        <f>IF(OR(Start.listina!H29&gt;Start.listina!$K$7,Start.listina!G29=TRUE),"",Start.listina!H29)</f>
        <v>19</v>
      </c>
      <c r="B21" s="160" t="str">
        <f>IF(A21&gt;Start.listina!$K$7,"",ADDRESS(INT((A21-1)/$M$2)+1,IF(MOD(A21,$M$2)=0,IF(MOD(INT((A21-1)/$M$2)+1,2)=1,$M$2,1),IF(MOD(INT((A21-1)/$M$2)+1,2)=1,MOD(A21,$M$2),$M$2-MOD(A21,$M$2)+1)),4,1))</f>
        <v>C3</v>
      </c>
      <c r="C21" s="162" t="str">
        <f>Start.listina!$AL29</f>
        <v>Kulový blesk Olomouc - Hildenbrand Benjamin</v>
      </c>
      <c r="D21" s="160">
        <f>IF(A21&gt;Start.listina!$K$7,"",INT((A21-1)/$M$2)+1)</f>
        <v>3</v>
      </c>
      <c r="E21" s="160">
        <f ca="1">IF(A21&gt;Start.listina!$K$7,"",MIN(F21:L21))</f>
        <v>15</v>
      </c>
      <c r="F21" s="160">
        <f ca="1">IF(TYPE(VLOOKUP(C21,Konečné_pořadí_1_16!$B$2:$D$17,3,0))&lt;4,VLOOKUP(C21,Konečné_pořadí_1_16!$B$2:$D$17,3,0),999)</f>
        <v>15</v>
      </c>
      <c r="G21" s="160">
        <f ca="1">IF(TYPE(VLOOKUP(C21,'KO64'!$D$4:$D$129,1,0))&lt;4,64,999)</f>
        <v>64</v>
      </c>
      <c r="H21" s="160">
        <f ca="1">IF(TYPE(VLOOKUP(C21,'KO32'!$D$4:$D$65,1,0))&lt;4,32,999)</f>
        <v>32</v>
      </c>
      <c r="I21" s="160">
        <f ca="1">IF(TYPE(VLOOKUP(C21,'KO16'!$D$4:$D$33,1,0))&lt;4,16,999)</f>
        <v>16</v>
      </c>
      <c r="J21" s="160">
        <f ca="1">IF(TYPE(VLOOKUP(C21,'KO8'!$D$4:$D$17,1,0))&lt;4,8,999)</f>
        <v>999</v>
      </c>
      <c r="K21" s="160">
        <f ca="1">IF(TYPE(VLOOKUP(C21,'KO4'!$D$4:$D$9,1,0))&lt;4,4,999)</f>
        <v>999</v>
      </c>
      <c r="L21" s="160">
        <f>Start.listina!$K$7</f>
        <v>45</v>
      </c>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12" customHeight="1">
      <c r="A22" s="6">
        <f>IF(OR(Start.listina!H30&gt;Start.listina!$K$7,Start.listina!G30=TRUE),"",Start.listina!H30)</f>
        <v>20</v>
      </c>
      <c r="B22" s="160" t="str">
        <f>IF(A22&gt;Start.listina!$K$7,"",ADDRESS(INT((A22-1)/$M$2)+1,IF(MOD(A22,$M$2)=0,IF(MOD(INT((A22-1)/$M$2)+1,2)=1,$M$2,1),IF(MOD(INT((A22-1)/$M$2)+1,2)=1,MOD(A22,$M$2),$M$2-MOD(A22,$M$2)+1)),4,1))</f>
        <v>D3</v>
      </c>
      <c r="C22" s="162" t="str">
        <f>Start.listina!$AL30</f>
        <v>1. Starobrněnský PK - Petrželka Josef</v>
      </c>
      <c r="D22" s="160">
        <f>IF(A22&gt;Start.listina!$K$7,"",INT((A22-1)/$M$2)+1)</f>
        <v>3</v>
      </c>
      <c r="E22" s="160">
        <f ca="1">IF(A22&gt;Start.listina!$K$7,"",MIN(F22:L22))</f>
        <v>45</v>
      </c>
      <c r="F22" s="160">
        <f ca="1">IF(TYPE(VLOOKUP(C22,Konečné_pořadí_1_16!$B$2:$D$17,3,0))&lt;4,VLOOKUP(C22,Konečné_pořadí_1_16!$B$2:$D$17,3,0),999)</f>
        <v>999</v>
      </c>
      <c r="G22" s="160">
        <f ca="1">IF(TYPE(VLOOKUP(C22,'KO64'!$D$4:$D$129,1,0))&lt;4,64,999)</f>
        <v>999</v>
      </c>
      <c r="H22" s="160">
        <f ca="1">IF(TYPE(VLOOKUP(C22,'KO32'!$D$4:$D$65,1,0))&lt;4,32,999)</f>
        <v>999</v>
      </c>
      <c r="I22" s="160">
        <f ca="1">IF(TYPE(VLOOKUP(C22,'KO16'!$D$4:$D$33,1,0))&lt;4,16,999)</f>
        <v>999</v>
      </c>
      <c r="J22" s="160">
        <f ca="1">IF(TYPE(VLOOKUP(C22,'KO8'!$D$4:$D$17,1,0))&lt;4,8,999)</f>
        <v>999</v>
      </c>
      <c r="K22" s="160">
        <f ca="1">IF(TYPE(VLOOKUP(C22,'KO4'!$D$4:$D$9,1,0))&lt;4,4,999)</f>
        <v>999</v>
      </c>
      <c r="L22" s="160">
        <f>Start.listina!$K$7</f>
        <v>45</v>
      </c>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12" customHeight="1">
      <c r="A23" s="6">
        <f>IF(OR(Start.listina!H31&gt;Start.listina!$K$7,Start.listina!G31=TRUE),"",Start.listina!H31)</f>
        <v>21</v>
      </c>
      <c r="B23" s="160" t="str">
        <f>IF(A23&gt;Start.listina!$K$7,"",ADDRESS(INT((A23-1)/$M$2)+1,IF(MOD(A23,$M$2)=0,IF(MOD(INT((A23-1)/$M$2)+1,2)=1,$M$2,1),IF(MOD(INT((A23-1)/$M$2)+1,2)=1,MOD(A23,$M$2),$M$2-MOD(A23,$M$2)+1)),4,1))</f>
        <v>E3</v>
      </c>
      <c r="C23" s="162" t="str">
        <f>Start.listina!$AL31</f>
        <v>PC Hrabyně - Holba Daniel</v>
      </c>
      <c r="D23" s="160">
        <f>IF(A23&gt;Start.listina!$K$7,"",INT((A23-1)/$M$2)+1)</f>
        <v>3</v>
      </c>
      <c r="E23" s="160">
        <f ca="1">IF(A23&gt;Start.listina!$K$7,"",MIN(F23:L23))</f>
        <v>45</v>
      </c>
      <c r="F23" s="160">
        <f ca="1">IF(TYPE(VLOOKUP(C23,Konečné_pořadí_1_16!$B$2:$D$17,3,0))&lt;4,VLOOKUP(C23,Konečné_pořadí_1_16!$B$2:$D$17,3,0),999)</f>
        <v>999</v>
      </c>
      <c r="G23" s="160">
        <f ca="1">IF(TYPE(VLOOKUP(C23,'KO64'!$D$4:$D$129,1,0))&lt;4,64,999)</f>
        <v>999</v>
      </c>
      <c r="H23" s="160">
        <f ca="1">IF(TYPE(VLOOKUP(C23,'KO32'!$D$4:$D$65,1,0))&lt;4,32,999)</f>
        <v>999</v>
      </c>
      <c r="I23" s="160">
        <f ca="1">IF(TYPE(VLOOKUP(C23,'KO16'!$D$4:$D$33,1,0))&lt;4,16,999)</f>
        <v>999</v>
      </c>
      <c r="J23" s="160">
        <f ca="1">IF(TYPE(VLOOKUP(C23,'KO8'!$D$4:$D$17,1,0))&lt;4,8,999)</f>
        <v>999</v>
      </c>
      <c r="K23" s="160">
        <f ca="1">IF(TYPE(VLOOKUP(C23,'KO4'!$D$4:$D$9,1,0))&lt;4,4,999)</f>
        <v>999</v>
      </c>
      <c r="L23" s="160">
        <f>Start.listina!$K$7</f>
        <v>45</v>
      </c>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12" customHeight="1">
      <c r="A24" s="6">
        <f>IF(OR(Start.listina!H32&gt;Start.listina!$K$7,Start.listina!G32=TRUE),"",Start.listina!H32)</f>
        <v>22</v>
      </c>
      <c r="B24" s="160" t="str">
        <f>IF(A24&gt;Start.listina!$K$7,"",ADDRESS(INT((A24-1)/$M$2)+1,IF(MOD(A24,$M$2)=0,IF(MOD(INT((A24-1)/$M$2)+1,2)=1,$M$2,1),IF(MOD(INT((A24-1)/$M$2)+1,2)=1,MOD(A24,$M$2),$M$2-MOD(A24,$M$2)+1)),4,1))</f>
        <v>F3</v>
      </c>
      <c r="C24" s="162" t="str">
        <f>Start.listina!$AL32</f>
        <v>Carreau Brno - Rendla Jakub</v>
      </c>
      <c r="D24" s="160">
        <f>IF(A24&gt;Start.listina!$K$7,"",INT((A24-1)/$M$2)+1)</f>
        <v>3</v>
      </c>
      <c r="E24" s="160">
        <f ca="1">IF(A24&gt;Start.listina!$K$7,"",MIN(F24:L24))</f>
        <v>45</v>
      </c>
      <c r="F24" s="160">
        <f ca="1">IF(TYPE(VLOOKUP(C24,Konečné_pořadí_1_16!$B$2:$D$17,3,0))&lt;4,VLOOKUP(C24,Konečné_pořadí_1_16!$B$2:$D$17,3,0),999)</f>
        <v>999</v>
      </c>
      <c r="G24" s="160">
        <f ca="1">IF(TYPE(VLOOKUP(C24,'KO64'!$D$4:$D$129,1,0))&lt;4,64,999)</f>
        <v>999</v>
      </c>
      <c r="H24" s="160">
        <f ca="1">IF(TYPE(VLOOKUP(C24,'KO32'!$D$4:$D$65,1,0))&lt;4,32,999)</f>
        <v>999</v>
      </c>
      <c r="I24" s="160">
        <f ca="1">IF(TYPE(VLOOKUP(C24,'KO16'!$D$4:$D$33,1,0))&lt;4,16,999)</f>
        <v>999</v>
      </c>
      <c r="J24" s="160">
        <f ca="1">IF(TYPE(VLOOKUP(C24,'KO8'!$D$4:$D$17,1,0))&lt;4,8,999)</f>
        <v>999</v>
      </c>
      <c r="K24" s="160">
        <f ca="1">IF(TYPE(VLOOKUP(C24,'KO4'!$D$4:$D$9,1,0))&lt;4,4,999)</f>
        <v>999</v>
      </c>
      <c r="L24" s="160">
        <f>Start.listina!$K$7</f>
        <v>45</v>
      </c>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12" customHeight="1">
      <c r="A25" s="6">
        <f>IF(OR(Start.listina!H33&gt;Start.listina!$K$7,Start.listina!G33=TRUE),"",Start.listina!H33)</f>
        <v>23</v>
      </c>
      <c r="B25" s="160" t="str">
        <f>IF(A25&gt;Start.listina!$K$7,"",ADDRESS(INT((A25-1)/$M$2)+1,IF(MOD(A25,$M$2)=0,IF(MOD(INT((A25-1)/$M$2)+1,2)=1,$M$2,1),IF(MOD(INT((A25-1)/$M$2)+1,2)=1,MOD(A25,$M$2),$M$2-MOD(A25,$M$2)+1)),4,1))</f>
        <v>G3</v>
      </c>
      <c r="C25" s="162" t="str">
        <f>Start.listina!$AL33</f>
        <v>SPORT Kolín - Šternberg Martin</v>
      </c>
      <c r="D25" s="160">
        <f>IF(A25&gt;Start.listina!$K$7,"",INT((A25-1)/$M$2)+1)</f>
        <v>3</v>
      </c>
      <c r="E25" s="160">
        <f ca="1">IF(A25&gt;Start.listina!$K$7,"",MIN(F25:L25))</f>
        <v>45</v>
      </c>
      <c r="F25" s="160">
        <f ca="1">IF(TYPE(VLOOKUP(C25,Konečné_pořadí_1_16!$B$2:$D$17,3,0))&lt;4,VLOOKUP(C25,Konečné_pořadí_1_16!$B$2:$D$17,3,0),999)</f>
        <v>999</v>
      </c>
      <c r="G25" s="160">
        <f ca="1">IF(TYPE(VLOOKUP(C25,'KO64'!$D$4:$D$129,1,0))&lt;4,64,999)</f>
        <v>999</v>
      </c>
      <c r="H25" s="160">
        <f ca="1">IF(TYPE(VLOOKUP(C25,'KO32'!$D$4:$D$65,1,0))&lt;4,32,999)</f>
        <v>999</v>
      </c>
      <c r="I25" s="160">
        <f ca="1">IF(TYPE(VLOOKUP(C25,'KO16'!$D$4:$D$33,1,0))&lt;4,16,999)</f>
        <v>999</v>
      </c>
      <c r="J25" s="160">
        <f ca="1">IF(TYPE(VLOOKUP(C25,'KO8'!$D$4:$D$17,1,0))&lt;4,8,999)</f>
        <v>999</v>
      </c>
      <c r="K25" s="160">
        <f ca="1">IF(TYPE(VLOOKUP(C25,'KO4'!$D$4:$D$9,1,0))&lt;4,4,999)</f>
        <v>999</v>
      </c>
      <c r="L25" s="160">
        <f>Start.listina!$K$7</f>
        <v>45</v>
      </c>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12" customHeight="1">
      <c r="A26" s="6">
        <f>IF(OR(Start.listina!H34&gt;Start.listina!$K$7,Start.listina!G34=TRUE),"",Start.listina!H34)</f>
        <v>24</v>
      </c>
      <c r="B26" s="160" t="str">
        <f>IF(A26&gt;Start.listina!$K$7,"",ADDRESS(INT((A26-1)/$M$2)+1,IF(MOD(A26,$M$2)=0,IF(MOD(INT((A26-1)/$M$2)+1,2)=1,$M$2,1),IF(MOD(INT((A26-1)/$M$2)+1,2)=1,MOD(A26,$M$2),$M$2-MOD(A26,$M$2)+1)),4,1))</f>
        <v>H3</v>
      </c>
      <c r="C26" s="162" t="str">
        <f>Start.listina!$AL34</f>
        <v>HRODE KRUMSÍN - Drmola Michal</v>
      </c>
      <c r="D26" s="160">
        <f>IF(A26&gt;Start.listina!$K$7,"",INT((A26-1)/$M$2)+1)</f>
        <v>3</v>
      </c>
      <c r="E26" s="160">
        <f ca="1">IF(A26&gt;Start.listina!$K$7,"",MIN(F26:L26))</f>
        <v>45</v>
      </c>
      <c r="F26" s="160">
        <f ca="1">IF(TYPE(VLOOKUP(C26,Konečné_pořadí_1_16!$B$2:$D$17,3,0))&lt;4,VLOOKUP(C26,Konečné_pořadí_1_16!$B$2:$D$17,3,0),999)</f>
        <v>999</v>
      </c>
      <c r="G26" s="160">
        <f ca="1">IF(TYPE(VLOOKUP(C26,'KO64'!$D$4:$D$129,1,0))&lt;4,64,999)</f>
        <v>999</v>
      </c>
      <c r="H26" s="160">
        <f ca="1">IF(TYPE(VLOOKUP(C26,'KO32'!$D$4:$D$65,1,0))&lt;4,32,999)</f>
        <v>999</v>
      </c>
      <c r="I26" s="160">
        <f ca="1">IF(TYPE(VLOOKUP(C26,'KO16'!$D$4:$D$33,1,0))&lt;4,16,999)</f>
        <v>999</v>
      </c>
      <c r="J26" s="160">
        <f ca="1">IF(TYPE(VLOOKUP(C26,'KO8'!$D$4:$D$17,1,0))&lt;4,8,999)</f>
        <v>999</v>
      </c>
      <c r="K26" s="160">
        <f ca="1">IF(TYPE(VLOOKUP(C26,'KO4'!$D$4:$D$9,1,0))&lt;4,4,999)</f>
        <v>999</v>
      </c>
      <c r="L26" s="160">
        <f>Start.listina!$K$7</f>
        <v>45</v>
      </c>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12" customHeight="1">
      <c r="A27" s="6">
        <f>IF(OR(Start.listina!H35&gt;Start.listina!$K$7,Start.listina!G35=TRUE),"",Start.listina!H35)</f>
        <v>25</v>
      </c>
      <c r="B27" s="160" t="str">
        <f>IF(A27&gt;Start.listina!$K$7,"",ADDRESS(INT((A27-1)/$M$2)+1,IF(MOD(A27,$M$2)=0,IF(MOD(INT((A27-1)/$M$2)+1,2)=1,$M$2,1),IF(MOD(INT((A27-1)/$M$2)+1,2)=1,MOD(A27,$M$2),$M$2-MOD(A27,$M$2)+1)),4,1))</f>
        <v>H4</v>
      </c>
      <c r="C27" s="162" t="str">
        <f>Start.listina!$AL35</f>
        <v>SOKOL Staříč - Šimíček Ladislav</v>
      </c>
      <c r="D27" s="160">
        <f>IF(A27&gt;Start.listina!$K$7,"",INT((A27-1)/$M$2)+1)</f>
        <v>4</v>
      </c>
      <c r="E27" s="160">
        <f ca="1">IF(A27&gt;Start.listina!$K$7,"",MIN(F27:L27))</f>
        <v>13</v>
      </c>
      <c r="F27" s="160">
        <f ca="1">IF(TYPE(VLOOKUP(C27,Konečné_pořadí_1_16!$B$2:$D$17,3,0))&lt;4,VLOOKUP(C27,Konečné_pořadí_1_16!$B$2:$D$17,3,0),999)</f>
        <v>13</v>
      </c>
      <c r="G27" s="160">
        <f ca="1">IF(TYPE(VLOOKUP(C27,'KO64'!$D$4:$D$129,1,0))&lt;4,64,999)</f>
        <v>64</v>
      </c>
      <c r="H27" s="160">
        <f ca="1">IF(TYPE(VLOOKUP(C27,'KO32'!$D$4:$D$65,1,0))&lt;4,32,999)</f>
        <v>32</v>
      </c>
      <c r="I27" s="160">
        <f ca="1">IF(TYPE(VLOOKUP(C27,'KO16'!$D$4:$D$33,1,0))&lt;4,16,999)</f>
        <v>16</v>
      </c>
      <c r="J27" s="160">
        <f ca="1">IF(TYPE(VLOOKUP(C27,'KO8'!$D$4:$D$17,1,0))&lt;4,8,999)</f>
        <v>999</v>
      </c>
      <c r="K27" s="160">
        <f ca="1">IF(TYPE(VLOOKUP(C27,'KO4'!$D$4:$D$9,1,0))&lt;4,4,999)</f>
        <v>999</v>
      </c>
      <c r="L27" s="160">
        <f>Start.listina!$K$7</f>
        <v>45</v>
      </c>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12" customHeight="1">
      <c r="A28" s="6">
        <f>IF(OR(Start.listina!H36&gt;Start.listina!$K$7,Start.listina!G36=TRUE),"",Start.listina!H36)</f>
        <v>26</v>
      </c>
      <c r="B28" s="160" t="str">
        <f>IF(A28&gt;Start.listina!$K$7,"",ADDRESS(INT((A28-1)/$M$2)+1,IF(MOD(A28,$M$2)=0,IF(MOD(INT((A28-1)/$M$2)+1,2)=1,$M$2,1),IF(MOD(INT((A28-1)/$M$2)+1,2)=1,MOD(A28,$M$2),$M$2-MOD(A28,$M$2)+1)),4,1))</f>
        <v>G4</v>
      </c>
      <c r="C28" s="162" t="str">
        <f>Start.listina!$AL36</f>
        <v>Carreau Brno - Hodboď Pavel</v>
      </c>
      <c r="D28" s="160">
        <f>IF(A28&gt;Start.listina!$K$7,"",INT((A28-1)/$M$2)+1)</f>
        <v>4</v>
      </c>
      <c r="E28" s="160">
        <f ca="1">IF(A28&gt;Start.listina!$K$7,"",MIN(F28:L28))</f>
        <v>2</v>
      </c>
      <c r="F28" s="160">
        <f ca="1">IF(TYPE(VLOOKUP(C28,Konečné_pořadí_1_16!$B$2:$D$17,3,0))&lt;4,VLOOKUP(C28,Konečné_pořadí_1_16!$B$2:$D$17,3,0),999)</f>
        <v>2</v>
      </c>
      <c r="G28" s="160">
        <f ca="1">IF(TYPE(VLOOKUP(C28,'KO64'!$D$4:$D$129,1,0))&lt;4,64,999)</f>
        <v>64</v>
      </c>
      <c r="H28" s="160">
        <f ca="1">IF(TYPE(VLOOKUP(C28,'KO32'!$D$4:$D$65,1,0))&lt;4,32,999)</f>
        <v>32</v>
      </c>
      <c r="I28" s="160">
        <f ca="1">IF(TYPE(VLOOKUP(C28,'KO16'!$D$4:$D$33,1,0))&lt;4,16,999)</f>
        <v>16</v>
      </c>
      <c r="J28" s="160">
        <f ca="1">IF(TYPE(VLOOKUP(C28,'KO8'!$D$4:$D$17,1,0))&lt;4,8,999)</f>
        <v>8</v>
      </c>
      <c r="K28" s="160">
        <f ca="1">IF(TYPE(VLOOKUP(C28,'KO4'!$D$4:$D$9,1,0))&lt;4,4,999)</f>
        <v>4</v>
      </c>
      <c r="L28" s="160">
        <f>Start.listina!$K$7</f>
        <v>45</v>
      </c>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12" customHeight="1">
      <c r="A29" s="6">
        <f>IF(OR(Start.listina!H37&gt;Start.listina!$K$7,Start.listina!G37=TRUE),"",Start.listina!H37)</f>
        <v>27</v>
      </c>
      <c r="B29" s="160" t="str">
        <f>IF(A29&gt;Start.listina!$K$7,"",ADDRESS(INT((A29-1)/$M$2)+1,IF(MOD(A29,$M$2)=0,IF(MOD(INT((A29-1)/$M$2)+1,2)=1,$M$2,1),IF(MOD(INT((A29-1)/$M$2)+1,2)=1,MOD(A29,$M$2),$M$2-MOD(A29,$M$2)+1)),4,1))</f>
        <v>F4</v>
      </c>
      <c r="C29" s="162" t="str">
        <f>Start.listina!$AL37</f>
        <v>FENYX Adamov - Mrlina Karel</v>
      </c>
      <c r="D29" s="160">
        <f>IF(A29&gt;Start.listina!$K$7,"",INT((A29-1)/$M$2)+1)</f>
        <v>4</v>
      </c>
      <c r="E29" s="160">
        <f ca="1">IF(A29&gt;Start.listina!$K$7,"",MIN(F29:L29))</f>
        <v>45</v>
      </c>
      <c r="F29" s="160">
        <f ca="1">IF(TYPE(VLOOKUP(C29,Konečné_pořadí_1_16!$B$2:$D$17,3,0))&lt;4,VLOOKUP(C29,Konečné_pořadí_1_16!$B$2:$D$17,3,0),999)</f>
        <v>999</v>
      </c>
      <c r="G29" s="160">
        <f ca="1">IF(TYPE(VLOOKUP(C29,'KO64'!$D$4:$D$129,1,0))&lt;4,64,999)</f>
        <v>999</v>
      </c>
      <c r="H29" s="160">
        <f ca="1">IF(TYPE(VLOOKUP(C29,'KO32'!$D$4:$D$65,1,0))&lt;4,32,999)</f>
        <v>999</v>
      </c>
      <c r="I29" s="160">
        <f ca="1">IF(TYPE(VLOOKUP(C29,'KO16'!$D$4:$D$33,1,0))&lt;4,16,999)</f>
        <v>999</v>
      </c>
      <c r="J29" s="160">
        <f ca="1">IF(TYPE(VLOOKUP(C29,'KO8'!$D$4:$D$17,1,0))&lt;4,8,999)</f>
        <v>999</v>
      </c>
      <c r="K29" s="160">
        <f ca="1">IF(TYPE(VLOOKUP(C29,'KO4'!$D$4:$D$9,1,0))&lt;4,4,999)</f>
        <v>999</v>
      </c>
      <c r="L29" s="160">
        <f>Start.listina!$K$7</f>
        <v>45</v>
      </c>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12" customHeight="1">
      <c r="A30" s="6">
        <f>IF(OR(Start.listina!H38&gt;Start.listina!$K$7,Start.listina!G38=TRUE),"",Start.listina!H38)</f>
        <v>28</v>
      </c>
      <c r="B30" s="160" t="str">
        <f>IF(A30&gt;Start.listina!$K$7,"",ADDRESS(INT((A30-1)/$M$2)+1,IF(MOD(A30,$M$2)=0,IF(MOD(INT((A30-1)/$M$2)+1,2)=1,$M$2,1),IF(MOD(INT((A30-1)/$M$2)+1,2)=1,MOD(A30,$M$2),$M$2-MOD(A30,$M$2)+1)),4,1))</f>
        <v>E4</v>
      </c>
      <c r="C30" s="162" t="str">
        <f>Start.listina!$AL38</f>
        <v>KLIP Litovel - Hudos Oldřich</v>
      </c>
      <c r="D30" s="160">
        <f>IF(A30&gt;Start.listina!$K$7,"",INT((A30-1)/$M$2)+1)</f>
        <v>4</v>
      </c>
      <c r="E30" s="160">
        <f ca="1">IF(A30&gt;Start.listina!$K$7,"",MIN(F30:L30))</f>
        <v>45</v>
      </c>
      <c r="F30" s="160">
        <f ca="1">IF(TYPE(VLOOKUP(C30,Konečné_pořadí_1_16!$B$2:$D$17,3,0))&lt;4,VLOOKUP(C30,Konečné_pořadí_1_16!$B$2:$D$17,3,0),999)</f>
        <v>999</v>
      </c>
      <c r="G30" s="160">
        <f ca="1">IF(TYPE(VLOOKUP(C30,'KO64'!$D$4:$D$129,1,0))&lt;4,64,999)</f>
        <v>999</v>
      </c>
      <c r="H30" s="160">
        <f ca="1">IF(TYPE(VLOOKUP(C30,'KO32'!$D$4:$D$65,1,0))&lt;4,32,999)</f>
        <v>999</v>
      </c>
      <c r="I30" s="160">
        <f ca="1">IF(TYPE(VLOOKUP(C30,'KO16'!$D$4:$D$33,1,0))&lt;4,16,999)</f>
        <v>999</v>
      </c>
      <c r="J30" s="160">
        <f ca="1">IF(TYPE(VLOOKUP(C30,'KO8'!$D$4:$D$17,1,0))&lt;4,8,999)</f>
        <v>999</v>
      </c>
      <c r="K30" s="160">
        <f ca="1">IF(TYPE(VLOOKUP(C30,'KO4'!$D$4:$D$9,1,0))&lt;4,4,999)</f>
        <v>999</v>
      </c>
      <c r="L30" s="160">
        <f>Start.listina!$K$7</f>
        <v>45</v>
      </c>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12" customHeight="1">
      <c r="A31" s="6">
        <f>IF(OR(Start.listina!H39&gt;Start.listina!$K$7,Start.listina!G39=TRUE),"",Start.listina!H39)</f>
        <v>29</v>
      </c>
      <c r="B31" s="160" t="str">
        <f>IF(A31&gt;Start.listina!$K$7,"",ADDRESS(INT((A31-1)/$M$2)+1,IF(MOD(A31,$M$2)=0,IF(MOD(INT((A31-1)/$M$2)+1,2)=1,$M$2,1),IF(MOD(INT((A31-1)/$M$2)+1,2)=1,MOD(A31,$M$2),$M$2-MOD(A31,$M$2)+1)),4,1))</f>
        <v>D4</v>
      </c>
      <c r="C31" s="162" t="str">
        <f>Start.listina!$AL39</f>
        <v>1. Starobrněnský PK - Ilgner Vladimír</v>
      </c>
      <c r="D31" s="160">
        <f>IF(A31&gt;Start.listina!$K$7,"",INT((A31-1)/$M$2)+1)</f>
        <v>4</v>
      </c>
      <c r="E31" s="160">
        <f ca="1">IF(A31&gt;Start.listina!$K$7,"",MIN(F31:L31))</f>
        <v>45</v>
      </c>
      <c r="F31" s="160">
        <f ca="1">IF(TYPE(VLOOKUP(C31,Konečné_pořadí_1_16!$B$2:$D$17,3,0))&lt;4,VLOOKUP(C31,Konečné_pořadí_1_16!$B$2:$D$17,3,0),999)</f>
        <v>999</v>
      </c>
      <c r="G31" s="160">
        <f ca="1">IF(TYPE(VLOOKUP(C31,'KO64'!$D$4:$D$129,1,0))&lt;4,64,999)</f>
        <v>999</v>
      </c>
      <c r="H31" s="160">
        <f ca="1">IF(TYPE(VLOOKUP(C31,'KO32'!$D$4:$D$65,1,0))&lt;4,32,999)</f>
        <v>999</v>
      </c>
      <c r="I31" s="160">
        <f ca="1">IF(TYPE(VLOOKUP(C31,'KO16'!$D$4:$D$33,1,0))&lt;4,16,999)</f>
        <v>999</v>
      </c>
      <c r="J31" s="160">
        <f ca="1">IF(TYPE(VLOOKUP(C31,'KO8'!$D$4:$D$17,1,0))&lt;4,8,999)</f>
        <v>999</v>
      </c>
      <c r="K31" s="160">
        <f ca="1">IF(TYPE(VLOOKUP(C31,'KO4'!$D$4:$D$9,1,0))&lt;4,4,999)</f>
        <v>999</v>
      </c>
      <c r="L31" s="160">
        <f>Start.listina!$K$7</f>
        <v>45</v>
      </c>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12" customHeight="1">
      <c r="A32" s="6">
        <f>IF(OR(Start.listina!H40&gt;Start.listina!$K$7,Start.listina!G40=TRUE),"",Start.listina!H40)</f>
        <v>30</v>
      </c>
      <c r="B32" s="160" t="str">
        <f>IF(A32&gt;Start.listina!$K$7,"",ADDRESS(INT((A32-1)/$M$2)+1,IF(MOD(A32,$M$2)=0,IF(MOD(INT((A32-1)/$M$2)+1,2)=1,$M$2,1),IF(MOD(INT((A32-1)/$M$2)+1,2)=1,MOD(A32,$M$2),$M$2-MOD(A32,$M$2)+1)),4,1))</f>
        <v>C4</v>
      </c>
      <c r="C32" s="162" t="str">
        <f>Start.listina!$AL40</f>
        <v>1. Starobrněnský PK - Kutra Oldřích</v>
      </c>
      <c r="D32" s="160">
        <f>IF(A32&gt;Start.listina!$K$7,"",INT((A32-1)/$M$2)+1)</f>
        <v>4</v>
      </c>
      <c r="E32" s="160">
        <f ca="1">IF(A32&gt;Start.listina!$K$7,"",MIN(F32:L32))</f>
        <v>45</v>
      </c>
      <c r="F32" s="160">
        <f ca="1">IF(TYPE(VLOOKUP(C32,Konečné_pořadí_1_16!$B$2:$D$17,3,0))&lt;4,VLOOKUP(C32,Konečné_pořadí_1_16!$B$2:$D$17,3,0),999)</f>
        <v>999</v>
      </c>
      <c r="G32" s="160">
        <f ca="1">IF(TYPE(VLOOKUP(C32,'KO64'!$D$4:$D$129,1,0))&lt;4,64,999)</f>
        <v>999</v>
      </c>
      <c r="H32" s="160">
        <f ca="1">IF(TYPE(VLOOKUP(C32,'KO32'!$D$4:$D$65,1,0))&lt;4,32,999)</f>
        <v>999</v>
      </c>
      <c r="I32" s="160">
        <f ca="1">IF(TYPE(VLOOKUP(C32,'KO16'!$D$4:$D$33,1,0))&lt;4,16,999)</f>
        <v>999</v>
      </c>
      <c r="J32" s="160">
        <f ca="1">IF(TYPE(VLOOKUP(C32,'KO8'!$D$4:$D$17,1,0))&lt;4,8,999)</f>
        <v>999</v>
      </c>
      <c r="K32" s="160">
        <f ca="1">IF(TYPE(VLOOKUP(C32,'KO4'!$D$4:$D$9,1,0))&lt;4,4,999)</f>
        <v>999</v>
      </c>
      <c r="L32" s="160">
        <f>Start.listina!$K$7</f>
        <v>45</v>
      </c>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12" customHeight="1">
      <c r="A33" s="6">
        <f>IF(OR(Start.listina!H41&gt;Start.listina!$K$7,Start.listina!G41=TRUE),"",Start.listina!H41)</f>
        <v>31</v>
      </c>
      <c r="B33" s="160" t="str">
        <f>IF(A33&gt;Start.listina!$K$7,"",ADDRESS(INT((A33-1)/$M$2)+1,IF(MOD(A33,$M$2)=0,IF(MOD(INT((A33-1)/$M$2)+1,2)=1,$M$2,1),IF(MOD(INT((A33-1)/$M$2)+1,2)=1,MOD(A33,$M$2),$M$2-MOD(A33,$M$2)+1)),4,1))</f>
        <v>B4</v>
      </c>
      <c r="C33" s="162" t="str">
        <f>Start.listina!$AL41</f>
        <v>SOKOL Staříč - Plesník Vladimír</v>
      </c>
      <c r="D33" s="160">
        <f>IF(A33&gt;Start.listina!$K$7,"",INT((A33-1)/$M$2)+1)</f>
        <v>4</v>
      </c>
      <c r="E33" s="160">
        <f ca="1">IF(A33&gt;Start.listina!$K$7,"",MIN(F33:L33))</f>
        <v>45</v>
      </c>
      <c r="F33" s="160">
        <f ca="1">IF(TYPE(VLOOKUP(C33,Konečné_pořadí_1_16!$B$2:$D$17,3,0))&lt;4,VLOOKUP(C33,Konečné_pořadí_1_16!$B$2:$D$17,3,0),999)</f>
        <v>999</v>
      </c>
      <c r="G33" s="160">
        <f ca="1">IF(TYPE(VLOOKUP(C33,'KO64'!$D$4:$D$129,1,0))&lt;4,64,999)</f>
        <v>999</v>
      </c>
      <c r="H33" s="160">
        <f ca="1">IF(TYPE(VLOOKUP(C33,'KO32'!$D$4:$D$65,1,0))&lt;4,32,999)</f>
        <v>999</v>
      </c>
      <c r="I33" s="160">
        <f ca="1">IF(TYPE(VLOOKUP(C33,'KO16'!$D$4:$D$33,1,0))&lt;4,16,999)</f>
        <v>999</v>
      </c>
      <c r="J33" s="160">
        <f ca="1">IF(TYPE(VLOOKUP(C33,'KO8'!$D$4:$D$17,1,0))&lt;4,8,999)</f>
        <v>999</v>
      </c>
      <c r="K33" s="160">
        <f ca="1">IF(TYPE(VLOOKUP(C33,'KO4'!$D$4:$D$9,1,0))&lt;4,4,999)</f>
        <v>999</v>
      </c>
      <c r="L33" s="160">
        <f>Start.listina!$K$7</f>
        <v>45</v>
      </c>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12" customHeight="1">
      <c r="A34" s="6">
        <f>IF(OR(Start.listina!H42&gt;Start.listina!$K$7,Start.listina!G42=TRUE),"",Start.listina!H42)</f>
        <v>32</v>
      </c>
      <c r="B34" s="160" t="str">
        <f>IF(A34&gt;Start.listina!$K$7,"",ADDRESS(INT((A34-1)/$M$2)+1,IF(MOD(A34,$M$2)=0,IF(MOD(INT((A34-1)/$M$2)+1,2)=1,$M$2,1),IF(MOD(INT((A34-1)/$M$2)+1,2)=1,MOD(A34,$M$2),$M$2-MOD(A34,$M$2)+1)),4,1))</f>
        <v>A4</v>
      </c>
      <c r="C34" s="162" t="str">
        <f>Start.listina!$AL42</f>
        <v>PK Polouvsí - Valošek Hugo</v>
      </c>
      <c r="D34" s="160">
        <f>IF(A34&gt;Start.listina!$K$7,"",INT((A34-1)/$M$2)+1)</f>
        <v>4</v>
      </c>
      <c r="E34" s="160">
        <f ca="1">IF(A34&gt;Start.listina!$K$7,"",MIN(F34:L34))</f>
        <v>45</v>
      </c>
      <c r="F34" s="160">
        <f ca="1">IF(TYPE(VLOOKUP(C34,Konečné_pořadí_1_16!$B$2:$D$17,3,0))&lt;4,VLOOKUP(C34,Konečné_pořadí_1_16!$B$2:$D$17,3,0),999)</f>
        <v>999</v>
      </c>
      <c r="G34" s="160">
        <f ca="1">IF(TYPE(VLOOKUP(C34,'KO64'!$D$4:$D$129,1,0))&lt;4,64,999)</f>
        <v>999</v>
      </c>
      <c r="H34" s="160">
        <f ca="1">IF(TYPE(VLOOKUP(C34,'KO32'!$D$4:$D$65,1,0))&lt;4,32,999)</f>
        <v>999</v>
      </c>
      <c r="I34" s="160">
        <f ca="1">IF(TYPE(VLOOKUP(C34,'KO16'!$D$4:$D$33,1,0))&lt;4,16,999)</f>
        <v>999</v>
      </c>
      <c r="J34" s="160">
        <f ca="1">IF(TYPE(VLOOKUP(C34,'KO8'!$D$4:$D$17,1,0))&lt;4,8,999)</f>
        <v>999</v>
      </c>
      <c r="K34" s="160">
        <f ca="1">IF(TYPE(VLOOKUP(C34,'KO4'!$D$4:$D$9,1,0))&lt;4,4,999)</f>
        <v>999</v>
      </c>
      <c r="L34" s="160">
        <f>Start.listina!$K$7</f>
        <v>45</v>
      </c>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12" customHeight="1">
      <c r="A35" s="6">
        <f>IF(OR(Start.listina!H43&gt;Start.listina!$K$7,Start.listina!G43=TRUE),"",Start.listina!H43)</f>
        <v>33</v>
      </c>
      <c r="B35" s="160" t="str">
        <f>IF(A35&gt;Start.listina!$K$7,"",ADDRESS(INT((A35-1)/$M$2)+1,IF(MOD(A35,$M$2)=0,IF(MOD(INT((A35-1)/$M$2)+1,2)=1,$M$2,1),IF(MOD(INT((A35-1)/$M$2)+1,2)=1,MOD(A35,$M$2),$M$2-MOD(A35,$M$2)+1)),4,1))</f>
        <v>A5</v>
      </c>
      <c r="C35" s="162" t="str">
        <f>Start.listina!$AL43</f>
        <v>SLOPE Brno - Daněk Patrik</v>
      </c>
      <c r="D35" s="160">
        <f>IF(A35&gt;Start.listina!$K$7,"",INT((A35-1)/$M$2)+1)</f>
        <v>5</v>
      </c>
      <c r="E35" s="160">
        <f ca="1">IF(A35&gt;Start.listina!$K$7,"",MIN(F35:L35))</f>
        <v>45</v>
      </c>
      <c r="F35" s="160">
        <f ca="1">IF(TYPE(VLOOKUP(C35,Konečné_pořadí_1_16!$B$2:$D$17,3,0))&lt;4,VLOOKUP(C35,Konečné_pořadí_1_16!$B$2:$D$17,3,0),999)</f>
        <v>999</v>
      </c>
      <c r="G35" s="160">
        <f ca="1">IF(TYPE(VLOOKUP(C35,'KO64'!$D$4:$D$129,1,0))&lt;4,64,999)</f>
        <v>999</v>
      </c>
      <c r="H35" s="160">
        <f ca="1">IF(TYPE(VLOOKUP(C35,'KO32'!$D$4:$D$65,1,0))&lt;4,32,999)</f>
        <v>999</v>
      </c>
      <c r="I35" s="160">
        <f ca="1">IF(TYPE(VLOOKUP(C35,'KO16'!$D$4:$D$33,1,0))&lt;4,16,999)</f>
        <v>999</v>
      </c>
      <c r="J35" s="160">
        <f ca="1">IF(TYPE(VLOOKUP(C35,'KO8'!$D$4:$D$17,1,0))&lt;4,8,999)</f>
        <v>999</v>
      </c>
      <c r="K35" s="160">
        <f ca="1">IF(TYPE(VLOOKUP(C35,'KO4'!$D$4:$D$9,1,0))&lt;4,4,999)</f>
        <v>999</v>
      </c>
      <c r="L35" s="160">
        <f>Start.listina!$K$7</f>
        <v>45</v>
      </c>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12" customHeight="1">
      <c r="A36" s="6">
        <f>IF(OR(Start.listina!H44&gt;Start.listina!$K$7,Start.listina!G44=TRUE),"",Start.listina!H44)</f>
        <v>34</v>
      </c>
      <c r="B36" s="160" t="str">
        <f>IF(A36&gt;Start.listina!$K$7,"",ADDRESS(INT((A36-1)/$M$2)+1,IF(MOD(A36,$M$2)=0,IF(MOD(INT((A36-1)/$M$2)+1,2)=1,$M$2,1),IF(MOD(INT((A36-1)/$M$2)+1,2)=1,MOD(A36,$M$2),$M$2-MOD(A36,$M$2)+1)),4,1))</f>
        <v>B5</v>
      </c>
      <c r="C36" s="162" t="str">
        <f>Start.listina!$AL44</f>
        <v>PK Polouvsí - Vrzal Martin</v>
      </c>
      <c r="D36" s="160">
        <f>IF(A36&gt;Start.listina!$K$7,"",INT((A36-1)/$M$2)+1)</f>
        <v>5</v>
      </c>
      <c r="E36" s="160">
        <f ca="1">IF(A36&gt;Start.listina!$K$7,"",MIN(F36:L36))</f>
        <v>45</v>
      </c>
      <c r="F36" s="160">
        <f ca="1">IF(TYPE(VLOOKUP(C36,Konečné_pořadí_1_16!$B$2:$D$17,3,0))&lt;4,VLOOKUP(C36,Konečné_pořadí_1_16!$B$2:$D$17,3,0),999)</f>
        <v>999</v>
      </c>
      <c r="G36" s="160">
        <f ca="1">IF(TYPE(VLOOKUP(C36,'KO64'!$D$4:$D$129,1,0))&lt;4,64,999)</f>
        <v>999</v>
      </c>
      <c r="H36" s="160">
        <f ca="1">IF(TYPE(VLOOKUP(C36,'KO32'!$D$4:$D$65,1,0))&lt;4,32,999)</f>
        <v>999</v>
      </c>
      <c r="I36" s="160">
        <f ca="1">IF(TYPE(VLOOKUP(C36,'KO16'!$D$4:$D$33,1,0))&lt;4,16,999)</f>
        <v>999</v>
      </c>
      <c r="J36" s="160">
        <f ca="1">IF(TYPE(VLOOKUP(C36,'KO8'!$D$4:$D$17,1,0))&lt;4,8,999)</f>
        <v>999</v>
      </c>
      <c r="K36" s="160">
        <f ca="1">IF(TYPE(VLOOKUP(C36,'KO4'!$D$4:$D$9,1,0))&lt;4,4,999)</f>
        <v>999</v>
      </c>
      <c r="L36" s="160">
        <f>Start.listina!$K$7</f>
        <v>45</v>
      </c>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12" customHeight="1">
      <c r="A37" s="6">
        <f>IF(OR(Start.listina!H45&gt;Start.listina!$K$7,Start.listina!G45=TRUE),"",Start.listina!H45)</f>
        <v>35</v>
      </c>
      <c r="B37" s="160" t="str">
        <f>IF(A37&gt;Start.listina!$K$7,"",ADDRESS(INT((A37-1)/$M$2)+1,IF(MOD(A37,$M$2)=0,IF(MOD(INT((A37-1)/$M$2)+1,2)=1,$M$2,1),IF(MOD(INT((A37-1)/$M$2)+1,2)=1,MOD(A37,$M$2),$M$2-MOD(A37,$M$2)+1)),4,1))</f>
        <v>C5</v>
      </c>
      <c r="C37" s="162" t="str">
        <f>Start.listina!$AL45</f>
        <v>1. KPK Vrchlabí - Bucek Zdeněk</v>
      </c>
      <c r="D37" s="160">
        <f>IF(A37&gt;Start.listina!$K$7,"",INT((A37-1)/$M$2)+1)</f>
        <v>5</v>
      </c>
      <c r="E37" s="160">
        <f ca="1">IF(A37&gt;Start.listina!$K$7,"",MIN(F37:L37))</f>
        <v>45</v>
      </c>
      <c r="F37" s="160">
        <f ca="1">IF(TYPE(VLOOKUP(C37,Konečné_pořadí_1_16!$B$2:$D$17,3,0))&lt;4,VLOOKUP(C37,Konečné_pořadí_1_16!$B$2:$D$17,3,0),999)</f>
        <v>999</v>
      </c>
      <c r="G37" s="160">
        <f ca="1">IF(TYPE(VLOOKUP(C37,'KO64'!$D$4:$D$129,1,0))&lt;4,64,999)</f>
        <v>999</v>
      </c>
      <c r="H37" s="160">
        <f ca="1">IF(TYPE(VLOOKUP(C37,'KO32'!$D$4:$D$65,1,0))&lt;4,32,999)</f>
        <v>999</v>
      </c>
      <c r="I37" s="160">
        <f ca="1">IF(TYPE(VLOOKUP(C37,'KO16'!$D$4:$D$33,1,0))&lt;4,16,999)</f>
        <v>999</v>
      </c>
      <c r="J37" s="160">
        <f ca="1">IF(TYPE(VLOOKUP(C37,'KO8'!$D$4:$D$17,1,0))&lt;4,8,999)</f>
        <v>999</v>
      </c>
      <c r="K37" s="160">
        <f ca="1">IF(TYPE(VLOOKUP(C37,'KO4'!$D$4:$D$9,1,0))&lt;4,4,999)</f>
        <v>999</v>
      </c>
      <c r="L37" s="160">
        <f>Start.listina!$K$7</f>
        <v>45</v>
      </c>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12" customHeight="1">
      <c r="A38" s="6">
        <f>IF(OR(Start.listina!H46&gt;Start.listina!$K$7,Start.listina!G46=TRUE),"",Start.listina!H46)</f>
        <v>36</v>
      </c>
      <c r="B38" s="160" t="str">
        <f>IF(A38&gt;Start.listina!$K$7,"",ADDRESS(INT((A38-1)/$M$2)+1,IF(MOD(A38,$M$2)=0,IF(MOD(INT((A38-1)/$M$2)+1,2)=1,$M$2,1),IF(MOD(INT((A38-1)/$M$2)+1,2)=1,MOD(A38,$M$2),$M$2-MOD(A38,$M$2)+1)),4,1))</f>
        <v>D5</v>
      </c>
      <c r="C38" s="162" t="str">
        <f>Start.listina!$AL46</f>
        <v>P.C.B.D. - Hejl ml. Pavel</v>
      </c>
      <c r="D38" s="160">
        <f>IF(A38&gt;Start.listina!$K$7,"",INT((A38-1)/$M$2)+1)</f>
        <v>5</v>
      </c>
      <c r="E38" s="160">
        <f ca="1">IF(A38&gt;Start.listina!$K$7,"",MIN(F38:L38))</f>
        <v>3</v>
      </c>
      <c r="F38" s="160">
        <f ca="1">IF(TYPE(VLOOKUP(C38,Konečné_pořadí_1_16!$B$2:$D$17,3,0))&lt;4,VLOOKUP(C38,Konečné_pořadí_1_16!$B$2:$D$17,3,0),999)</f>
        <v>3</v>
      </c>
      <c r="G38" s="160">
        <f ca="1">IF(TYPE(VLOOKUP(C38,'KO64'!$D$4:$D$129,1,0))&lt;4,64,999)</f>
        <v>64</v>
      </c>
      <c r="H38" s="160">
        <f ca="1">IF(TYPE(VLOOKUP(C38,'KO32'!$D$4:$D$65,1,0))&lt;4,32,999)</f>
        <v>32</v>
      </c>
      <c r="I38" s="160">
        <f ca="1">IF(TYPE(VLOOKUP(C38,'KO16'!$D$4:$D$33,1,0))&lt;4,16,999)</f>
        <v>16</v>
      </c>
      <c r="J38" s="160">
        <f ca="1">IF(TYPE(VLOOKUP(C38,'KO8'!$D$4:$D$17,1,0))&lt;4,8,999)</f>
        <v>8</v>
      </c>
      <c r="K38" s="160">
        <f ca="1">IF(TYPE(VLOOKUP(C38,'KO4'!$D$4:$D$9,1,0))&lt;4,4,999)</f>
        <v>4</v>
      </c>
      <c r="L38" s="160">
        <f>Start.listina!$K$7</f>
        <v>45</v>
      </c>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12" customHeight="1">
      <c r="A39" s="6">
        <f>IF(OR(Start.listina!H47&gt;Start.listina!$K$7,Start.listina!G47=TRUE),"",Start.listina!H47)</f>
        <v>37</v>
      </c>
      <c r="B39" s="160" t="str">
        <f>IF(A39&gt;Start.listina!$K$7,"",ADDRESS(INT((A39-1)/$M$2)+1,IF(MOD(A39,$M$2)=0,IF(MOD(INT((A39-1)/$M$2)+1,2)=1,$M$2,1),IF(MOD(INT((A39-1)/$M$2)+1,2)=1,MOD(A39,$M$2),$M$2-MOD(A39,$M$2)+1)),4,1))</f>
        <v>E5</v>
      </c>
      <c r="C39" s="162" t="str">
        <f>Start.listina!$AL47</f>
        <v>KLIP Litovel - Potužák Zdeněk</v>
      </c>
      <c r="D39" s="160">
        <f>IF(A39&gt;Start.listina!$K$7,"",INT((A39-1)/$M$2)+1)</f>
        <v>5</v>
      </c>
      <c r="E39" s="160">
        <f ca="1">IF(A39&gt;Start.listina!$K$7,"",MIN(F39:L39))</f>
        <v>45</v>
      </c>
      <c r="F39" s="160">
        <f ca="1">IF(TYPE(VLOOKUP(C39,Konečné_pořadí_1_16!$B$2:$D$17,3,0))&lt;4,VLOOKUP(C39,Konečné_pořadí_1_16!$B$2:$D$17,3,0),999)</f>
        <v>999</v>
      </c>
      <c r="G39" s="160">
        <f ca="1">IF(TYPE(VLOOKUP(C39,'KO64'!$D$4:$D$129,1,0))&lt;4,64,999)</f>
        <v>999</v>
      </c>
      <c r="H39" s="160">
        <f ca="1">IF(TYPE(VLOOKUP(C39,'KO32'!$D$4:$D$65,1,0))&lt;4,32,999)</f>
        <v>999</v>
      </c>
      <c r="I39" s="160">
        <f ca="1">IF(TYPE(VLOOKUP(C39,'KO16'!$D$4:$D$33,1,0))&lt;4,16,999)</f>
        <v>999</v>
      </c>
      <c r="J39" s="160">
        <f ca="1">IF(TYPE(VLOOKUP(C39,'KO8'!$D$4:$D$17,1,0))&lt;4,8,999)</f>
        <v>999</v>
      </c>
      <c r="K39" s="160">
        <f ca="1">IF(TYPE(VLOOKUP(C39,'KO4'!$D$4:$D$9,1,0))&lt;4,4,999)</f>
        <v>999</v>
      </c>
      <c r="L39" s="160">
        <f>Start.listina!$K$7</f>
        <v>45</v>
      </c>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12" customHeight="1">
      <c r="A40" s="6">
        <f>IF(OR(Start.listina!H48&gt;Start.listina!$K$7,Start.listina!G48=TRUE),"",Start.listina!H48)</f>
        <v>38</v>
      </c>
      <c r="B40" s="160" t="str">
        <f>IF(A40&gt;Start.listina!$K$7,"",ADDRESS(INT((A40-1)/$M$2)+1,IF(MOD(A40,$M$2)=0,IF(MOD(INT((A40-1)/$M$2)+1,2)=1,$M$2,1),IF(MOD(INT((A40-1)/$M$2)+1,2)=1,MOD(A40,$M$2),$M$2-MOD(A40,$M$2)+1)),4,1))</f>
        <v>F5</v>
      </c>
      <c r="C40" s="162" t="str">
        <f>Start.listina!$AL48</f>
        <v>Carreau Brno - Šrubařová Hana</v>
      </c>
      <c r="D40" s="160">
        <f>IF(A40&gt;Start.listina!$K$7,"",INT((A40-1)/$M$2)+1)</f>
        <v>5</v>
      </c>
      <c r="E40" s="160">
        <f ca="1">IF(A40&gt;Start.listina!$K$7,"",MIN(F40:L40))</f>
        <v>45</v>
      </c>
      <c r="F40" s="160">
        <f ca="1">IF(TYPE(VLOOKUP(C40,Konečné_pořadí_1_16!$B$2:$D$17,3,0))&lt;4,VLOOKUP(C40,Konečné_pořadí_1_16!$B$2:$D$17,3,0),999)</f>
        <v>999</v>
      </c>
      <c r="G40" s="160">
        <f ca="1">IF(TYPE(VLOOKUP(C40,'KO64'!$D$4:$D$129,1,0))&lt;4,64,999)</f>
        <v>999</v>
      </c>
      <c r="H40" s="160">
        <f ca="1">IF(TYPE(VLOOKUP(C40,'KO32'!$D$4:$D$65,1,0))&lt;4,32,999)</f>
        <v>999</v>
      </c>
      <c r="I40" s="160">
        <f ca="1">IF(TYPE(VLOOKUP(C40,'KO16'!$D$4:$D$33,1,0))&lt;4,16,999)</f>
        <v>999</v>
      </c>
      <c r="J40" s="160">
        <f ca="1">IF(TYPE(VLOOKUP(C40,'KO8'!$D$4:$D$17,1,0))&lt;4,8,999)</f>
        <v>999</v>
      </c>
      <c r="K40" s="160">
        <f ca="1">IF(TYPE(VLOOKUP(C40,'KO4'!$D$4:$D$9,1,0))&lt;4,4,999)</f>
        <v>999</v>
      </c>
      <c r="L40" s="160">
        <f>Start.listina!$K$7</f>
        <v>45</v>
      </c>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12" customHeight="1">
      <c r="A41" s="6">
        <f>IF(OR(Start.listina!H49&gt;Start.listina!$K$7,Start.listina!G49=TRUE),"",Start.listina!H49)</f>
        <v>39</v>
      </c>
      <c r="B41" s="160" t="str">
        <f>IF(A41&gt;Start.listina!$K$7,"",ADDRESS(INT((A41-1)/$M$2)+1,IF(MOD(A41,$M$2)=0,IF(MOD(INT((A41-1)/$M$2)+1,2)=1,$M$2,1),IF(MOD(INT((A41-1)/$M$2)+1,2)=1,MOD(A41,$M$2),$M$2-MOD(A41,$M$2)+1)),4,1))</f>
        <v>G5</v>
      </c>
      <c r="C41" s="162" t="str">
        <f>Start.listina!$AL49</f>
        <v>Orel Řečkovice - Olbort Tomáš</v>
      </c>
      <c r="D41" s="160">
        <f>IF(A41&gt;Start.listina!$K$7,"",INT((A41-1)/$M$2)+1)</f>
        <v>5</v>
      </c>
      <c r="E41" s="160">
        <f ca="1">IF(A41&gt;Start.listina!$K$7,"",MIN(F41:L41))</f>
        <v>14</v>
      </c>
      <c r="F41" s="160">
        <f ca="1">IF(TYPE(VLOOKUP(C41,Konečné_pořadí_1_16!$B$2:$D$17,3,0))&lt;4,VLOOKUP(C41,Konečné_pořadí_1_16!$B$2:$D$17,3,0),999)</f>
        <v>14</v>
      </c>
      <c r="G41" s="160">
        <f ca="1">IF(TYPE(VLOOKUP(C41,'KO64'!$D$4:$D$129,1,0))&lt;4,64,999)</f>
        <v>64</v>
      </c>
      <c r="H41" s="160">
        <f ca="1">IF(TYPE(VLOOKUP(C41,'KO32'!$D$4:$D$65,1,0))&lt;4,32,999)</f>
        <v>32</v>
      </c>
      <c r="I41" s="160">
        <f ca="1">IF(TYPE(VLOOKUP(C41,'KO16'!$D$4:$D$33,1,0))&lt;4,16,999)</f>
        <v>16</v>
      </c>
      <c r="J41" s="160">
        <f ca="1">IF(TYPE(VLOOKUP(C41,'KO8'!$D$4:$D$17,1,0))&lt;4,8,999)</f>
        <v>999</v>
      </c>
      <c r="K41" s="160">
        <f ca="1">IF(TYPE(VLOOKUP(C41,'KO4'!$D$4:$D$9,1,0))&lt;4,4,999)</f>
        <v>999</v>
      </c>
      <c r="L41" s="160">
        <f>Start.listina!$K$7</f>
        <v>45</v>
      </c>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12" customHeight="1">
      <c r="A42" s="6">
        <f>IF(OR(Start.listina!H50&gt;Start.listina!$K$7,Start.listina!G50=TRUE),"",Start.listina!H50)</f>
        <v>40</v>
      </c>
      <c r="B42" s="160" t="str">
        <f>IF(A42&gt;Start.listina!$K$7,"",ADDRESS(INT((A42-1)/$M$2)+1,IF(MOD(A42,$M$2)=0,IF(MOD(INT((A42-1)/$M$2)+1,2)=1,$M$2,1),IF(MOD(INT((A42-1)/$M$2)+1,2)=1,MOD(A42,$M$2),$M$2-MOD(A42,$M$2)+1)),4,1))</f>
        <v>H5</v>
      </c>
      <c r="C42" s="162" t="str">
        <f>Start.listina!$AL50</f>
        <v>PK Polouvsí - Rusek Luboš</v>
      </c>
      <c r="D42" s="160">
        <f>IF(A42&gt;Start.listina!$K$7,"",INT((A42-1)/$M$2)+1)</f>
        <v>5</v>
      </c>
      <c r="E42" s="160">
        <f ca="1">IF(A42&gt;Start.listina!$K$7,"",MIN(F42:L42))</f>
        <v>45</v>
      </c>
      <c r="F42" s="160">
        <f ca="1">IF(TYPE(VLOOKUP(C42,Konečné_pořadí_1_16!$B$2:$D$17,3,0))&lt;4,VLOOKUP(C42,Konečné_pořadí_1_16!$B$2:$D$17,3,0),999)</f>
        <v>999</v>
      </c>
      <c r="G42" s="160">
        <f ca="1">IF(TYPE(VLOOKUP(C42,'KO64'!$D$4:$D$129,1,0))&lt;4,64,999)</f>
        <v>999</v>
      </c>
      <c r="H42" s="160">
        <f ca="1">IF(TYPE(VLOOKUP(C42,'KO32'!$D$4:$D$65,1,0))&lt;4,32,999)</f>
        <v>999</v>
      </c>
      <c r="I42" s="160">
        <f ca="1">IF(TYPE(VLOOKUP(C42,'KO16'!$D$4:$D$33,1,0))&lt;4,16,999)</f>
        <v>999</v>
      </c>
      <c r="J42" s="160">
        <f ca="1">IF(TYPE(VLOOKUP(C42,'KO8'!$D$4:$D$17,1,0))&lt;4,8,999)</f>
        <v>999</v>
      </c>
      <c r="K42" s="160">
        <f ca="1">IF(TYPE(VLOOKUP(C42,'KO4'!$D$4:$D$9,1,0))&lt;4,4,999)</f>
        <v>999</v>
      </c>
      <c r="L42" s="160">
        <f>Start.listina!$K$7</f>
        <v>45</v>
      </c>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12" customHeight="1">
      <c r="A43" s="6">
        <f>IF(OR(Start.listina!H51&gt;Start.listina!$K$7,Start.listina!G51=TRUE),"",Start.listina!H51)</f>
        <v>41</v>
      </c>
      <c r="B43" s="160" t="str">
        <f>IF(A43&gt;Start.listina!$K$7,"",ADDRESS(INT((A43-1)/$M$2)+1,IF(MOD(A43,$M$2)=0,IF(MOD(INT((A43-1)/$M$2)+1,2)=1,$M$2,1),IF(MOD(INT((A43-1)/$M$2)+1,2)=1,MOD(A43,$M$2),$M$2-MOD(A43,$M$2)+1)),4,1))</f>
        <v>H6</v>
      </c>
      <c r="C43" s="162" t="str">
        <f>Start.listina!$AL51</f>
        <v>1. Starobrněnský PK - Blažejová Eva</v>
      </c>
      <c r="D43" s="160">
        <f>IF(A43&gt;Start.listina!$K$7,"",INT((A43-1)/$M$2)+1)</f>
        <v>6</v>
      </c>
      <c r="E43" s="160">
        <f ca="1">IF(A43&gt;Start.listina!$K$7,"",MIN(F43:L43))</f>
        <v>45</v>
      </c>
      <c r="F43" s="160">
        <f ca="1">IF(TYPE(VLOOKUP(C43,Konečné_pořadí_1_16!$B$2:$D$17,3,0))&lt;4,VLOOKUP(C43,Konečné_pořadí_1_16!$B$2:$D$17,3,0),999)</f>
        <v>999</v>
      </c>
      <c r="G43" s="160">
        <f ca="1">IF(TYPE(VLOOKUP(C43,'KO64'!$D$4:$D$129,1,0))&lt;4,64,999)</f>
        <v>999</v>
      </c>
      <c r="H43" s="160">
        <f ca="1">IF(TYPE(VLOOKUP(C43,'KO32'!$D$4:$D$65,1,0))&lt;4,32,999)</f>
        <v>999</v>
      </c>
      <c r="I43" s="160">
        <f ca="1">IF(TYPE(VLOOKUP(C43,'KO16'!$D$4:$D$33,1,0))&lt;4,16,999)</f>
        <v>999</v>
      </c>
      <c r="J43" s="160">
        <f ca="1">IF(TYPE(VLOOKUP(C43,'KO8'!$D$4:$D$17,1,0))&lt;4,8,999)</f>
        <v>999</v>
      </c>
      <c r="K43" s="160">
        <f ca="1">IF(TYPE(VLOOKUP(C43,'KO4'!$D$4:$D$9,1,0))&lt;4,4,999)</f>
        <v>999</v>
      </c>
      <c r="L43" s="160">
        <f>Start.listina!$K$7</f>
        <v>45</v>
      </c>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12" customHeight="1">
      <c r="A44" s="6">
        <f>IF(OR(Start.listina!H52&gt;Start.listina!$K$7,Start.listina!G52=TRUE),"",Start.listina!H52)</f>
        <v>42</v>
      </c>
      <c r="B44" s="160" t="str">
        <f>IF(A44&gt;Start.listina!$K$7,"",ADDRESS(INT((A44-1)/$M$2)+1,IF(MOD(A44,$M$2)=0,IF(MOD(INT((A44-1)/$M$2)+1,2)=1,$M$2,1),IF(MOD(INT((A44-1)/$M$2)+1,2)=1,MOD(A44,$M$2),$M$2-MOD(A44,$M$2)+1)),4,1))</f>
        <v>G6</v>
      </c>
      <c r="C44" s="162" t="str">
        <f>Start.listina!$AL52</f>
        <v>PK Polouvsí - Koudelka Josef</v>
      </c>
      <c r="D44" s="160">
        <f>IF(A44&gt;Start.listina!$K$7,"",INT((A44-1)/$M$2)+1)</f>
        <v>6</v>
      </c>
      <c r="E44" s="160">
        <f ca="1">IF(A44&gt;Start.listina!$K$7,"",MIN(F44:L44))</f>
        <v>45</v>
      </c>
      <c r="F44" s="160">
        <f ca="1">IF(TYPE(VLOOKUP(C44,Konečné_pořadí_1_16!$B$2:$D$17,3,0))&lt;4,VLOOKUP(C44,Konečné_pořadí_1_16!$B$2:$D$17,3,0),999)</f>
        <v>999</v>
      </c>
      <c r="G44" s="160">
        <f ca="1">IF(TYPE(VLOOKUP(C44,'KO64'!$D$4:$D$129,1,0))&lt;4,64,999)</f>
        <v>999</v>
      </c>
      <c r="H44" s="160">
        <f ca="1">IF(TYPE(VLOOKUP(C44,'KO32'!$D$4:$D$65,1,0))&lt;4,32,999)</f>
        <v>999</v>
      </c>
      <c r="I44" s="160">
        <f ca="1">IF(TYPE(VLOOKUP(C44,'KO16'!$D$4:$D$33,1,0))&lt;4,16,999)</f>
        <v>999</v>
      </c>
      <c r="J44" s="160">
        <f ca="1">IF(TYPE(VLOOKUP(C44,'KO8'!$D$4:$D$17,1,0))&lt;4,8,999)</f>
        <v>999</v>
      </c>
      <c r="K44" s="160">
        <f ca="1">IF(TYPE(VLOOKUP(C44,'KO4'!$D$4:$D$9,1,0))&lt;4,4,999)</f>
        <v>999</v>
      </c>
      <c r="L44" s="160">
        <f>Start.listina!$K$7</f>
        <v>45</v>
      </c>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12" customHeight="1">
      <c r="A45" s="6">
        <f>IF(OR(Start.listina!H53&gt;Start.listina!$K$7,Start.listina!G53=TRUE),"",Start.listina!H53)</f>
        <v>43</v>
      </c>
      <c r="B45" s="160" t="str">
        <f>IF(A45&gt;Start.listina!$K$7,"",ADDRESS(INT((A45-1)/$M$2)+1,IF(MOD(A45,$M$2)=0,IF(MOD(INT((A45-1)/$M$2)+1,2)=1,$M$2,1),IF(MOD(INT((A45-1)/$M$2)+1,2)=1,MOD(A45,$M$2),$M$2-MOD(A45,$M$2)+1)),4,1))</f>
        <v>F6</v>
      </c>
      <c r="C45" s="162" t="str">
        <f>Start.listina!$AL53</f>
        <v>HAVAJ CB - Korešová Alena</v>
      </c>
      <c r="D45" s="160">
        <f>IF(A45&gt;Start.listina!$K$7,"",INT((A45-1)/$M$2)+1)</f>
        <v>6</v>
      </c>
      <c r="E45" s="160">
        <f ca="1">IF(A45&gt;Start.listina!$K$7,"",MIN(F45:L45))</f>
        <v>45</v>
      </c>
      <c r="F45" s="160">
        <f ca="1">IF(TYPE(VLOOKUP(C45,Konečné_pořadí_1_16!$B$2:$D$17,3,0))&lt;4,VLOOKUP(C45,Konečné_pořadí_1_16!$B$2:$D$17,3,0),999)</f>
        <v>999</v>
      </c>
      <c r="G45" s="160">
        <f ca="1">IF(TYPE(VLOOKUP(C45,'KO64'!$D$4:$D$129,1,0))&lt;4,64,999)</f>
        <v>999</v>
      </c>
      <c r="H45" s="160">
        <f ca="1">IF(TYPE(VLOOKUP(C45,'KO32'!$D$4:$D$65,1,0))&lt;4,32,999)</f>
        <v>999</v>
      </c>
      <c r="I45" s="160">
        <f ca="1">IF(TYPE(VLOOKUP(C45,'KO16'!$D$4:$D$33,1,0))&lt;4,16,999)</f>
        <v>999</v>
      </c>
      <c r="J45" s="160">
        <f ca="1">IF(TYPE(VLOOKUP(C45,'KO8'!$D$4:$D$17,1,0))&lt;4,8,999)</f>
        <v>999</v>
      </c>
      <c r="K45" s="160">
        <f ca="1">IF(TYPE(VLOOKUP(C45,'KO4'!$D$4:$D$9,1,0))&lt;4,4,999)</f>
        <v>999</v>
      </c>
      <c r="L45" s="160">
        <f>Start.listina!$K$7</f>
        <v>45</v>
      </c>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12" customHeight="1">
      <c r="A46" s="6">
        <f>IF(OR(Start.listina!H54&gt;Start.listina!$K$7,Start.listina!G54=TRUE),"",Start.listina!H54)</f>
        <v>44</v>
      </c>
      <c r="B46" s="160" t="str">
        <f>IF(A46&gt;Start.listina!$K$7,"",ADDRESS(INT((A46-1)/$M$2)+1,IF(MOD(A46,$M$2)=0,IF(MOD(INT((A46-1)/$M$2)+1,2)=1,$M$2,1),IF(MOD(INT((A46-1)/$M$2)+1,2)=1,MOD(A46,$M$2),$M$2-MOD(A46,$M$2)+1)),4,1))</f>
        <v>E6</v>
      </c>
      <c r="C46" s="162" t="str">
        <f>Start.listina!$AL54</f>
        <v>SKP Hranice VI-Valšovice - Němečková Radomíra</v>
      </c>
      <c r="D46" s="160">
        <f>IF(A46&gt;Start.listina!$K$7,"",INT((A46-1)/$M$2)+1)</f>
        <v>6</v>
      </c>
      <c r="E46" s="160">
        <f ca="1">IF(A46&gt;Start.listina!$K$7,"",MIN(F46:L46))</f>
        <v>45</v>
      </c>
      <c r="F46" s="160">
        <f ca="1">IF(TYPE(VLOOKUP(C46,Konečné_pořadí_1_16!$B$2:$D$17,3,0))&lt;4,VLOOKUP(C46,Konečné_pořadí_1_16!$B$2:$D$17,3,0),999)</f>
        <v>999</v>
      </c>
      <c r="G46" s="160">
        <f ca="1">IF(TYPE(VLOOKUP(C46,'KO64'!$D$4:$D$129,1,0))&lt;4,64,999)</f>
        <v>999</v>
      </c>
      <c r="H46" s="160">
        <f ca="1">IF(TYPE(VLOOKUP(C46,'KO32'!$D$4:$D$65,1,0))&lt;4,32,999)</f>
        <v>999</v>
      </c>
      <c r="I46" s="160">
        <f ca="1">IF(TYPE(VLOOKUP(C46,'KO16'!$D$4:$D$33,1,0))&lt;4,16,999)</f>
        <v>999</v>
      </c>
      <c r="J46" s="160">
        <f ca="1">IF(TYPE(VLOOKUP(C46,'KO8'!$D$4:$D$17,1,0))&lt;4,8,999)</f>
        <v>999</v>
      </c>
      <c r="K46" s="160">
        <f ca="1">IF(TYPE(VLOOKUP(C46,'KO4'!$D$4:$D$9,1,0))&lt;4,4,999)</f>
        <v>999</v>
      </c>
      <c r="L46" s="160">
        <f>Start.listina!$K$7</f>
        <v>45</v>
      </c>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12" customHeight="1">
      <c r="A47" s="6">
        <f>IF(OR(Start.listina!H55&gt;Start.listina!$K$7,Start.listina!G55=TRUE),"",Start.listina!H55)</f>
        <v>45</v>
      </c>
      <c r="B47" s="160" t="str">
        <f>IF(A47&gt;Start.listina!$K$7,"",ADDRESS(INT((A47-1)/$M$2)+1,IF(MOD(A47,$M$2)=0,IF(MOD(INT((A47-1)/$M$2)+1,2)=1,$M$2,1),IF(MOD(INT((A47-1)/$M$2)+1,2)=1,MOD(A47,$M$2),$M$2-MOD(A47,$M$2)+1)),4,1))</f>
        <v>D6</v>
      </c>
      <c r="C47" s="162" t="str">
        <f>Start.listina!$AL55</f>
        <v>PC Sokol PP Hr. Králové - Vávrová Ivana</v>
      </c>
      <c r="D47" s="160">
        <f>IF(A47&gt;Start.listina!$K$7,"",INT((A47-1)/$M$2)+1)</f>
        <v>6</v>
      </c>
      <c r="E47" s="160">
        <f ca="1">IF(A47&gt;Start.listina!$K$7,"",MIN(F47:L47))</f>
        <v>45</v>
      </c>
      <c r="F47" s="160">
        <f ca="1">IF(TYPE(VLOOKUP(C47,Konečné_pořadí_1_16!$B$2:$D$17,3,0))&lt;4,VLOOKUP(C47,Konečné_pořadí_1_16!$B$2:$D$17,3,0),999)</f>
        <v>999</v>
      </c>
      <c r="G47" s="160">
        <f ca="1">IF(TYPE(VLOOKUP(C47,'KO64'!$D$4:$D$129,1,0))&lt;4,64,999)</f>
        <v>999</v>
      </c>
      <c r="H47" s="160">
        <f ca="1">IF(TYPE(VLOOKUP(C47,'KO32'!$D$4:$D$65,1,0))&lt;4,32,999)</f>
        <v>999</v>
      </c>
      <c r="I47" s="160">
        <f ca="1">IF(TYPE(VLOOKUP(C47,'KO16'!$D$4:$D$33,1,0))&lt;4,16,999)</f>
        <v>999</v>
      </c>
      <c r="J47" s="160">
        <f ca="1">IF(TYPE(VLOOKUP(C47,'KO8'!$D$4:$D$17,1,0))&lt;4,8,999)</f>
        <v>999</v>
      </c>
      <c r="K47" s="160">
        <f ca="1">IF(TYPE(VLOOKUP(C47,'KO4'!$D$4:$D$9,1,0))&lt;4,4,999)</f>
        <v>999</v>
      </c>
      <c r="L47" s="160">
        <f>Start.listina!$K$7</f>
        <v>45</v>
      </c>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12" customHeight="1">
      <c r="A48" s="6" t="str">
        <f>IF(OR(Start.listina!H56&gt;Start.listina!$K$7,Start.listina!G56=TRUE),"",Start.listina!H56)</f>
        <v/>
      </c>
      <c r="B48" s="160" t="str">
        <f>IF(A48&gt;Start.listina!$K$7,"",ADDRESS(INT((A48-1)/$M$2)+1,IF(MOD(A48,$M$2)=0,IF(MOD(INT((A48-1)/$M$2)+1,2)=1,$M$2,1),IF(MOD(INT((A48-1)/$M$2)+1,2)=1,MOD(A48,$M$2),$M$2-MOD(A48,$M$2)+1)),4,1))</f>
        <v/>
      </c>
      <c r="C48" s="162" t="str">
        <f>Start.listina!$AL56</f>
        <v/>
      </c>
      <c r="D48" s="160" t="str">
        <f>IF(A48&gt;Start.listina!$K$7,"",INT((A48-1)/$M$2)+1)</f>
        <v/>
      </c>
      <c r="E48" s="160" t="str">
        <f>IF(A48&gt;Start.listina!$K$7,"",MIN(F48:L48))</f>
        <v/>
      </c>
      <c r="F48" s="160">
        <f ca="1">IF(TYPE(VLOOKUP(C48,Konečné_pořadí_1_16!$B$2:$D$17,3,0))&lt;4,VLOOKUP(C48,Konečné_pořadí_1_16!$B$2:$D$17,3,0),999)</f>
        <v>999</v>
      </c>
      <c r="G48" s="160">
        <f ca="1">IF(TYPE(VLOOKUP(C48,'KO64'!$D$4:$D$129,1,0))&lt;4,64,999)</f>
        <v>999</v>
      </c>
      <c r="H48" s="160">
        <f ca="1">IF(TYPE(VLOOKUP(C48,'KO32'!$D$4:$D$65,1,0))&lt;4,32,999)</f>
        <v>999</v>
      </c>
      <c r="I48" s="160">
        <f ca="1">IF(TYPE(VLOOKUP(C48,'KO16'!$D$4:$D$33,1,0))&lt;4,16,999)</f>
        <v>999</v>
      </c>
      <c r="J48" s="160">
        <f ca="1">IF(TYPE(VLOOKUP(C48,'KO8'!$D$4:$D$17,1,0))&lt;4,8,999)</f>
        <v>999</v>
      </c>
      <c r="K48" s="160">
        <f ca="1">IF(TYPE(VLOOKUP(C48,'KO4'!$D$4:$D$9,1,0))&lt;4,4,999)</f>
        <v>999</v>
      </c>
      <c r="L48" s="160">
        <f>Start.listina!$K$7</f>
        <v>45</v>
      </c>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12" customHeight="1">
      <c r="A49" s="6" t="str">
        <f>IF(OR(Start.listina!H57&gt;Start.listina!$K$7,Start.listina!G57=TRUE),"",Start.listina!H57)</f>
        <v/>
      </c>
      <c r="B49" s="160" t="str">
        <f>IF(A49&gt;Start.listina!$K$7,"",ADDRESS(INT((A49-1)/$M$2)+1,IF(MOD(A49,$M$2)=0,IF(MOD(INT((A49-1)/$M$2)+1,2)=1,$M$2,1),IF(MOD(INT((A49-1)/$M$2)+1,2)=1,MOD(A49,$M$2),$M$2-MOD(A49,$M$2)+1)),4,1))</f>
        <v/>
      </c>
      <c r="C49" s="162" t="str">
        <f>Start.listina!$AL57</f>
        <v/>
      </c>
      <c r="D49" s="160" t="str">
        <f>IF(A49&gt;Start.listina!$K$7,"",INT((A49-1)/$M$2)+1)</f>
        <v/>
      </c>
      <c r="E49" s="160" t="str">
        <f>IF(A49&gt;Start.listina!$K$7,"",MIN(F49:L49))</f>
        <v/>
      </c>
      <c r="F49" s="160">
        <f ca="1">IF(TYPE(VLOOKUP(C49,Konečné_pořadí_1_16!$B$2:$D$17,3,0))&lt;4,VLOOKUP(C49,Konečné_pořadí_1_16!$B$2:$D$17,3,0),999)</f>
        <v>999</v>
      </c>
      <c r="G49" s="160">
        <f ca="1">IF(TYPE(VLOOKUP(C49,'KO64'!$D$4:$D$129,1,0))&lt;4,64,999)</f>
        <v>999</v>
      </c>
      <c r="H49" s="160">
        <f ca="1">IF(TYPE(VLOOKUP(C49,'KO32'!$D$4:$D$65,1,0))&lt;4,32,999)</f>
        <v>999</v>
      </c>
      <c r="I49" s="160">
        <f ca="1">IF(TYPE(VLOOKUP(C49,'KO16'!$D$4:$D$33,1,0))&lt;4,16,999)</f>
        <v>999</v>
      </c>
      <c r="J49" s="160">
        <f ca="1">IF(TYPE(VLOOKUP(C49,'KO8'!$D$4:$D$17,1,0))&lt;4,8,999)</f>
        <v>999</v>
      </c>
      <c r="K49" s="160">
        <f ca="1">IF(TYPE(VLOOKUP(C49,'KO4'!$D$4:$D$9,1,0))&lt;4,4,999)</f>
        <v>999</v>
      </c>
      <c r="L49" s="160">
        <f>Start.listina!$K$7</f>
        <v>45</v>
      </c>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12" customHeight="1">
      <c r="A50" s="6" t="str">
        <f>IF(OR(Start.listina!H58&gt;Start.listina!$K$7,Start.listina!G58=TRUE),"",Start.listina!H58)</f>
        <v/>
      </c>
      <c r="B50" s="160" t="str">
        <f>IF(A50&gt;Start.listina!$K$7,"",ADDRESS(INT((A50-1)/$M$2)+1,IF(MOD(A50,$M$2)=0,IF(MOD(INT((A50-1)/$M$2)+1,2)=1,$M$2,1),IF(MOD(INT((A50-1)/$M$2)+1,2)=1,MOD(A50,$M$2),$M$2-MOD(A50,$M$2)+1)),4,1))</f>
        <v/>
      </c>
      <c r="C50" s="162" t="str">
        <f>Start.listina!$AL58</f>
        <v/>
      </c>
      <c r="D50" s="160" t="str">
        <f>IF(A50&gt;Start.listina!$K$7,"",INT((A50-1)/$M$2)+1)</f>
        <v/>
      </c>
      <c r="E50" s="160" t="str">
        <f>IF(A50&gt;Start.listina!$K$7,"",MIN(F50:L50))</f>
        <v/>
      </c>
      <c r="F50" s="160">
        <f ca="1">IF(TYPE(VLOOKUP(C50,Konečné_pořadí_1_16!$B$2:$D$17,3,0))&lt;4,VLOOKUP(C50,Konečné_pořadí_1_16!$B$2:$D$17,3,0),999)</f>
        <v>999</v>
      </c>
      <c r="G50" s="160">
        <f ca="1">IF(TYPE(VLOOKUP(C50,'KO64'!$D$4:$D$129,1,0))&lt;4,64,999)</f>
        <v>999</v>
      </c>
      <c r="H50" s="160">
        <f ca="1">IF(TYPE(VLOOKUP(C50,'KO32'!$D$4:$D$65,1,0))&lt;4,32,999)</f>
        <v>999</v>
      </c>
      <c r="I50" s="160">
        <f ca="1">IF(TYPE(VLOOKUP(C50,'KO16'!$D$4:$D$33,1,0))&lt;4,16,999)</f>
        <v>999</v>
      </c>
      <c r="J50" s="160">
        <f ca="1">IF(TYPE(VLOOKUP(C50,'KO8'!$D$4:$D$17,1,0))&lt;4,8,999)</f>
        <v>999</v>
      </c>
      <c r="K50" s="160">
        <f ca="1">IF(TYPE(VLOOKUP(C50,'KO4'!$D$4:$D$9,1,0))&lt;4,4,999)</f>
        <v>999</v>
      </c>
      <c r="L50" s="160">
        <f>Start.listina!$K$7</f>
        <v>45</v>
      </c>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12" customHeight="1">
      <c r="A51" s="6" t="str">
        <f>IF(OR(Start.listina!H59&gt;Start.listina!$K$7,Start.listina!G59=TRUE),"",Start.listina!H59)</f>
        <v/>
      </c>
      <c r="B51" s="160" t="str">
        <f>IF(A51&gt;Start.listina!$K$7,"",ADDRESS(INT((A51-1)/$M$2)+1,IF(MOD(A51,$M$2)=0,IF(MOD(INT((A51-1)/$M$2)+1,2)=1,$M$2,1),IF(MOD(INT((A51-1)/$M$2)+1,2)=1,MOD(A51,$M$2),$M$2-MOD(A51,$M$2)+1)),4,1))</f>
        <v/>
      </c>
      <c r="C51" s="162" t="str">
        <f>Start.listina!$AL59</f>
        <v/>
      </c>
      <c r="D51" s="160" t="str">
        <f>IF(A51&gt;Start.listina!$K$7,"",INT((A51-1)/$M$2)+1)</f>
        <v/>
      </c>
      <c r="E51" s="160" t="str">
        <f>IF(A51&gt;Start.listina!$K$7,"",MIN(F51:L51))</f>
        <v/>
      </c>
      <c r="F51" s="160">
        <f ca="1">IF(TYPE(VLOOKUP(C51,Konečné_pořadí_1_16!$B$2:$D$17,3,0))&lt;4,VLOOKUP(C51,Konečné_pořadí_1_16!$B$2:$D$17,3,0),999)</f>
        <v>999</v>
      </c>
      <c r="G51" s="160">
        <f ca="1">IF(TYPE(VLOOKUP(C51,'KO64'!$D$4:$D$129,1,0))&lt;4,64,999)</f>
        <v>999</v>
      </c>
      <c r="H51" s="160">
        <f ca="1">IF(TYPE(VLOOKUP(C51,'KO32'!$D$4:$D$65,1,0))&lt;4,32,999)</f>
        <v>999</v>
      </c>
      <c r="I51" s="160">
        <f ca="1">IF(TYPE(VLOOKUP(C51,'KO16'!$D$4:$D$33,1,0))&lt;4,16,999)</f>
        <v>999</v>
      </c>
      <c r="J51" s="160">
        <f ca="1">IF(TYPE(VLOOKUP(C51,'KO8'!$D$4:$D$17,1,0))&lt;4,8,999)</f>
        <v>999</v>
      </c>
      <c r="K51" s="160">
        <f ca="1">IF(TYPE(VLOOKUP(C51,'KO4'!$D$4:$D$9,1,0))&lt;4,4,999)</f>
        <v>999</v>
      </c>
      <c r="L51" s="160">
        <f>Start.listina!$K$7</f>
        <v>45</v>
      </c>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12" customHeight="1">
      <c r="A52" s="6" t="str">
        <f>IF(OR(Start.listina!H60&gt;Start.listina!$K$7,Start.listina!G60=TRUE),"",Start.listina!H60)</f>
        <v/>
      </c>
      <c r="B52" s="160" t="str">
        <f>IF(A52&gt;Start.listina!$K$7,"",ADDRESS(INT((A52-1)/$M$2)+1,IF(MOD(A52,$M$2)=0,IF(MOD(INT((A52-1)/$M$2)+1,2)=1,$M$2,1),IF(MOD(INT((A52-1)/$M$2)+1,2)=1,MOD(A52,$M$2),$M$2-MOD(A52,$M$2)+1)),4,1))</f>
        <v/>
      </c>
      <c r="C52" s="162" t="str">
        <f>Start.listina!$AL60</f>
        <v/>
      </c>
      <c r="D52" s="160" t="str">
        <f>IF(A52&gt;Start.listina!$K$7,"",INT((A52-1)/$M$2)+1)</f>
        <v/>
      </c>
      <c r="E52" s="160" t="str">
        <f>IF(A52&gt;Start.listina!$K$7,"",MIN(F52:L52))</f>
        <v/>
      </c>
      <c r="F52" s="160">
        <f ca="1">IF(TYPE(VLOOKUP(C52,Konečné_pořadí_1_16!$B$2:$D$17,3,0))&lt;4,VLOOKUP(C52,Konečné_pořadí_1_16!$B$2:$D$17,3,0),999)</f>
        <v>999</v>
      </c>
      <c r="G52" s="160">
        <f ca="1">IF(TYPE(VLOOKUP(C52,'KO64'!$D$4:$D$129,1,0))&lt;4,64,999)</f>
        <v>999</v>
      </c>
      <c r="H52" s="160">
        <f ca="1">IF(TYPE(VLOOKUP(C52,'KO32'!$D$4:$D$65,1,0))&lt;4,32,999)</f>
        <v>999</v>
      </c>
      <c r="I52" s="160">
        <f ca="1">IF(TYPE(VLOOKUP(C52,'KO16'!$D$4:$D$33,1,0))&lt;4,16,999)</f>
        <v>999</v>
      </c>
      <c r="J52" s="160">
        <f ca="1">IF(TYPE(VLOOKUP(C52,'KO8'!$D$4:$D$17,1,0))&lt;4,8,999)</f>
        <v>999</v>
      </c>
      <c r="K52" s="160">
        <f ca="1">IF(TYPE(VLOOKUP(C52,'KO4'!$D$4:$D$9,1,0))&lt;4,4,999)</f>
        <v>999</v>
      </c>
      <c r="L52" s="160">
        <f>Start.listina!$K$7</f>
        <v>45</v>
      </c>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12" customHeight="1">
      <c r="A53" s="6" t="str">
        <f>IF(OR(Start.listina!H61&gt;Start.listina!$K$7,Start.listina!G61=TRUE),"",Start.listina!H61)</f>
        <v/>
      </c>
      <c r="B53" s="160" t="str">
        <f>IF(A53&gt;Start.listina!$K$7,"",ADDRESS(INT((A53-1)/$M$2)+1,IF(MOD(A53,$M$2)=0,IF(MOD(INT((A53-1)/$M$2)+1,2)=1,$M$2,1),IF(MOD(INT((A53-1)/$M$2)+1,2)=1,MOD(A53,$M$2),$M$2-MOD(A53,$M$2)+1)),4,1))</f>
        <v/>
      </c>
      <c r="C53" s="162" t="str">
        <f>Start.listina!$AL61</f>
        <v/>
      </c>
      <c r="D53" s="160" t="str">
        <f>IF(A53&gt;Start.listina!$K$7,"",INT((A53-1)/$M$2)+1)</f>
        <v/>
      </c>
      <c r="E53" s="160" t="str">
        <f>IF(A53&gt;Start.listina!$K$7,"",MIN(F53:L53))</f>
        <v/>
      </c>
      <c r="F53" s="160">
        <f ca="1">IF(TYPE(VLOOKUP(C53,Konečné_pořadí_1_16!$B$2:$D$17,3,0))&lt;4,VLOOKUP(C53,Konečné_pořadí_1_16!$B$2:$D$17,3,0),999)</f>
        <v>999</v>
      </c>
      <c r="G53" s="160">
        <f ca="1">IF(TYPE(VLOOKUP(C53,'KO64'!$D$4:$D$129,1,0))&lt;4,64,999)</f>
        <v>999</v>
      </c>
      <c r="H53" s="160">
        <f ca="1">IF(TYPE(VLOOKUP(C53,'KO32'!$D$4:$D$65,1,0))&lt;4,32,999)</f>
        <v>999</v>
      </c>
      <c r="I53" s="160">
        <f ca="1">IF(TYPE(VLOOKUP(C53,'KO16'!$D$4:$D$33,1,0))&lt;4,16,999)</f>
        <v>999</v>
      </c>
      <c r="J53" s="160">
        <f ca="1">IF(TYPE(VLOOKUP(C53,'KO8'!$D$4:$D$17,1,0))&lt;4,8,999)</f>
        <v>999</v>
      </c>
      <c r="K53" s="160">
        <f ca="1">IF(TYPE(VLOOKUP(C53,'KO4'!$D$4:$D$9,1,0))&lt;4,4,999)</f>
        <v>999</v>
      </c>
      <c r="L53" s="160">
        <f>Start.listina!$K$7</f>
        <v>45</v>
      </c>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12" customHeight="1">
      <c r="A54" s="6" t="str">
        <f>IF(OR(Start.listina!H62&gt;Start.listina!$K$7,Start.listina!G62=TRUE),"",Start.listina!H62)</f>
        <v/>
      </c>
      <c r="B54" s="160" t="str">
        <f>IF(A54&gt;Start.listina!$K$7,"",ADDRESS(INT((A54-1)/$M$2)+1,IF(MOD(A54,$M$2)=0,IF(MOD(INT((A54-1)/$M$2)+1,2)=1,$M$2,1),IF(MOD(INT((A54-1)/$M$2)+1,2)=1,MOD(A54,$M$2),$M$2-MOD(A54,$M$2)+1)),4,1))</f>
        <v/>
      </c>
      <c r="C54" s="162" t="str">
        <f>Start.listina!$AL62</f>
        <v/>
      </c>
      <c r="D54" s="160" t="str">
        <f>IF(A54&gt;Start.listina!$K$7,"",INT((A54-1)/$M$2)+1)</f>
        <v/>
      </c>
      <c r="E54" s="160" t="str">
        <f>IF(A54&gt;Start.listina!$K$7,"",MIN(F54:L54))</f>
        <v/>
      </c>
      <c r="F54" s="160">
        <f ca="1">IF(TYPE(VLOOKUP(C54,Konečné_pořadí_1_16!$B$2:$D$17,3,0))&lt;4,VLOOKUP(C54,Konečné_pořadí_1_16!$B$2:$D$17,3,0),999)</f>
        <v>999</v>
      </c>
      <c r="G54" s="160">
        <f ca="1">IF(TYPE(VLOOKUP(C54,'KO64'!$D$4:$D$129,1,0))&lt;4,64,999)</f>
        <v>999</v>
      </c>
      <c r="H54" s="160">
        <f ca="1">IF(TYPE(VLOOKUP(C54,'KO32'!$D$4:$D$65,1,0))&lt;4,32,999)</f>
        <v>999</v>
      </c>
      <c r="I54" s="160">
        <f ca="1">IF(TYPE(VLOOKUP(C54,'KO16'!$D$4:$D$33,1,0))&lt;4,16,999)</f>
        <v>999</v>
      </c>
      <c r="J54" s="160">
        <f ca="1">IF(TYPE(VLOOKUP(C54,'KO8'!$D$4:$D$17,1,0))&lt;4,8,999)</f>
        <v>999</v>
      </c>
      <c r="K54" s="160">
        <f ca="1">IF(TYPE(VLOOKUP(C54,'KO4'!$D$4:$D$9,1,0))&lt;4,4,999)</f>
        <v>999</v>
      </c>
      <c r="L54" s="160">
        <f>Start.listina!$K$7</f>
        <v>45</v>
      </c>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12" customHeight="1">
      <c r="A55" s="6" t="str">
        <f>IF(OR(Start.listina!H63&gt;Start.listina!$K$7,Start.listina!G63=TRUE),"",Start.listina!H63)</f>
        <v/>
      </c>
      <c r="B55" s="160" t="str">
        <f>IF(A55&gt;Start.listina!$K$7,"",ADDRESS(INT((A55-1)/$M$2)+1,IF(MOD(A55,$M$2)=0,IF(MOD(INT((A55-1)/$M$2)+1,2)=1,$M$2,1),IF(MOD(INT((A55-1)/$M$2)+1,2)=1,MOD(A55,$M$2),$M$2-MOD(A55,$M$2)+1)),4,1))</f>
        <v/>
      </c>
      <c r="C55" s="162" t="str">
        <f>Start.listina!$AL63</f>
        <v/>
      </c>
      <c r="D55" s="160" t="str">
        <f>IF(A55&gt;Start.listina!$K$7,"",INT((A55-1)/$M$2)+1)</f>
        <v/>
      </c>
      <c r="E55" s="160" t="str">
        <f>IF(A55&gt;Start.listina!$K$7,"",MIN(F55:L55))</f>
        <v/>
      </c>
      <c r="F55" s="160">
        <f ca="1">IF(TYPE(VLOOKUP(C55,Konečné_pořadí_1_16!$B$2:$D$17,3,0))&lt;4,VLOOKUP(C55,Konečné_pořadí_1_16!$B$2:$D$17,3,0),999)</f>
        <v>999</v>
      </c>
      <c r="G55" s="160">
        <f ca="1">IF(TYPE(VLOOKUP(C55,'KO64'!$D$4:$D$129,1,0))&lt;4,64,999)</f>
        <v>999</v>
      </c>
      <c r="H55" s="160">
        <f ca="1">IF(TYPE(VLOOKUP(C55,'KO32'!$D$4:$D$65,1,0))&lt;4,32,999)</f>
        <v>999</v>
      </c>
      <c r="I55" s="160">
        <f ca="1">IF(TYPE(VLOOKUP(C55,'KO16'!$D$4:$D$33,1,0))&lt;4,16,999)</f>
        <v>999</v>
      </c>
      <c r="J55" s="160">
        <f ca="1">IF(TYPE(VLOOKUP(C55,'KO8'!$D$4:$D$17,1,0))&lt;4,8,999)</f>
        <v>999</v>
      </c>
      <c r="K55" s="160">
        <f ca="1">IF(TYPE(VLOOKUP(C55,'KO4'!$D$4:$D$9,1,0))&lt;4,4,999)</f>
        <v>999</v>
      </c>
      <c r="L55" s="160">
        <f>Start.listina!$K$7</f>
        <v>45</v>
      </c>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12" customHeight="1">
      <c r="A56" s="6" t="str">
        <f>IF(OR(Start.listina!H64&gt;Start.listina!$K$7,Start.listina!G64=TRUE),"",Start.listina!H64)</f>
        <v/>
      </c>
      <c r="B56" s="160" t="str">
        <f>IF(A56&gt;Start.listina!$K$7,"",ADDRESS(INT((A56-1)/$M$2)+1,IF(MOD(A56,$M$2)=0,IF(MOD(INT((A56-1)/$M$2)+1,2)=1,$M$2,1),IF(MOD(INT((A56-1)/$M$2)+1,2)=1,MOD(A56,$M$2),$M$2-MOD(A56,$M$2)+1)),4,1))</f>
        <v/>
      </c>
      <c r="C56" s="162" t="str">
        <f>Start.listina!$AL64</f>
        <v/>
      </c>
      <c r="D56" s="160" t="str">
        <f>IF(A56&gt;Start.listina!$K$7,"",INT((A56-1)/$M$2)+1)</f>
        <v/>
      </c>
      <c r="E56" s="160" t="str">
        <f>IF(A56&gt;Start.listina!$K$7,"",MIN(F56:L56))</f>
        <v/>
      </c>
      <c r="F56" s="160">
        <f ca="1">IF(TYPE(VLOOKUP(C56,Konečné_pořadí_1_16!$B$2:$D$17,3,0))&lt;4,VLOOKUP(C56,Konečné_pořadí_1_16!$B$2:$D$17,3,0),999)</f>
        <v>999</v>
      </c>
      <c r="G56" s="160">
        <f ca="1">IF(TYPE(VLOOKUP(C56,'KO64'!$D$4:$D$129,1,0))&lt;4,64,999)</f>
        <v>999</v>
      </c>
      <c r="H56" s="160">
        <f ca="1">IF(TYPE(VLOOKUP(C56,'KO32'!$D$4:$D$65,1,0))&lt;4,32,999)</f>
        <v>999</v>
      </c>
      <c r="I56" s="160">
        <f ca="1">IF(TYPE(VLOOKUP(C56,'KO16'!$D$4:$D$33,1,0))&lt;4,16,999)</f>
        <v>999</v>
      </c>
      <c r="J56" s="160">
        <f ca="1">IF(TYPE(VLOOKUP(C56,'KO8'!$D$4:$D$17,1,0))&lt;4,8,999)</f>
        <v>999</v>
      </c>
      <c r="K56" s="160">
        <f ca="1">IF(TYPE(VLOOKUP(C56,'KO4'!$D$4:$D$9,1,0))&lt;4,4,999)</f>
        <v>999</v>
      </c>
      <c r="L56" s="160">
        <f>Start.listina!$K$7</f>
        <v>45</v>
      </c>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12" customHeight="1">
      <c r="A57" s="6" t="str">
        <f>IF(OR(Start.listina!H65&gt;Start.listina!$K$7,Start.listina!G65=TRUE),"",Start.listina!H65)</f>
        <v/>
      </c>
      <c r="B57" s="160" t="str">
        <f>IF(A57&gt;Start.listina!$K$7,"",ADDRESS(INT((A57-1)/$M$2)+1,IF(MOD(A57,$M$2)=0,IF(MOD(INT((A57-1)/$M$2)+1,2)=1,$M$2,1),IF(MOD(INT((A57-1)/$M$2)+1,2)=1,MOD(A57,$M$2),$M$2-MOD(A57,$M$2)+1)),4,1))</f>
        <v/>
      </c>
      <c r="C57" s="162" t="str">
        <f>Start.listina!$AL65</f>
        <v/>
      </c>
      <c r="D57" s="160" t="str">
        <f>IF(A57&gt;Start.listina!$K$7,"",INT((A57-1)/$M$2)+1)</f>
        <v/>
      </c>
      <c r="E57" s="160" t="str">
        <f>IF(A57&gt;Start.listina!$K$7,"",MIN(F57:L57))</f>
        <v/>
      </c>
      <c r="F57" s="160">
        <f ca="1">IF(TYPE(VLOOKUP(C57,Konečné_pořadí_1_16!$B$2:$D$17,3,0))&lt;4,VLOOKUP(C57,Konečné_pořadí_1_16!$B$2:$D$17,3,0),999)</f>
        <v>999</v>
      </c>
      <c r="G57" s="160">
        <f ca="1">IF(TYPE(VLOOKUP(C57,'KO64'!$D$4:$D$129,1,0))&lt;4,64,999)</f>
        <v>999</v>
      </c>
      <c r="H57" s="160">
        <f ca="1">IF(TYPE(VLOOKUP(C57,'KO32'!$D$4:$D$65,1,0))&lt;4,32,999)</f>
        <v>999</v>
      </c>
      <c r="I57" s="160">
        <f ca="1">IF(TYPE(VLOOKUP(C57,'KO16'!$D$4:$D$33,1,0))&lt;4,16,999)</f>
        <v>999</v>
      </c>
      <c r="J57" s="160">
        <f ca="1">IF(TYPE(VLOOKUP(C57,'KO8'!$D$4:$D$17,1,0))&lt;4,8,999)</f>
        <v>999</v>
      </c>
      <c r="K57" s="160">
        <f ca="1">IF(TYPE(VLOOKUP(C57,'KO4'!$D$4:$D$9,1,0))&lt;4,4,999)</f>
        <v>999</v>
      </c>
      <c r="L57" s="160">
        <f>Start.listina!$K$7</f>
        <v>45</v>
      </c>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12" customHeight="1">
      <c r="A58" s="6" t="str">
        <f>IF(OR(Start.listina!H66&gt;Start.listina!$K$7,Start.listina!G66=TRUE),"",Start.listina!H66)</f>
        <v/>
      </c>
      <c r="B58" s="160" t="str">
        <f>IF(A58&gt;Start.listina!$K$7,"",ADDRESS(INT((A58-1)/$M$2)+1,IF(MOD(A58,$M$2)=0,IF(MOD(INT((A58-1)/$M$2)+1,2)=1,$M$2,1),IF(MOD(INT((A58-1)/$M$2)+1,2)=1,MOD(A58,$M$2),$M$2-MOD(A58,$M$2)+1)),4,1))</f>
        <v/>
      </c>
      <c r="C58" s="162" t="str">
        <f>Start.listina!$AL66</f>
        <v/>
      </c>
      <c r="D58" s="160" t="str">
        <f>IF(A58&gt;Start.listina!$K$7,"",INT((A58-1)/$M$2)+1)</f>
        <v/>
      </c>
      <c r="E58" s="160" t="str">
        <f>IF(A58&gt;Start.listina!$K$7,"",MIN(F58:L58))</f>
        <v/>
      </c>
      <c r="F58" s="160">
        <f ca="1">IF(TYPE(VLOOKUP(C58,Konečné_pořadí_1_16!$B$2:$D$17,3,0))&lt;4,VLOOKUP(C58,Konečné_pořadí_1_16!$B$2:$D$17,3,0),999)</f>
        <v>999</v>
      </c>
      <c r="G58" s="160">
        <f ca="1">IF(TYPE(VLOOKUP(C58,'KO64'!$D$4:$D$129,1,0))&lt;4,64,999)</f>
        <v>999</v>
      </c>
      <c r="H58" s="160">
        <f ca="1">IF(TYPE(VLOOKUP(C58,'KO32'!$D$4:$D$65,1,0))&lt;4,32,999)</f>
        <v>999</v>
      </c>
      <c r="I58" s="160">
        <f ca="1">IF(TYPE(VLOOKUP(C58,'KO16'!$D$4:$D$33,1,0))&lt;4,16,999)</f>
        <v>999</v>
      </c>
      <c r="J58" s="160">
        <f ca="1">IF(TYPE(VLOOKUP(C58,'KO8'!$D$4:$D$17,1,0))&lt;4,8,999)</f>
        <v>999</v>
      </c>
      <c r="K58" s="160">
        <f ca="1">IF(TYPE(VLOOKUP(C58,'KO4'!$D$4:$D$9,1,0))&lt;4,4,999)</f>
        <v>999</v>
      </c>
      <c r="L58" s="160">
        <f>Start.listina!$K$7</f>
        <v>45</v>
      </c>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12" customHeight="1">
      <c r="A59" s="6" t="str">
        <f>IF(OR(Start.listina!H67&gt;Start.listina!$K$7,Start.listina!G67=TRUE),"",Start.listina!H67)</f>
        <v/>
      </c>
      <c r="B59" s="160" t="str">
        <f>IF(A59&gt;Start.listina!$K$7,"",ADDRESS(INT((A59-1)/$M$2)+1,IF(MOD(A59,$M$2)=0,IF(MOD(INT((A59-1)/$M$2)+1,2)=1,$M$2,1),IF(MOD(INT((A59-1)/$M$2)+1,2)=1,MOD(A59,$M$2),$M$2-MOD(A59,$M$2)+1)),4,1))</f>
        <v/>
      </c>
      <c r="C59" s="162" t="str">
        <f>Start.listina!$AL67</f>
        <v/>
      </c>
      <c r="D59" s="160" t="str">
        <f>IF(A59&gt;Start.listina!$K$7,"",INT((A59-1)/$M$2)+1)</f>
        <v/>
      </c>
      <c r="E59" s="160" t="str">
        <f>IF(A59&gt;Start.listina!$K$7,"",MIN(F59:L59))</f>
        <v/>
      </c>
      <c r="F59" s="160">
        <f ca="1">IF(TYPE(VLOOKUP(C59,Konečné_pořadí_1_16!$B$2:$D$17,3,0))&lt;4,VLOOKUP(C59,Konečné_pořadí_1_16!$B$2:$D$17,3,0),999)</f>
        <v>999</v>
      </c>
      <c r="G59" s="160">
        <f ca="1">IF(TYPE(VLOOKUP(C59,'KO64'!$D$4:$D$129,1,0))&lt;4,64,999)</f>
        <v>999</v>
      </c>
      <c r="H59" s="160">
        <f ca="1">IF(TYPE(VLOOKUP(C59,'KO32'!$D$4:$D$65,1,0))&lt;4,32,999)</f>
        <v>999</v>
      </c>
      <c r="I59" s="160">
        <f ca="1">IF(TYPE(VLOOKUP(C59,'KO16'!$D$4:$D$33,1,0))&lt;4,16,999)</f>
        <v>999</v>
      </c>
      <c r="J59" s="160">
        <f ca="1">IF(TYPE(VLOOKUP(C59,'KO8'!$D$4:$D$17,1,0))&lt;4,8,999)</f>
        <v>999</v>
      </c>
      <c r="K59" s="160">
        <f ca="1">IF(TYPE(VLOOKUP(C59,'KO4'!$D$4:$D$9,1,0))&lt;4,4,999)</f>
        <v>999</v>
      </c>
      <c r="L59" s="160">
        <f>Start.listina!$K$7</f>
        <v>45</v>
      </c>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12" customHeight="1">
      <c r="A60" s="6" t="str">
        <f>IF(OR(Start.listina!H68&gt;Start.listina!$K$7,Start.listina!G68=TRUE),"",Start.listina!H68)</f>
        <v/>
      </c>
      <c r="B60" s="160" t="str">
        <f>IF(A60&gt;Start.listina!$K$7,"",ADDRESS(INT((A60-1)/$M$2)+1,IF(MOD(A60,$M$2)=0,IF(MOD(INT((A60-1)/$M$2)+1,2)=1,$M$2,1),IF(MOD(INT((A60-1)/$M$2)+1,2)=1,MOD(A60,$M$2),$M$2-MOD(A60,$M$2)+1)),4,1))</f>
        <v/>
      </c>
      <c r="C60" s="162" t="str">
        <f>Start.listina!$AL68</f>
        <v/>
      </c>
      <c r="D60" s="160" t="str">
        <f>IF(A60&gt;Start.listina!$K$7,"",INT((A60-1)/$M$2)+1)</f>
        <v/>
      </c>
      <c r="E60" s="160" t="str">
        <f>IF(A60&gt;Start.listina!$K$7,"",MIN(F60:L60))</f>
        <v/>
      </c>
      <c r="F60" s="160">
        <f ca="1">IF(TYPE(VLOOKUP(C60,Konečné_pořadí_1_16!$B$2:$D$17,3,0))&lt;4,VLOOKUP(C60,Konečné_pořadí_1_16!$B$2:$D$17,3,0),999)</f>
        <v>999</v>
      </c>
      <c r="G60" s="160">
        <f ca="1">IF(TYPE(VLOOKUP(C60,'KO64'!$D$4:$D$129,1,0))&lt;4,64,999)</f>
        <v>999</v>
      </c>
      <c r="H60" s="160">
        <f ca="1">IF(TYPE(VLOOKUP(C60,'KO32'!$D$4:$D$65,1,0))&lt;4,32,999)</f>
        <v>999</v>
      </c>
      <c r="I60" s="160">
        <f ca="1">IF(TYPE(VLOOKUP(C60,'KO16'!$D$4:$D$33,1,0))&lt;4,16,999)</f>
        <v>999</v>
      </c>
      <c r="J60" s="160">
        <f ca="1">IF(TYPE(VLOOKUP(C60,'KO8'!$D$4:$D$17,1,0))&lt;4,8,999)</f>
        <v>999</v>
      </c>
      <c r="K60" s="160">
        <f ca="1">IF(TYPE(VLOOKUP(C60,'KO4'!$D$4:$D$9,1,0))&lt;4,4,999)</f>
        <v>999</v>
      </c>
      <c r="L60" s="160">
        <f>Start.listina!$K$7</f>
        <v>45</v>
      </c>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12" customHeight="1">
      <c r="A61" s="6" t="str">
        <f>IF(OR(Start.listina!H69&gt;Start.listina!$K$7,Start.listina!G69=TRUE),"",Start.listina!H69)</f>
        <v/>
      </c>
      <c r="B61" s="160" t="str">
        <f>IF(A61&gt;Start.listina!$K$7,"",ADDRESS(INT((A61-1)/$M$2)+1,IF(MOD(A61,$M$2)=0,IF(MOD(INT((A61-1)/$M$2)+1,2)=1,$M$2,1),IF(MOD(INT((A61-1)/$M$2)+1,2)=1,MOD(A61,$M$2),$M$2-MOD(A61,$M$2)+1)),4,1))</f>
        <v/>
      </c>
      <c r="C61" s="162" t="str">
        <f>Start.listina!$AL69</f>
        <v/>
      </c>
      <c r="D61" s="160" t="str">
        <f>IF(A61&gt;Start.listina!$K$7,"",INT((A61-1)/$M$2)+1)</f>
        <v/>
      </c>
      <c r="E61" s="160" t="str">
        <f>IF(A61&gt;Start.listina!$K$7,"",MIN(F61:L61))</f>
        <v/>
      </c>
      <c r="F61" s="160">
        <f ca="1">IF(TYPE(VLOOKUP(C61,Konečné_pořadí_1_16!$B$2:$D$17,3,0))&lt;4,VLOOKUP(C61,Konečné_pořadí_1_16!$B$2:$D$17,3,0),999)</f>
        <v>999</v>
      </c>
      <c r="G61" s="160">
        <f ca="1">IF(TYPE(VLOOKUP(C61,'KO64'!$D$4:$D$129,1,0))&lt;4,64,999)</f>
        <v>999</v>
      </c>
      <c r="H61" s="160">
        <f ca="1">IF(TYPE(VLOOKUP(C61,'KO32'!$D$4:$D$65,1,0))&lt;4,32,999)</f>
        <v>999</v>
      </c>
      <c r="I61" s="160">
        <f ca="1">IF(TYPE(VLOOKUP(C61,'KO16'!$D$4:$D$33,1,0))&lt;4,16,999)</f>
        <v>999</v>
      </c>
      <c r="J61" s="160">
        <f ca="1">IF(TYPE(VLOOKUP(C61,'KO8'!$D$4:$D$17,1,0))&lt;4,8,999)</f>
        <v>999</v>
      </c>
      <c r="K61" s="160">
        <f ca="1">IF(TYPE(VLOOKUP(C61,'KO4'!$D$4:$D$9,1,0))&lt;4,4,999)</f>
        <v>999</v>
      </c>
      <c r="L61" s="160">
        <f>Start.listina!$K$7</f>
        <v>45</v>
      </c>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12" customHeight="1">
      <c r="A62" s="6" t="str">
        <f>IF(OR(Start.listina!H70&gt;Start.listina!$K$7,Start.listina!G70=TRUE),"",Start.listina!H70)</f>
        <v/>
      </c>
      <c r="B62" s="160" t="str">
        <f>IF(A62&gt;Start.listina!$K$7,"",ADDRESS(INT((A62-1)/$M$2)+1,IF(MOD(A62,$M$2)=0,IF(MOD(INT((A62-1)/$M$2)+1,2)=1,$M$2,1),IF(MOD(INT((A62-1)/$M$2)+1,2)=1,MOD(A62,$M$2),$M$2-MOD(A62,$M$2)+1)),4,1))</f>
        <v/>
      </c>
      <c r="C62" s="162" t="str">
        <f>Start.listina!$AL70</f>
        <v/>
      </c>
      <c r="D62" s="160" t="str">
        <f>IF(A62&gt;Start.listina!$K$7,"",INT((A62-1)/$M$2)+1)</f>
        <v/>
      </c>
      <c r="E62" s="160" t="str">
        <f>IF(A62&gt;Start.listina!$K$7,"",MIN(F62:L62))</f>
        <v/>
      </c>
      <c r="F62" s="160">
        <f ca="1">IF(TYPE(VLOOKUP(C62,Konečné_pořadí_1_16!$B$2:$D$17,3,0))&lt;4,VLOOKUP(C62,Konečné_pořadí_1_16!$B$2:$D$17,3,0),999)</f>
        <v>999</v>
      </c>
      <c r="G62" s="160">
        <f ca="1">IF(TYPE(VLOOKUP(C62,'KO64'!$D$4:$D$129,1,0))&lt;4,64,999)</f>
        <v>999</v>
      </c>
      <c r="H62" s="160">
        <f ca="1">IF(TYPE(VLOOKUP(C62,'KO32'!$D$4:$D$65,1,0))&lt;4,32,999)</f>
        <v>999</v>
      </c>
      <c r="I62" s="160">
        <f ca="1">IF(TYPE(VLOOKUP(C62,'KO16'!$D$4:$D$33,1,0))&lt;4,16,999)</f>
        <v>999</v>
      </c>
      <c r="J62" s="160">
        <f ca="1">IF(TYPE(VLOOKUP(C62,'KO8'!$D$4:$D$17,1,0))&lt;4,8,999)</f>
        <v>999</v>
      </c>
      <c r="K62" s="160">
        <f ca="1">IF(TYPE(VLOOKUP(C62,'KO4'!$D$4:$D$9,1,0))&lt;4,4,999)</f>
        <v>999</v>
      </c>
      <c r="L62" s="160">
        <f>Start.listina!$K$7</f>
        <v>45</v>
      </c>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12" customHeight="1">
      <c r="A63" s="6" t="str">
        <f>IF(OR(Start.listina!H71&gt;Start.listina!$K$7,Start.listina!G71=TRUE),"",Start.listina!H71)</f>
        <v/>
      </c>
      <c r="B63" s="160" t="str">
        <f>IF(A63&gt;Start.listina!$K$7,"",ADDRESS(INT((A63-1)/$M$2)+1,IF(MOD(A63,$M$2)=0,IF(MOD(INT((A63-1)/$M$2)+1,2)=1,$M$2,1),IF(MOD(INT((A63-1)/$M$2)+1,2)=1,MOD(A63,$M$2),$M$2-MOD(A63,$M$2)+1)),4,1))</f>
        <v/>
      </c>
      <c r="C63" s="162" t="str">
        <f>Start.listina!$AL71</f>
        <v/>
      </c>
      <c r="D63" s="160" t="str">
        <f>IF(A63&gt;Start.listina!$K$7,"",INT((A63-1)/$M$2)+1)</f>
        <v/>
      </c>
      <c r="E63" s="160" t="str">
        <f>IF(A63&gt;Start.listina!$K$7,"",MIN(F63:L63))</f>
        <v/>
      </c>
      <c r="F63" s="160">
        <f ca="1">IF(TYPE(VLOOKUP(C63,Konečné_pořadí_1_16!$B$2:$D$17,3,0))&lt;4,VLOOKUP(C63,Konečné_pořadí_1_16!$B$2:$D$17,3,0),999)</f>
        <v>999</v>
      </c>
      <c r="G63" s="160">
        <f ca="1">IF(TYPE(VLOOKUP(C63,'KO64'!$D$4:$D$129,1,0))&lt;4,64,999)</f>
        <v>999</v>
      </c>
      <c r="H63" s="160">
        <f ca="1">IF(TYPE(VLOOKUP(C63,'KO32'!$D$4:$D$65,1,0))&lt;4,32,999)</f>
        <v>999</v>
      </c>
      <c r="I63" s="160">
        <f ca="1">IF(TYPE(VLOOKUP(C63,'KO16'!$D$4:$D$33,1,0))&lt;4,16,999)</f>
        <v>999</v>
      </c>
      <c r="J63" s="160">
        <f ca="1">IF(TYPE(VLOOKUP(C63,'KO8'!$D$4:$D$17,1,0))&lt;4,8,999)</f>
        <v>999</v>
      </c>
      <c r="K63" s="160">
        <f ca="1">IF(TYPE(VLOOKUP(C63,'KO4'!$D$4:$D$9,1,0))&lt;4,4,999)</f>
        <v>999</v>
      </c>
      <c r="L63" s="160">
        <f>Start.listina!$K$7</f>
        <v>45</v>
      </c>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12" customHeight="1">
      <c r="A64" s="6" t="str">
        <f>IF(OR(Start.listina!H72&gt;Start.listina!$K$7,Start.listina!G72=TRUE),"",Start.listina!H72)</f>
        <v/>
      </c>
      <c r="B64" s="160" t="str">
        <f>IF(A64&gt;Start.listina!$K$7,"",ADDRESS(INT((A64-1)/$M$2)+1,IF(MOD(A64,$M$2)=0,IF(MOD(INT((A64-1)/$M$2)+1,2)=1,$M$2,1),IF(MOD(INT((A64-1)/$M$2)+1,2)=1,MOD(A64,$M$2),$M$2-MOD(A64,$M$2)+1)),4,1))</f>
        <v/>
      </c>
      <c r="C64" s="162" t="str">
        <f>Start.listina!$AL72</f>
        <v/>
      </c>
      <c r="D64" s="160" t="str">
        <f>IF(A64&gt;Start.listina!$K$7,"",INT((A64-1)/$M$2)+1)</f>
        <v/>
      </c>
      <c r="E64" s="160" t="str">
        <f>IF(A64&gt;Start.listina!$K$7,"",MIN(F64:L64))</f>
        <v/>
      </c>
      <c r="F64" s="160">
        <f ca="1">IF(TYPE(VLOOKUP(C64,Konečné_pořadí_1_16!$B$2:$D$17,3,0))&lt;4,VLOOKUP(C64,Konečné_pořadí_1_16!$B$2:$D$17,3,0),999)</f>
        <v>999</v>
      </c>
      <c r="G64" s="160">
        <f ca="1">IF(TYPE(VLOOKUP(C64,'KO64'!$D$4:$D$129,1,0))&lt;4,64,999)</f>
        <v>999</v>
      </c>
      <c r="H64" s="160">
        <f ca="1">IF(TYPE(VLOOKUP(C64,'KO32'!$D$4:$D$65,1,0))&lt;4,32,999)</f>
        <v>999</v>
      </c>
      <c r="I64" s="160">
        <f ca="1">IF(TYPE(VLOOKUP(C64,'KO16'!$D$4:$D$33,1,0))&lt;4,16,999)</f>
        <v>999</v>
      </c>
      <c r="J64" s="160">
        <f ca="1">IF(TYPE(VLOOKUP(C64,'KO8'!$D$4:$D$17,1,0))&lt;4,8,999)</f>
        <v>999</v>
      </c>
      <c r="K64" s="160">
        <f ca="1">IF(TYPE(VLOOKUP(C64,'KO4'!$D$4:$D$9,1,0))&lt;4,4,999)</f>
        <v>999</v>
      </c>
      <c r="L64" s="160">
        <f>Start.listina!$K$7</f>
        <v>45</v>
      </c>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12" customHeight="1">
      <c r="A65" s="6" t="str">
        <f>IF(OR(Start.listina!H73&gt;Start.listina!$K$7,Start.listina!G73=TRUE),"",Start.listina!H73)</f>
        <v/>
      </c>
      <c r="B65" s="160" t="str">
        <f>IF(A65&gt;Start.listina!$K$7,"",ADDRESS(INT((A65-1)/$M$2)+1,IF(MOD(A65,$M$2)=0,IF(MOD(INT((A65-1)/$M$2)+1,2)=1,$M$2,1),IF(MOD(INT((A65-1)/$M$2)+1,2)=1,MOD(A65,$M$2),$M$2-MOD(A65,$M$2)+1)),4,1))</f>
        <v/>
      </c>
      <c r="C65" s="162" t="str">
        <f>Start.listina!$AL73</f>
        <v/>
      </c>
      <c r="D65" s="160" t="str">
        <f>IF(A65&gt;Start.listina!$K$7,"",INT((A65-1)/$M$2)+1)</f>
        <v/>
      </c>
      <c r="E65" s="160" t="str">
        <f>IF(A65&gt;Start.listina!$K$7,"",MIN(F65:L65))</f>
        <v/>
      </c>
      <c r="F65" s="160">
        <f ca="1">IF(TYPE(VLOOKUP(C65,Konečné_pořadí_1_16!$B$2:$D$17,3,0))&lt;4,VLOOKUP(C65,Konečné_pořadí_1_16!$B$2:$D$17,3,0),999)</f>
        <v>999</v>
      </c>
      <c r="G65" s="160">
        <f ca="1">IF(TYPE(VLOOKUP(C65,'KO64'!$D$4:$D$129,1,0))&lt;4,64,999)</f>
        <v>999</v>
      </c>
      <c r="H65" s="160">
        <f ca="1">IF(TYPE(VLOOKUP(C65,'KO32'!$D$4:$D$65,1,0))&lt;4,32,999)</f>
        <v>999</v>
      </c>
      <c r="I65" s="160">
        <f ca="1">IF(TYPE(VLOOKUP(C65,'KO16'!$D$4:$D$33,1,0))&lt;4,16,999)</f>
        <v>999</v>
      </c>
      <c r="J65" s="160">
        <f ca="1">IF(TYPE(VLOOKUP(C65,'KO8'!$D$4:$D$17,1,0))&lt;4,8,999)</f>
        <v>999</v>
      </c>
      <c r="K65" s="160">
        <f ca="1">IF(TYPE(VLOOKUP(C65,'KO4'!$D$4:$D$9,1,0))&lt;4,4,999)</f>
        <v>999</v>
      </c>
      <c r="L65" s="160">
        <f>Start.listina!$K$7</f>
        <v>45</v>
      </c>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12" customHeight="1">
      <c r="A66" s="6" t="str">
        <f>IF(OR(Start.listina!H74&gt;Start.listina!$K$7,Start.listina!G74=TRUE),"",Start.listina!H74)</f>
        <v/>
      </c>
      <c r="B66" s="160" t="str">
        <f>IF(A66&gt;Start.listina!$K$7,"",ADDRESS(INT((A66-1)/$M$2)+1,IF(MOD(A66,$M$2)=0,IF(MOD(INT((A66-1)/$M$2)+1,2)=1,$M$2,1),IF(MOD(INT((A66-1)/$M$2)+1,2)=1,MOD(A66,$M$2),$M$2-MOD(A66,$M$2)+1)),4,1))</f>
        <v/>
      </c>
      <c r="C66" s="162" t="str">
        <f>Start.listina!$AL74</f>
        <v/>
      </c>
      <c r="D66" s="160" t="str">
        <f>IF(A66&gt;Start.listina!$K$7,"",INT((A66-1)/$M$2)+1)</f>
        <v/>
      </c>
      <c r="E66" s="160" t="str">
        <f>IF(A66&gt;Start.listina!$K$7,"",MIN(F66:L66))</f>
        <v/>
      </c>
      <c r="F66" s="160">
        <f ca="1">IF(TYPE(VLOOKUP(C66,Konečné_pořadí_1_16!$B$2:$D$17,3,0))&lt;4,VLOOKUP(C66,Konečné_pořadí_1_16!$B$2:$D$17,3,0),999)</f>
        <v>999</v>
      </c>
      <c r="G66" s="160">
        <f ca="1">IF(TYPE(VLOOKUP(C66,'KO64'!$D$4:$D$129,1,0))&lt;4,64,999)</f>
        <v>999</v>
      </c>
      <c r="H66" s="160">
        <f ca="1">IF(TYPE(VLOOKUP(C66,'KO32'!$D$4:$D$65,1,0))&lt;4,32,999)</f>
        <v>999</v>
      </c>
      <c r="I66" s="160">
        <f ca="1">IF(TYPE(VLOOKUP(C66,'KO16'!$D$4:$D$33,1,0))&lt;4,16,999)</f>
        <v>999</v>
      </c>
      <c r="J66" s="160">
        <f ca="1">IF(TYPE(VLOOKUP(C66,'KO8'!$D$4:$D$17,1,0))&lt;4,8,999)</f>
        <v>999</v>
      </c>
      <c r="K66" s="160">
        <f ca="1">IF(TYPE(VLOOKUP(C66,'KO4'!$D$4:$D$9,1,0))&lt;4,4,999)</f>
        <v>999</v>
      </c>
      <c r="L66" s="160">
        <f>Start.listina!$K$7</f>
        <v>45</v>
      </c>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12" customHeight="1">
      <c r="A67" s="6" t="str">
        <f>IF(OR(Start.listina!H75&gt;Start.listina!$K$7,Start.listina!G75=TRUE),"",Start.listina!H75)</f>
        <v/>
      </c>
      <c r="B67" s="160" t="str">
        <f>IF(A67&gt;Start.listina!$K$7,"",ADDRESS(INT((A67-1)/$M$2)+1,IF(MOD(A67,$M$2)=0,IF(MOD(INT((A67-1)/$M$2)+1,2)=1,$M$2,1),IF(MOD(INT((A67-1)/$M$2)+1,2)=1,MOD(A67,$M$2),$M$2-MOD(A67,$M$2)+1)),4,1))</f>
        <v/>
      </c>
      <c r="C67" s="162" t="str">
        <f>Start.listina!$AL75</f>
        <v/>
      </c>
      <c r="D67" s="160" t="str">
        <f>IF(A67&gt;Start.listina!$K$7,"",INT((A67-1)/$M$2)+1)</f>
        <v/>
      </c>
      <c r="E67" s="160" t="str">
        <f>IF(A67&gt;Start.listina!$K$7,"",MIN(F67:L67))</f>
        <v/>
      </c>
      <c r="F67" s="160">
        <f ca="1">IF(TYPE(VLOOKUP(C67,Konečné_pořadí_1_16!$B$2:$D$17,3,0))&lt;4,VLOOKUP(C67,Konečné_pořadí_1_16!$B$2:$D$17,3,0),999)</f>
        <v>999</v>
      </c>
      <c r="G67" s="160">
        <f ca="1">IF(TYPE(VLOOKUP(C67,'KO64'!$D$4:$D$129,1,0))&lt;4,64,999)</f>
        <v>999</v>
      </c>
      <c r="H67" s="160">
        <f ca="1">IF(TYPE(VLOOKUP(C67,'KO32'!$D$4:$D$65,1,0))&lt;4,32,999)</f>
        <v>999</v>
      </c>
      <c r="I67" s="160">
        <f ca="1">IF(TYPE(VLOOKUP(C67,'KO16'!$D$4:$D$33,1,0))&lt;4,16,999)</f>
        <v>999</v>
      </c>
      <c r="J67" s="160">
        <f ca="1">IF(TYPE(VLOOKUP(C67,'KO8'!$D$4:$D$17,1,0))&lt;4,8,999)</f>
        <v>999</v>
      </c>
      <c r="K67" s="160">
        <f ca="1">IF(TYPE(VLOOKUP(C67,'KO4'!$D$4:$D$9,1,0))&lt;4,4,999)</f>
        <v>999</v>
      </c>
      <c r="L67" s="160">
        <f>Start.listina!$K$7</f>
        <v>45</v>
      </c>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12" customHeight="1">
      <c r="A68" s="6" t="str">
        <f>IF(OR(Start.listina!H76&gt;Start.listina!$K$7,Start.listina!G76=TRUE),"",Start.listina!H76)</f>
        <v/>
      </c>
      <c r="B68" s="160" t="str">
        <f>IF(A68&gt;Start.listina!$K$7,"",ADDRESS(INT((A68-1)/$M$2)+1,IF(MOD(A68,$M$2)=0,IF(MOD(INT((A68-1)/$M$2)+1,2)=1,$M$2,1),IF(MOD(INT((A68-1)/$M$2)+1,2)=1,MOD(A68,$M$2),$M$2-MOD(A68,$M$2)+1)),4,1))</f>
        <v/>
      </c>
      <c r="C68" s="162" t="str">
        <f>Start.listina!$AL76</f>
        <v/>
      </c>
      <c r="D68" s="160" t="str">
        <f>IF(A68&gt;Start.listina!$K$7,"",INT((A68-1)/$M$2)+1)</f>
        <v/>
      </c>
      <c r="E68" s="160" t="str">
        <f>IF(A68&gt;Start.listina!$K$7,"",MIN(F68:L68))</f>
        <v/>
      </c>
      <c r="F68" s="160">
        <f ca="1">IF(TYPE(VLOOKUP(C68,Konečné_pořadí_1_16!$B$2:$D$17,3,0))&lt;4,VLOOKUP(C68,Konečné_pořadí_1_16!$B$2:$D$17,3,0),999)</f>
        <v>999</v>
      </c>
      <c r="G68" s="160">
        <f ca="1">IF(TYPE(VLOOKUP(C68,'KO64'!$D$4:$D$129,1,0))&lt;4,64,999)</f>
        <v>999</v>
      </c>
      <c r="H68" s="160">
        <f ca="1">IF(TYPE(VLOOKUP(C68,'KO32'!$D$4:$D$65,1,0))&lt;4,32,999)</f>
        <v>999</v>
      </c>
      <c r="I68" s="160">
        <f ca="1">IF(TYPE(VLOOKUP(C68,'KO16'!$D$4:$D$33,1,0))&lt;4,16,999)</f>
        <v>999</v>
      </c>
      <c r="J68" s="160">
        <f ca="1">IF(TYPE(VLOOKUP(C68,'KO8'!$D$4:$D$17,1,0))&lt;4,8,999)</f>
        <v>999</v>
      </c>
      <c r="K68" s="160">
        <f ca="1">IF(TYPE(VLOOKUP(C68,'KO4'!$D$4:$D$9,1,0))&lt;4,4,999)</f>
        <v>999</v>
      </c>
      <c r="L68" s="160">
        <f>Start.listina!$K$7</f>
        <v>45</v>
      </c>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12" customHeight="1">
      <c r="A69" s="6" t="str">
        <f>IF(OR(Start.listina!H77&gt;Start.listina!$K$7,Start.listina!G77=TRUE),"",Start.listina!H77)</f>
        <v/>
      </c>
      <c r="B69" s="160" t="str">
        <f>IF(A69&gt;Start.listina!$K$7,"",ADDRESS(INT((A69-1)/$M$2)+1,IF(MOD(A69,$M$2)=0,IF(MOD(INT((A69-1)/$M$2)+1,2)=1,$M$2,1),IF(MOD(INT((A69-1)/$M$2)+1,2)=1,MOD(A69,$M$2),$M$2-MOD(A69,$M$2)+1)),4,1))</f>
        <v/>
      </c>
      <c r="C69" s="162" t="str">
        <f>Start.listina!$AL77</f>
        <v/>
      </c>
      <c r="D69" s="160" t="str">
        <f>IF(A69&gt;Start.listina!$K$7,"",INT((A69-1)/$M$2)+1)</f>
        <v/>
      </c>
      <c r="E69" s="160" t="str">
        <f>IF(A69&gt;Start.listina!$K$7,"",MIN(F69:L69))</f>
        <v/>
      </c>
      <c r="F69" s="160">
        <f ca="1">IF(TYPE(VLOOKUP(C69,Konečné_pořadí_1_16!$B$2:$D$17,3,0))&lt;4,VLOOKUP(C69,Konečné_pořadí_1_16!$B$2:$D$17,3,0),999)</f>
        <v>999</v>
      </c>
      <c r="G69" s="160">
        <f ca="1">IF(TYPE(VLOOKUP(C69,'KO64'!$D$4:$D$129,1,0))&lt;4,64,999)</f>
        <v>999</v>
      </c>
      <c r="H69" s="160">
        <f ca="1">IF(TYPE(VLOOKUP(C69,'KO32'!$D$4:$D$65,1,0))&lt;4,32,999)</f>
        <v>999</v>
      </c>
      <c r="I69" s="160">
        <f ca="1">IF(TYPE(VLOOKUP(C69,'KO16'!$D$4:$D$33,1,0))&lt;4,16,999)</f>
        <v>999</v>
      </c>
      <c r="J69" s="160">
        <f ca="1">IF(TYPE(VLOOKUP(C69,'KO8'!$D$4:$D$17,1,0))&lt;4,8,999)</f>
        <v>999</v>
      </c>
      <c r="K69" s="160">
        <f ca="1">IF(TYPE(VLOOKUP(C69,'KO4'!$D$4:$D$9,1,0))&lt;4,4,999)</f>
        <v>999</v>
      </c>
      <c r="L69" s="160">
        <f>Start.listina!$K$7</f>
        <v>45</v>
      </c>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12" customHeight="1">
      <c r="A70" s="6" t="str">
        <f>IF(OR(Start.listina!H78&gt;Start.listina!$K$7,Start.listina!G78=TRUE),"",Start.listina!H78)</f>
        <v/>
      </c>
      <c r="B70" s="160" t="str">
        <f>IF(A70&gt;Start.listina!$K$7,"",ADDRESS(INT((A70-1)/$M$2)+1,IF(MOD(A70,$M$2)=0,IF(MOD(INT((A70-1)/$M$2)+1,2)=1,$M$2,1),IF(MOD(INT((A70-1)/$M$2)+1,2)=1,MOD(A70,$M$2),$M$2-MOD(A70,$M$2)+1)),4,1))</f>
        <v/>
      </c>
      <c r="C70" s="162" t="str">
        <f>Start.listina!$AL78</f>
        <v/>
      </c>
      <c r="D70" s="160" t="str">
        <f>IF(A70&gt;Start.listina!$K$7,"",INT((A70-1)/$M$2)+1)</f>
        <v/>
      </c>
      <c r="E70" s="160" t="str">
        <f>IF(A70&gt;Start.listina!$K$7,"",MIN(F70:L70))</f>
        <v/>
      </c>
      <c r="F70" s="160">
        <f ca="1">IF(TYPE(VLOOKUP(C70,Konečné_pořadí_1_16!$B$2:$D$17,3,0))&lt;4,VLOOKUP(C70,Konečné_pořadí_1_16!$B$2:$D$17,3,0),999)</f>
        <v>999</v>
      </c>
      <c r="G70" s="160">
        <f ca="1">IF(TYPE(VLOOKUP(C70,'KO64'!$D$4:$D$129,1,0))&lt;4,64,999)</f>
        <v>999</v>
      </c>
      <c r="H70" s="160">
        <f ca="1">IF(TYPE(VLOOKUP(C70,'KO32'!$D$4:$D$65,1,0))&lt;4,32,999)</f>
        <v>999</v>
      </c>
      <c r="I70" s="160">
        <f ca="1">IF(TYPE(VLOOKUP(C70,'KO16'!$D$4:$D$33,1,0))&lt;4,16,999)</f>
        <v>999</v>
      </c>
      <c r="J70" s="160">
        <f ca="1">IF(TYPE(VLOOKUP(C70,'KO8'!$D$4:$D$17,1,0))&lt;4,8,999)</f>
        <v>999</v>
      </c>
      <c r="K70" s="160">
        <f ca="1">IF(TYPE(VLOOKUP(C70,'KO4'!$D$4:$D$9,1,0))&lt;4,4,999)</f>
        <v>999</v>
      </c>
      <c r="L70" s="160">
        <f>Start.listina!$K$7</f>
        <v>45</v>
      </c>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12" customHeight="1">
      <c r="A71" s="6" t="str">
        <f>IF(OR(Start.listina!H79&gt;Start.listina!$K$7,Start.listina!G79=TRUE),"",Start.listina!H79)</f>
        <v/>
      </c>
      <c r="B71" s="160" t="str">
        <f>IF(A71&gt;Start.listina!$K$7,"",ADDRESS(INT((A71-1)/$M$2)+1,IF(MOD(A71,$M$2)=0,IF(MOD(INT((A71-1)/$M$2)+1,2)=1,$M$2,1),IF(MOD(INT((A71-1)/$M$2)+1,2)=1,MOD(A71,$M$2),$M$2-MOD(A71,$M$2)+1)),4,1))</f>
        <v/>
      </c>
      <c r="C71" s="162" t="str">
        <f>Start.listina!$AL79</f>
        <v/>
      </c>
      <c r="D71" s="160" t="str">
        <f>IF(A71&gt;Start.listina!$K$7,"",INT((A71-1)/$M$2)+1)</f>
        <v/>
      </c>
      <c r="E71" s="160" t="str">
        <f>IF(A71&gt;Start.listina!$K$7,"",MIN(F71:L71))</f>
        <v/>
      </c>
      <c r="F71" s="160">
        <f ca="1">IF(TYPE(VLOOKUP(C71,Konečné_pořadí_1_16!$B$2:$D$17,3,0))&lt;4,VLOOKUP(C71,Konečné_pořadí_1_16!$B$2:$D$17,3,0),999)</f>
        <v>999</v>
      </c>
      <c r="G71" s="160">
        <f ca="1">IF(TYPE(VLOOKUP(C71,'KO64'!$D$4:$D$129,1,0))&lt;4,64,999)</f>
        <v>999</v>
      </c>
      <c r="H71" s="160">
        <f ca="1">IF(TYPE(VLOOKUP(C71,'KO32'!$D$4:$D$65,1,0))&lt;4,32,999)</f>
        <v>999</v>
      </c>
      <c r="I71" s="160">
        <f ca="1">IF(TYPE(VLOOKUP(C71,'KO16'!$D$4:$D$33,1,0))&lt;4,16,999)</f>
        <v>999</v>
      </c>
      <c r="J71" s="160">
        <f ca="1">IF(TYPE(VLOOKUP(C71,'KO8'!$D$4:$D$17,1,0))&lt;4,8,999)</f>
        <v>999</v>
      </c>
      <c r="K71" s="160">
        <f ca="1">IF(TYPE(VLOOKUP(C71,'KO4'!$D$4:$D$9,1,0))&lt;4,4,999)</f>
        <v>999</v>
      </c>
      <c r="L71" s="160">
        <f>Start.listina!$K$7</f>
        <v>45</v>
      </c>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12" customHeight="1">
      <c r="A72" s="6" t="str">
        <f>IF(OR(Start.listina!H80&gt;Start.listina!$K$7,Start.listina!G80=TRUE),"",Start.listina!H80)</f>
        <v/>
      </c>
      <c r="B72" s="160" t="str">
        <f>IF(A72&gt;Start.listina!$K$7,"",ADDRESS(INT((A72-1)/$M$2)+1,IF(MOD(A72,$M$2)=0,IF(MOD(INT((A72-1)/$M$2)+1,2)=1,$M$2,1),IF(MOD(INT((A72-1)/$M$2)+1,2)=1,MOD(A72,$M$2),$M$2-MOD(A72,$M$2)+1)),4,1))</f>
        <v/>
      </c>
      <c r="C72" s="162" t="str">
        <f>Start.listina!$AL80</f>
        <v/>
      </c>
      <c r="D72" s="160" t="str">
        <f>IF(A72&gt;Start.listina!$K$7,"",INT((A72-1)/$M$2)+1)</f>
        <v/>
      </c>
      <c r="E72" s="160" t="str">
        <f>IF(A72&gt;Start.listina!$K$7,"",MIN(F72:L72))</f>
        <v/>
      </c>
      <c r="F72" s="160">
        <f ca="1">IF(TYPE(VLOOKUP(C72,Konečné_pořadí_1_16!$B$2:$D$17,3,0))&lt;4,VLOOKUP(C72,Konečné_pořadí_1_16!$B$2:$D$17,3,0),999)</f>
        <v>999</v>
      </c>
      <c r="G72" s="160">
        <f ca="1">IF(TYPE(VLOOKUP(C72,'KO64'!$D$4:$D$129,1,0))&lt;4,64,999)</f>
        <v>999</v>
      </c>
      <c r="H72" s="160">
        <f ca="1">IF(TYPE(VLOOKUP(C72,'KO32'!$D$4:$D$65,1,0))&lt;4,32,999)</f>
        <v>999</v>
      </c>
      <c r="I72" s="160">
        <f ca="1">IF(TYPE(VLOOKUP(C72,'KO16'!$D$4:$D$33,1,0))&lt;4,16,999)</f>
        <v>999</v>
      </c>
      <c r="J72" s="160">
        <f ca="1">IF(TYPE(VLOOKUP(C72,'KO8'!$D$4:$D$17,1,0))&lt;4,8,999)</f>
        <v>999</v>
      </c>
      <c r="K72" s="160">
        <f ca="1">IF(TYPE(VLOOKUP(C72,'KO4'!$D$4:$D$9,1,0))&lt;4,4,999)</f>
        <v>999</v>
      </c>
      <c r="L72" s="160">
        <f>Start.listina!$K$7</f>
        <v>45</v>
      </c>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12" customHeight="1">
      <c r="A73" s="6" t="str">
        <f>IF(OR(Start.listina!H81&gt;Start.listina!$K$7,Start.listina!G81=TRUE),"",Start.listina!H81)</f>
        <v/>
      </c>
      <c r="B73" s="160" t="str">
        <f>IF(A73&gt;Start.listina!$K$7,"",ADDRESS(INT((A73-1)/$M$2)+1,IF(MOD(A73,$M$2)=0,IF(MOD(INT((A73-1)/$M$2)+1,2)=1,$M$2,1),IF(MOD(INT((A73-1)/$M$2)+1,2)=1,MOD(A73,$M$2),$M$2-MOD(A73,$M$2)+1)),4,1))</f>
        <v/>
      </c>
      <c r="C73" s="162" t="str">
        <f>Start.listina!$AL81</f>
        <v/>
      </c>
      <c r="D73" s="160" t="str">
        <f>IF(A73&gt;Start.listina!$K$7,"",INT((A73-1)/$M$2)+1)</f>
        <v/>
      </c>
      <c r="E73" s="160" t="str">
        <f>IF(A73&gt;Start.listina!$K$7,"",MIN(F73:L73))</f>
        <v/>
      </c>
      <c r="F73" s="160">
        <f ca="1">IF(TYPE(VLOOKUP(C73,Konečné_pořadí_1_16!$B$2:$D$17,3,0))&lt;4,VLOOKUP(C73,Konečné_pořadí_1_16!$B$2:$D$17,3,0),999)</f>
        <v>999</v>
      </c>
      <c r="G73" s="160">
        <f ca="1">IF(TYPE(VLOOKUP(C73,'KO64'!$D$4:$D$129,1,0))&lt;4,64,999)</f>
        <v>999</v>
      </c>
      <c r="H73" s="160">
        <f ca="1">IF(TYPE(VLOOKUP(C73,'KO32'!$D$4:$D$65,1,0))&lt;4,32,999)</f>
        <v>999</v>
      </c>
      <c r="I73" s="160">
        <f ca="1">IF(TYPE(VLOOKUP(C73,'KO16'!$D$4:$D$33,1,0))&lt;4,16,999)</f>
        <v>999</v>
      </c>
      <c r="J73" s="160">
        <f ca="1">IF(TYPE(VLOOKUP(C73,'KO8'!$D$4:$D$17,1,0))&lt;4,8,999)</f>
        <v>999</v>
      </c>
      <c r="K73" s="160">
        <f ca="1">IF(TYPE(VLOOKUP(C73,'KO4'!$D$4:$D$9,1,0))&lt;4,4,999)</f>
        <v>999</v>
      </c>
      <c r="L73" s="160">
        <f>Start.listina!$K$7</f>
        <v>45</v>
      </c>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12" customHeight="1">
      <c r="A74" s="6" t="str">
        <f>IF(OR(Start.listina!H82&gt;Start.listina!$K$7,Start.listina!G82=TRUE),"",Start.listina!H82)</f>
        <v/>
      </c>
      <c r="B74" s="160" t="str">
        <f>IF(A74&gt;Start.listina!$K$7,"",ADDRESS(INT((A74-1)/$M$2)+1,IF(MOD(A74,$M$2)=0,IF(MOD(INT((A74-1)/$M$2)+1,2)=1,$M$2,1),IF(MOD(INT((A74-1)/$M$2)+1,2)=1,MOD(A74,$M$2),$M$2-MOD(A74,$M$2)+1)),4,1))</f>
        <v/>
      </c>
      <c r="C74" s="162" t="str">
        <f>Start.listina!$AL82</f>
        <v/>
      </c>
      <c r="D74" s="160" t="str">
        <f>IF(A74&gt;Start.listina!$K$7,"",INT((A74-1)/$M$2)+1)</f>
        <v/>
      </c>
      <c r="E74" s="160" t="str">
        <f>IF(A74&gt;Start.listina!$K$7,"",MIN(F74:L74))</f>
        <v/>
      </c>
      <c r="F74" s="160">
        <f ca="1">IF(TYPE(VLOOKUP(C74,Konečné_pořadí_1_16!$B$2:$D$17,3,0))&lt;4,VLOOKUP(C74,Konečné_pořadí_1_16!$B$2:$D$17,3,0),999)</f>
        <v>999</v>
      </c>
      <c r="G74" s="160">
        <f ca="1">IF(TYPE(VLOOKUP(C74,'KO64'!$D$4:$D$129,1,0))&lt;4,64,999)</f>
        <v>999</v>
      </c>
      <c r="H74" s="160">
        <f ca="1">IF(TYPE(VLOOKUP(C74,'KO32'!$D$4:$D$65,1,0))&lt;4,32,999)</f>
        <v>999</v>
      </c>
      <c r="I74" s="160">
        <f ca="1">IF(TYPE(VLOOKUP(C74,'KO16'!$D$4:$D$33,1,0))&lt;4,16,999)</f>
        <v>999</v>
      </c>
      <c r="J74" s="160">
        <f ca="1">IF(TYPE(VLOOKUP(C74,'KO8'!$D$4:$D$17,1,0))&lt;4,8,999)</f>
        <v>999</v>
      </c>
      <c r="K74" s="160">
        <f ca="1">IF(TYPE(VLOOKUP(C74,'KO4'!$D$4:$D$9,1,0))&lt;4,4,999)</f>
        <v>999</v>
      </c>
      <c r="L74" s="160">
        <f>Start.listina!$K$7</f>
        <v>45</v>
      </c>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12" customHeight="1">
      <c r="A75" s="6" t="str">
        <f>IF(OR(Start.listina!H83&gt;Start.listina!$K$7,Start.listina!G83=TRUE),"",Start.listina!H83)</f>
        <v/>
      </c>
      <c r="B75" s="160" t="str">
        <f>IF(A75&gt;Start.listina!$K$7,"",ADDRESS(INT((A75-1)/$M$2)+1,IF(MOD(A75,$M$2)=0,IF(MOD(INT((A75-1)/$M$2)+1,2)=1,$M$2,1),IF(MOD(INT((A75-1)/$M$2)+1,2)=1,MOD(A75,$M$2),$M$2-MOD(A75,$M$2)+1)),4,1))</f>
        <v/>
      </c>
      <c r="C75" s="162" t="str">
        <f>Start.listina!$AL83</f>
        <v/>
      </c>
      <c r="D75" s="160" t="str">
        <f>IF(A75&gt;Start.listina!$K$7,"",INT((A75-1)/$M$2)+1)</f>
        <v/>
      </c>
      <c r="E75" s="160" t="str">
        <f>IF(A75&gt;Start.listina!$K$7,"",MIN(F75:L75))</f>
        <v/>
      </c>
      <c r="F75" s="160">
        <f ca="1">IF(TYPE(VLOOKUP(C75,Konečné_pořadí_1_16!$B$2:$D$17,3,0))&lt;4,VLOOKUP(C75,Konečné_pořadí_1_16!$B$2:$D$17,3,0),999)</f>
        <v>999</v>
      </c>
      <c r="G75" s="160">
        <f ca="1">IF(TYPE(VLOOKUP(C75,'KO64'!$D$4:$D$129,1,0))&lt;4,64,999)</f>
        <v>999</v>
      </c>
      <c r="H75" s="160">
        <f ca="1">IF(TYPE(VLOOKUP(C75,'KO32'!$D$4:$D$65,1,0))&lt;4,32,999)</f>
        <v>999</v>
      </c>
      <c r="I75" s="160">
        <f ca="1">IF(TYPE(VLOOKUP(C75,'KO16'!$D$4:$D$33,1,0))&lt;4,16,999)</f>
        <v>999</v>
      </c>
      <c r="J75" s="160">
        <f ca="1">IF(TYPE(VLOOKUP(C75,'KO8'!$D$4:$D$17,1,0))&lt;4,8,999)</f>
        <v>999</v>
      </c>
      <c r="K75" s="160">
        <f ca="1">IF(TYPE(VLOOKUP(C75,'KO4'!$D$4:$D$9,1,0))&lt;4,4,999)</f>
        <v>999</v>
      </c>
      <c r="L75" s="160">
        <f>Start.listina!$K$7</f>
        <v>45</v>
      </c>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12" customHeight="1">
      <c r="A76" s="6" t="str">
        <f>IF(OR(Start.listina!H84&gt;Start.listina!$K$7,Start.listina!G84=TRUE),"",Start.listina!H84)</f>
        <v/>
      </c>
      <c r="B76" s="160" t="str">
        <f>IF(A76&gt;Start.listina!$K$7,"",ADDRESS(INT((A76-1)/$M$2)+1,IF(MOD(A76,$M$2)=0,IF(MOD(INT((A76-1)/$M$2)+1,2)=1,$M$2,1),IF(MOD(INT((A76-1)/$M$2)+1,2)=1,MOD(A76,$M$2),$M$2-MOD(A76,$M$2)+1)),4,1))</f>
        <v/>
      </c>
      <c r="C76" s="162" t="str">
        <f>Start.listina!$AL84</f>
        <v/>
      </c>
      <c r="D76" s="160" t="str">
        <f>IF(A76&gt;Start.listina!$K$7,"",INT((A76-1)/$M$2)+1)</f>
        <v/>
      </c>
      <c r="E76" s="160" t="str">
        <f>IF(A76&gt;Start.listina!$K$7,"",MIN(F76:L76))</f>
        <v/>
      </c>
      <c r="F76" s="160">
        <f ca="1">IF(TYPE(VLOOKUP(C76,Konečné_pořadí_1_16!$B$2:$D$17,3,0))&lt;4,VLOOKUP(C76,Konečné_pořadí_1_16!$B$2:$D$17,3,0),999)</f>
        <v>999</v>
      </c>
      <c r="G76" s="160">
        <f ca="1">IF(TYPE(VLOOKUP(C76,'KO64'!$D$4:$D$129,1,0))&lt;4,64,999)</f>
        <v>999</v>
      </c>
      <c r="H76" s="160">
        <f ca="1">IF(TYPE(VLOOKUP(C76,'KO32'!$D$4:$D$65,1,0))&lt;4,32,999)</f>
        <v>999</v>
      </c>
      <c r="I76" s="160">
        <f ca="1">IF(TYPE(VLOOKUP(C76,'KO16'!$D$4:$D$33,1,0))&lt;4,16,999)</f>
        <v>999</v>
      </c>
      <c r="J76" s="160">
        <f ca="1">IF(TYPE(VLOOKUP(C76,'KO8'!$D$4:$D$17,1,0))&lt;4,8,999)</f>
        <v>999</v>
      </c>
      <c r="K76" s="160">
        <f ca="1">IF(TYPE(VLOOKUP(C76,'KO4'!$D$4:$D$9,1,0))&lt;4,4,999)</f>
        <v>999</v>
      </c>
      <c r="L76" s="160">
        <f>Start.listina!$K$7</f>
        <v>45</v>
      </c>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12" customHeight="1">
      <c r="A77" s="6" t="str">
        <f>IF(OR(Start.listina!H85&gt;Start.listina!$K$7,Start.listina!G85=TRUE),"",Start.listina!H85)</f>
        <v/>
      </c>
      <c r="B77" s="160" t="str">
        <f>IF(A77&gt;Start.listina!$K$7,"",ADDRESS(INT((A77-1)/$M$2)+1,IF(MOD(A77,$M$2)=0,IF(MOD(INT((A77-1)/$M$2)+1,2)=1,$M$2,1),IF(MOD(INT((A77-1)/$M$2)+1,2)=1,MOD(A77,$M$2),$M$2-MOD(A77,$M$2)+1)),4,1))</f>
        <v/>
      </c>
      <c r="C77" s="162" t="str">
        <f>Start.listina!$AL85</f>
        <v/>
      </c>
      <c r="D77" s="160" t="str">
        <f>IF(A77&gt;Start.listina!$K$7,"",INT((A77-1)/$M$2)+1)</f>
        <v/>
      </c>
      <c r="E77" s="160" t="str">
        <f>IF(A77&gt;Start.listina!$K$7,"",MIN(F77:L77))</f>
        <v/>
      </c>
      <c r="F77" s="160">
        <f ca="1">IF(TYPE(VLOOKUP(C77,Konečné_pořadí_1_16!$B$2:$D$17,3,0))&lt;4,VLOOKUP(C77,Konečné_pořadí_1_16!$B$2:$D$17,3,0),999)</f>
        <v>999</v>
      </c>
      <c r="G77" s="160">
        <f ca="1">IF(TYPE(VLOOKUP(C77,'KO64'!$D$4:$D$129,1,0))&lt;4,64,999)</f>
        <v>999</v>
      </c>
      <c r="H77" s="160">
        <f ca="1">IF(TYPE(VLOOKUP(C77,'KO32'!$D$4:$D$65,1,0))&lt;4,32,999)</f>
        <v>999</v>
      </c>
      <c r="I77" s="160">
        <f ca="1">IF(TYPE(VLOOKUP(C77,'KO16'!$D$4:$D$33,1,0))&lt;4,16,999)</f>
        <v>999</v>
      </c>
      <c r="J77" s="160">
        <f ca="1">IF(TYPE(VLOOKUP(C77,'KO8'!$D$4:$D$17,1,0))&lt;4,8,999)</f>
        <v>999</v>
      </c>
      <c r="K77" s="160">
        <f ca="1">IF(TYPE(VLOOKUP(C77,'KO4'!$D$4:$D$9,1,0))&lt;4,4,999)</f>
        <v>999</v>
      </c>
      <c r="L77" s="160">
        <f>Start.listina!$K$7</f>
        <v>45</v>
      </c>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12" customHeight="1">
      <c r="A78" s="6" t="str">
        <f>IF(OR(Start.listina!H86&gt;Start.listina!$K$7,Start.listina!G86=TRUE),"",Start.listina!H86)</f>
        <v/>
      </c>
      <c r="B78" s="160" t="str">
        <f>IF(A78&gt;Start.listina!$K$7,"",ADDRESS(INT((A78-1)/$M$2)+1,IF(MOD(A78,$M$2)=0,IF(MOD(INT((A78-1)/$M$2)+1,2)=1,$M$2,1),IF(MOD(INT((A78-1)/$M$2)+1,2)=1,MOD(A78,$M$2),$M$2-MOD(A78,$M$2)+1)),4,1))</f>
        <v/>
      </c>
      <c r="C78" s="162" t="str">
        <f>Start.listina!$AL86</f>
        <v/>
      </c>
      <c r="D78" s="160" t="str">
        <f>IF(A78&gt;Start.listina!$K$7,"",INT((A78-1)/$M$2)+1)</f>
        <v/>
      </c>
      <c r="E78" s="160" t="str">
        <f>IF(A78&gt;Start.listina!$K$7,"",MIN(F78:L78))</f>
        <v/>
      </c>
      <c r="F78" s="160">
        <f ca="1">IF(TYPE(VLOOKUP(C78,Konečné_pořadí_1_16!$B$2:$D$17,3,0))&lt;4,VLOOKUP(C78,Konečné_pořadí_1_16!$B$2:$D$17,3,0),999)</f>
        <v>999</v>
      </c>
      <c r="G78" s="160">
        <f ca="1">IF(TYPE(VLOOKUP(C78,'KO64'!$D$4:$D$129,1,0))&lt;4,64,999)</f>
        <v>999</v>
      </c>
      <c r="H78" s="160">
        <f ca="1">IF(TYPE(VLOOKUP(C78,'KO32'!$D$4:$D$65,1,0))&lt;4,32,999)</f>
        <v>999</v>
      </c>
      <c r="I78" s="160">
        <f ca="1">IF(TYPE(VLOOKUP(C78,'KO16'!$D$4:$D$33,1,0))&lt;4,16,999)</f>
        <v>999</v>
      </c>
      <c r="J78" s="160">
        <f ca="1">IF(TYPE(VLOOKUP(C78,'KO8'!$D$4:$D$17,1,0))&lt;4,8,999)</f>
        <v>999</v>
      </c>
      <c r="K78" s="160">
        <f ca="1">IF(TYPE(VLOOKUP(C78,'KO4'!$D$4:$D$9,1,0))&lt;4,4,999)</f>
        <v>999</v>
      </c>
      <c r="L78" s="160">
        <f>Start.listina!$K$7</f>
        <v>45</v>
      </c>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12" customHeight="1">
      <c r="A79" s="6" t="str">
        <f>IF(OR(Start.listina!H87&gt;Start.listina!$K$7,Start.listina!G87=TRUE),"",Start.listina!H87)</f>
        <v/>
      </c>
      <c r="B79" s="160" t="str">
        <f>IF(A79&gt;Start.listina!$K$7,"",ADDRESS(INT((A79-1)/$M$2)+1,IF(MOD(A79,$M$2)=0,IF(MOD(INT((A79-1)/$M$2)+1,2)=1,$M$2,1),IF(MOD(INT((A79-1)/$M$2)+1,2)=1,MOD(A79,$M$2),$M$2-MOD(A79,$M$2)+1)),4,1))</f>
        <v/>
      </c>
      <c r="C79" s="162" t="str">
        <f>Start.listina!$AL87</f>
        <v/>
      </c>
      <c r="D79" s="160" t="str">
        <f>IF(A79&gt;Start.listina!$K$7,"",INT((A79-1)/$M$2)+1)</f>
        <v/>
      </c>
      <c r="E79" s="160" t="str">
        <f>IF(A79&gt;Start.listina!$K$7,"",MIN(F79:L79))</f>
        <v/>
      </c>
      <c r="F79" s="160">
        <f ca="1">IF(TYPE(VLOOKUP(C79,Konečné_pořadí_1_16!$B$2:$D$17,3,0))&lt;4,VLOOKUP(C79,Konečné_pořadí_1_16!$B$2:$D$17,3,0),999)</f>
        <v>999</v>
      </c>
      <c r="G79" s="160">
        <f ca="1">IF(TYPE(VLOOKUP(C79,'KO64'!$D$4:$D$129,1,0))&lt;4,64,999)</f>
        <v>999</v>
      </c>
      <c r="H79" s="160">
        <f ca="1">IF(TYPE(VLOOKUP(C79,'KO32'!$D$4:$D$65,1,0))&lt;4,32,999)</f>
        <v>999</v>
      </c>
      <c r="I79" s="160">
        <f ca="1">IF(TYPE(VLOOKUP(C79,'KO16'!$D$4:$D$33,1,0))&lt;4,16,999)</f>
        <v>999</v>
      </c>
      <c r="J79" s="160">
        <f ca="1">IF(TYPE(VLOOKUP(C79,'KO8'!$D$4:$D$17,1,0))&lt;4,8,999)</f>
        <v>999</v>
      </c>
      <c r="K79" s="160">
        <f ca="1">IF(TYPE(VLOOKUP(C79,'KO4'!$D$4:$D$9,1,0))&lt;4,4,999)</f>
        <v>999</v>
      </c>
      <c r="L79" s="160">
        <f>Start.listina!$K$7</f>
        <v>45</v>
      </c>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12" customHeight="1">
      <c r="A80" s="6" t="str">
        <f>IF(OR(Start.listina!H88&gt;Start.listina!$K$7,Start.listina!G88=TRUE),"",Start.listina!H88)</f>
        <v/>
      </c>
      <c r="B80" s="160" t="str">
        <f>IF(A80&gt;Start.listina!$K$7,"",ADDRESS(INT((A80-1)/$M$2)+1,IF(MOD(A80,$M$2)=0,IF(MOD(INT((A80-1)/$M$2)+1,2)=1,$M$2,1),IF(MOD(INT((A80-1)/$M$2)+1,2)=1,MOD(A80,$M$2),$M$2-MOD(A80,$M$2)+1)),4,1))</f>
        <v/>
      </c>
      <c r="C80" s="162" t="str">
        <f>Start.listina!$AL88</f>
        <v/>
      </c>
      <c r="D80" s="160" t="str">
        <f>IF(A80&gt;Start.listina!$K$7,"",INT((A80-1)/$M$2)+1)</f>
        <v/>
      </c>
      <c r="E80" s="160" t="str">
        <f>IF(A80&gt;Start.listina!$K$7,"",MIN(F80:L80))</f>
        <v/>
      </c>
      <c r="F80" s="160">
        <f ca="1">IF(TYPE(VLOOKUP(C80,Konečné_pořadí_1_16!$B$2:$D$17,3,0))&lt;4,VLOOKUP(C80,Konečné_pořadí_1_16!$B$2:$D$17,3,0),999)</f>
        <v>999</v>
      </c>
      <c r="G80" s="160">
        <f ca="1">IF(TYPE(VLOOKUP(C80,'KO64'!$D$4:$D$129,1,0))&lt;4,64,999)</f>
        <v>999</v>
      </c>
      <c r="H80" s="160">
        <f ca="1">IF(TYPE(VLOOKUP(C80,'KO32'!$D$4:$D$65,1,0))&lt;4,32,999)</f>
        <v>999</v>
      </c>
      <c r="I80" s="160">
        <f ca="1">IF(TYPE(VLOOKUP(C80,'KO16'!$D$4:$D$33,1,0))&lt;4,16,999)</f>
        <v>999</v>
      </c>
      <c r="J80" s="160">
        <f ca="1">IF(TYPE(VLOOKUP(C80,'KO8'!$D$4:$D$17,1,0))&lt;4,8,999)</f>
        <v>999</v>
      </c>
      <c r="K80" s="160">
        <f ca="1">IF(TYPE(VLOOKUP(C80,'KO4'!$D$4:$D$9,1,0))&lt;4,4,999)</f>
        <v>999</v>
      </c>
      <c r="L80" s="160">
        <f>Start.listina!$K$7</f>
        <v>45</v>
      </c>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12" customHeight="1">
      <c r="A81" s="6" t="str">
        <f>IF(OR(Start.listina!H89&gt;Start.listina!$K$7,Start.listina!G89=TRUE),"",Start.listina!H89)</f>
        <v/>
      </c>
      <c r="B81" s="160" t="str">
        <f>IF(A81&gt;Start.listina!$K$7,"",ADDRESS(INT((A81-1)/$M$2)+1,IF(MOD(A81,$M$2)=0,IF(MOD(INT((A81-1)/$M$2)+1,2)=1,$M$2,1),IF(MOD(INT((A81-1)/$M$2)+1,2)=1,MOD(A81,$M$2),$M$2-MOD(A81,$M$2)+1)),4,1))</f>
        <v/>
      </c>
      <c r="C81" s="162" t="str">
        <f>Start.listina!$AL89</f>
        <v/>
      </c>
      <c r="D81" s="160" t="str">
        <f>IF(A81&gt;Start.listina!$K$7,"",INT((A81-1)/$M$2)+1)</f>
        <v/>
      </c>
      <c r="E81" s="160" t="str">
        <f>IF(A81&gt;Start.listina!$K$7,"",MIN(F81:L81))</f>
        <v/>
      </c>
      <c r="F81" s="160">
        <f ca="1">IF(TYPE(VLOOKUP(C81,Konečné_pořadí_1_16!$B$2:$D$17,3,0))&lt;4,VLOOKUP(C81,Konečné_pořadí_1_16!$B$2:$D$17,3,0),999)</f>
        <v>999</v>
      </c>
      <c r="G81" s="160">
        <f ca="1">IF(TYPE(VLOOKUP(C81,'KO64'!$D$4:$D$129,1,0))&lt;4,64,999)</f>
        <v>999</v>
      </c>
      <c r="H81" s="160">
        <f ca="1">IF(TYPE(VLOOKUP(C81,'KO32'!$D$4:$D$65,1,0))&lt;4,32,999)</f>
        <v>999</v>
      </c>
      <c r="I81" s="160">
        <f ca="1">IF(TYPE(VLOOKUP(C81,'KO16'!$D$4:$D$33,1,0))&lt;4,16,999)</f>
        <v>999</v>
      </c>
      <c r="J81" s="160">
        <f ca="1">IF(TYPE(VLOOKUP(C81,'KO8'!$D$4:$D$17,1,0))&lt;4,8,999)</f>
        <v>999</v>
      </c>
      <c r="K81" s="160">
        <f ca="1">IF(TYPE(VLOOKUP(C81,'KO4'!$D$4:$D$9,1,0))&lt;4,4,999)</f>
        <v>999</v>
      </c>
      <c r="L81" s="160">
        <f>Start.listina!$K$7</f>
        <v>45</v>
      </c>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12" customHeight="1">
      <c r="A82" s="6" t="str">
        <f>IF(OR(Start.listina!H90&gt;Start.listina!$K$7,Start.listina!G90=TRUE),"",Start.listina!H90)</f>
        <v/>
      </c>
      <c r="B82" s="160" t="str">
        <f>IF(A82&gt;Start.listina!$K$7,"",ADDRESS(INT((A82-1)/$M$2)+1,IF(MOD(A82,$M$2)=0,IF(MOD(INT((A82-1)/$M$2)+1,2)=1,$M$2,1),IF(MOD(INT((A82-1)/$M$2)+1,2)=1,MOD(A82,$M$2),$M$2-MOD(A82,$M$2)+1)),4,1))</f>
        <v/>
      </c>
      <c r="C82" s="162" t="str">
        <f>Start.listina!$AL90</f>
        <v/>
      </c>
      <c r="D82" s="160" t="str">
        <f>IF(A82&gt;Start.listina!$K$7,"",INT((A82-1)/$M$2)+1)</f>
        <v/>
      </c>
      <c r="E82" s="160" t="str">
        <f>IF(A82&gt;Start.listina!$K$7,"",MIN(F82:L82))</f>
        <v/>
      </c>
      <c r="F82" s="160">
        <f ca="1">IF(TYPE(VLOOKUP(C82,Konečné_pořadí_1_16!$B$2:$D$17,3,0))&lt;4,VLOOKUP(C82,Konečné_pořadí_1_16!$B$2:$D$17,3,0),999)</f>
        <v>999</v>
      </c>
      <c r="G82" s="160">
        <f ca="1">IF(TYPE(VLOOKUP(C82,'KO64'!$D$4:$D$129,1,0))&lt;4,64,999)</f>
        <v>999</v>
      </c>
      <c r="H82" s="160">
        <f ca="1">IF(TYPE(VLOOKUP(C82,'KO32'!$D$4:$D$65,1,0))&lt;4,32,999)</f>
        <v>999</v>
      </c>
      <c r="I82" s="160">
        <f ca="1">IF(TYPE(VLOOKUP(C82,'KO16'!$D$4:$D$33,1,0))&lt;4,16,999)</f>
        <v>999</v>
      </c>
      <c r="J82" s="160">
        <f ca="1">IF(TYPE(VLOOKUP(C82,'KO8'!$D$4:$D$17,1,0))&lt;4,8,999)</f>
        <v>999</v>
      </c>
      <c r="K82" s="160">
        <f ca="1">IF(TYPE(VLOOKUP(C82,'KO4'!$D$4:$D$9,1,0))&lt;4,4,999)</f>
        <v>999</v>
      </c>
      <c r="L82" s="160">
        <f>Start.listina!$K$7</f>
        <v>45</v>
      </c>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12" customHeight="1">
      <c r="A83" s="6" t="str">
        <f>IF(OR(Start.listina!H91&gt;Start.listina!$K$7,Start.listina!G91=TRUE),"",Start.listina!H91)</f>
        <v/>
      </c>
      <c r="B83" s="160" t="str">
        <f>IF(A83&gt;Start.listina!$K$7,"",ADDRESS(INT((A83-1)/$M$2)+1,IF(MOD(A83,$M$2)=0,IF(MOD(INT((A83-1)/$M$2)+1,2)=1,$M$2,1),IF(MOD(INT((A83-1)/$M$2)+1,2)=1,MOD(A83,$M$2),$M$2-MOD(A83,$M$2)+1)),4,1))</f>
        <v/>
      </c>
      <c r="C83" s="162" t="str">
        <f>Start.listina!$AL91</f>
        <v/>
      </c>
      <c r="D83" s="160" t="str">
        <f>IF(A83&gt;Start.listina!$K$7,"",INT((A83-1)/$M$2)+1)</f>
        <v/>
      </c>
      <c r="E83" s="160" t="str">
        <f>IF(A83&gt;Start.listina!$K$7,"",MIN(F83:L83))</f>
        <v/>
      </c>
      <c r="F83" s="160">
        <f ca="1">IF(TYPE(VLOOKUP(C83,Konečné_pořadí_1_16!$B$2:$D$17,3,0))&lt;4,VLOOKUP(C83,Konečné_pořadí_1_16!$B$2:$D$17,3,0),999)</f>
        <v>999</v>
      </c>
      <c r="G83" s="160">
        <f ca="1">IF(TYPE(VLOOKUP(C83,'KO64'!$D$4:$D$129,1,0))&lt;4,64,999)</f>
        <v>999</v>
      </c>
      <c r="H83" s="160">
        <f ca="1">IF(TYPE(VLOOKUP(C83,'KO32'!$D$4:$D$65,1,0))&lt;4,32,999)</f>
        <v>999</v>
      </c>
      <c r="I83" s="160">
        <f ca="1">IF(TYPE(VLOOKUP(C83,'KO16'!$D$4:$D$33,1,0))&lt;4,16,999)</f>
        <v>999</v>
      </c>
      <c r="J83" s="160">
        <f ca="1">IF(TYPE(VLOOKUP(C83,'KO8'!$D$4:$D$17,1,0))&lt;4,8,999)</f>
        <v>999</v>
      </c>
      <c r="K83" s="160">
        <f ca="1">IF(TYPE(VLOOKUP(C83,'KO4'!$D$4:$D$9,1,0))&lt;4,4,999)</f>
        <v>999</v>
      </c>
      <c r="L83" s="160">
        <f>Start.listina!$K$7</f>
        <v>45</v>
      </c>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12" customHeight="1">
      <c r="A84" s="6" t="str">
        <f>IF(OR(Start.listina!H92&gt;Start.listina!$K$7,Start.listina!G92=TRUE),"",Start.listina!H92)</f>
        <v/>
      </c>
      <c r="B84" s="160" t="str">
        <f>IF(A84&gt;Start.listina!$K$7,"",ADDRESS(INT((A84-1)/$M$2)+1,IF(MOD(A84,$M$2)=0,IF(MOD(INT((A84-1)/$M$2)+1,2)=1,$M$2,1),IF(MOD(INT((A84-1)/$M$2)+1,2)=1,MOD(A84,$M$2),$M$2-MOD(A84,$M$2)+1)),4,1))</f>
        <v/>
      </c>
      <c r="C84" s="162" t="str">
        <f>Start.listina!$AL92</f>
        <v/>
      </c>
      <c r="D84" s="160" t="str">
        <f>IF(A84&gt;Start.listina!$K$7,"",INT((A84-1)/$M$2)+1)</f>
        <v/>
      </c>
      <c r="E84" s="160" t="str">
        <f>IF(A84&gt;Start.listina!$K$7,"",MIN(F84:L84))</f>
        <v/>
      </c>
      <c r="F84" s="160">
        <f ca="1">IF(TYPE(VLOOKUP(C84,Konečné_pořadí_1_16!$B$2:$D$17,3,0))&lt;4,VLOOKUP(C84,Konečné_pořadí_1_16!$B$2:$D$17,3,0),999)</f>
        <v>999</v>
      </c>
      <c r="G84" s="160">
        <f ca="1">IF(TYPE(VLOOKUP(C84,'KO64'!$D$4:$D$129,1,0))&lt;4,64,999)</f>
        <v>999</v>
      </c>
      <c r="H84" s="160">
        <f ca="1">IF(TYPE(VLOOKUP(C84,'KO32'!$D$4:$D$65,1,0))&lt;4,32,999)</f>
        <v>999</v>
      </c>
      <c r="I84" s="160">
        <f ca="1">IF(TYPE(VLOOKUP(C84,'KO16'!$D$4:$D$33,1,0))&lt;4,16,999)</f>
        <v>999</v>
      </c>
      <c r="J84" s="160">
        <f ca="1">IF(TYPE(VLOOKUP(C84,'KO8'!$D$4:$D$17,1,0))&lt;4,8,999)</f>
        <v>999</v>
      </c>
      <c r="K84" s="160">
        <f ca="1">IF(TYPE(VLOOKUP(C84,'KO4'!$D$4:$D$9,1,0))&lt;4,4,999)</f>
        <v>999</v>
      </c>
      <c r="L84" s="160">
        <f>Start.listina!$K$7</f>
        <v>45</v>
      </c>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12" customHeight="1">
      <c r="A85" s="6" t="str">
        <f>IF(OR(Start.listina!H93&gt;Start.listina!$K$7,Start.listina!G93=TRUE),"",Start.listina!H93)</f>
        <v/>
      </c>
      <c r="B85" s="160" t="str">
        <f>IF(A85&gt;Start.listina!$K$7,"",ADDRESS(INT((A85-1)/$M$2)+1,IF(MOD(A85,$M$2)=0,IF(MOD(INT((A85-1)/$M$2)+1,2)=1,$M$2,1),IF(MOD(INT((A85-1)/$M$2)+1,2)=1,MOD(A85,$M$2),$M$2-MOD(A85,$M$2)+1)),4,1))</f>
        <v/>
      </c>
      <c r="C85" s="162" t="str">
        <f>Start.listina!$AL93</f>
        <v/>
      </c>
      <c r="D85" s="160" t="str">
        <f>IF(A85&gt;Start.listina!$K$7,"",INT((A85-1)/$M$2)+1)</f>
        <v/>
      </c>
      <c r="E85" s="160" t="str">
        <f>IF(A85&gt;Start.listina!$K$7,"",MIN(F85:L85))</f>
        <v/>
      </c>
      <c r="F85" s="160">
        <f ca="1">IF(TYPE(VLOOKUP(C85,Konečné_pořadí_1_16!$B$2:$D$17,3,0))&lt;4,VLOOKUP(C85,Konečné_pořadí_1_16!$B$2:$D$17,3,0),999)</f>
        <v>999</v>
      </c>
      <c r="G85" s="160">
        <f ca="1">IF(TYPE(VLOOKUP(C85,'KO64'!$D$4:$D$129,1,0))&lt;4,64,999)</f>
        <v>999</v>
      </c>
      <c r="H85" s="160">
        <f ca="1">IF(TYPE(VLOOKUP(C85,'KO32'!$D$4:$D$65,1,0))&lt;4,32,999)</f>
        <v>999</v>
      </c>
      <c r="I85" s="160">
        <f ca="1">IF(TYPE(VLOOKUP(C85,'KO16'!$D$4:$D$33,1,0))&lt;4,16,999)</f>
        <v>999</v>
      </c>
      <c r="J85" s="160">
        <f ca="1">IF(TYPE(VLOOKUP(C85,'KO8'!$D$4:$D$17,1,0))&lt;4,8,999)</f>
        <v>999</v>
      </c>
      <c r="K85" s="160">
        <f ca="1">IF(TYPE(VLOOKUP(C85,'KO4'!$D$4:$D$9,1,0))&lt;4,4,999)</f>
        <v>999</v>
      </c>
      <c r="L85" s="160">
        <f>Start.listina!$K$7</f>
        <v>45</v>
      </c>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12" customHeight="1">
      <c r="A86" s="6" t="str">
        <f>IF(OR(Start.listina!H94&gt;Start.listina!$K$7,Start.listina!G94=TRUE),"",Start.listina!H94)</f>
        <v/>
      </c>
      <c r="B86" s="160" t="str">
        <f>IF(A86&gt;Start.listina!$K$7,"",ADDRESS(INT((A86-1)/$M$2)+1,IF(MOD(A86,$M$2)=0,IF(MOD(INT((A86-1)/$M$2)+1,2)=1,$M$2,1),IF(MOD(INT((A86-1)/$M$2)+1,2)=1,MOD(A86,$M$2),$M$2-MOD(A86,$M$2)+1)),4,1))</f>
        <v/>
      </c>
      <c r="C86" s="162" t="str">
        <f>Start.listina!$AL94</f>
        <v/>
      </c>
      <c r="D86" s="160" t="str">
        <f>IF(A86&gt;Start.listina!$K$7,"",INT((A86-1)/$M$2)+1)</f>
        <v/>
      </c>
      <c r="E86" s="160" t="str">
        <f>IF(A86&gt;Start.listina!$K$7,"",MIN(F86:L86))</f>
        <v/>
      </c>
      <c r="F86" s="160">
        <f ca="1">IF(TYPE(VLOOKUP(C86,Konečné_pořadí_1_16!$B$2:$D$17,3,0))&lt;4,VLOOKUP(C86,Konečné_pořadí_1_16!$B$2:$D$17,3,0),999)</f>
        <v>999</v>
      </c>
      <c r="G86" s="160">
        <f ca="1">IF(TYPE(VLOOKUP(C86,'KO64'!$D$4:$D$129,1,0))&lt;4,64,999)</f>
        <v>999</v>
      </c>
      <c r="H86" s="160">
        <f ca="1">IF(TYPE(VLOOKUP(C86,'KO32'!$D$4:$D$65,1,0))&lt;4,32,999)</f>
        <v>999</v>
      </c>
      <c r="I86" s="160">
        <f ca="1">IF(TYPE(VLOOKUP(C86,'KO16'!$D$4:$D$33,1,0))&lt;4,16,999)</f>
        <v>999</v>
      </c>
      <c r="J86" s="160">
        <f ca="1">IF(TYPE(VLOOKUP(C86,'KO8'!$D$4:$D$17,1,0))&lt;4,8,999)</f>
        <v>999</v>
      </c>
      <c r="K86" s="160">
        <f ca="1">IF(TYPE(VLOOKUP(C86,'KO4'!$D$4:$D$9,1,0))&lt;4,4,999)</f>
        <v>999</v>
      </c>
      <c r="L86" s="160">
        <f>Start.listina!$K$7</f>
        <v>45</v>
      </c>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12" customHeight="1">
      <c r="A87" s="6" t="str">
        <f>IF(OR(Start.listina!H95&gt;Start.listina!$K$7,Start.listina!G95=TRUE),"",Start.listina!H95)</f>
        <v/>
      </c>
      <c r="B87" s="160" t="str">
        <f>IF(A87&gt;Start.listina!$K$7,"",ADDRESS(INT((A87-1)/$M$2)+1,IF(MOD(A87,$M$2)=0,IF(MOD(INT((A87-1)/$M$2)+1,2)=1,$M$2,1),IF(MOD(INT((A87-1)/$M$2)+1,2)=1,MOD(A87,$M$2),$M$2-MOD(A87,$M$2)+1)),4,1))</f>
        <v/>
      </c>
      <c r="C87" s="162" t="str">
        <f>Start.listina!$AL95</f>
        <v/>
      </c>
      <c r="D87" s="160" t="str">
        <f>IF(A87&gt;Start.listina!$K$7,"",INT((A87-1)/$M$2)+1)</f>
        <v/>
      </c>
      <c r="E87" s="160" t="str">
        <f>IF(A87&gt;Start.listina!$K$7,"",MIN(F87:L87))</f>
        <v/>
      </c>
      <c r="F87" s="160">
        <f ca="1">IF(TYPE(VLOOKUP(C87,Konečné_pořadí_1_16!$B$2:$D$17,3,0))&lt;4,VLOOKUP(C87,Konečné_pořadí_1_16!$B$2:$D$17,3,0),999)</f>
        <v>999</v>
      </c>
      <c r="G87" s="160">
        <f ca="1">IF(TYPE(VLOOKUP(C87,'KO64'!$D$4:$D$129,1,0))&lt;4,64,999)</f>
        <v>999</v>
      </c>
      <c r="H87" s="160">
        <f ca="1">IF(TYPE(VLOOKUP(C87,'KO32'!$D$4:$D$65,1,0))&lt;4,32,999)</f>
        <v>999</v>
      </c>
      <c r="I87" s="160">
        <f ca="1">IF(TYPE(VLOOKUP(C87,'KO16'!$D$4:$D$33,1,0))&lt;4,16,999)</f>
        <v>999</v>
      </c>
      <c r="J87" s="160">
        <f ca="1">IF(TYPE(VLOOKUP(C87,'KO8'!$D$4:$D$17,1,0))&lt;4,8,999)</f>
        <v>999</v>
      </c>
      <c r="K87" s="160">
        <f ca="1">IF(TYPE(VLOOKUP(C87,'KO4'!$D$4:$D$9,1,0))&lt;4,4,999)</f>
        <v>999</v>
      </c>
      <c r="L87" s="160">
        <f>Start.listina!$K$7</f>
        <v>45</v>
      </c>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12" customHeight="1">
      <c r="A88" s="6" t="str">
        <f>IF(OR(Start.listina!H96&gt;Start.listina!$K$7,Start.listina!G96=TRUE),"",Start.listina!H96)</f>
        <v/>
      </c>
      <c r="B88" s="160" t="str">
        <f>IF(A88&gt;Start.listina!$K$7,"",ADDRESS(INT((A88-1)/$M$2)+1,IF(MOD(A88,$M$2)=0,IF(MOD(INT((A88-1)/$M$2)+1,2)=1,$M$2,1),IF(MOD(INT((A88-1)/$M$2)+1,2)=1,MOD(A88,$M$2),$M$2-MOD(A88,$M$2)+1)),4,1))</f>
        <v/>
      </c>
      <c r="C88" s="162" t="str">
        <f>Start.listina!$AL96</f>
        <v/>
      </c>
      <c r="D88" s="160" t="str">
        <f>IF(A88&gt;Start.listina!$K$7,"",INT((A88-1)/$M$2)+1)</f>
        <v/>
      </c>
      <c r="E88" s="160" t="str">
        <f>IF(A88&gt;Start.listina!$K$7,"",MIN(F88:L88))</f>
        <v/>
      </c>
      <c r="F88" s="160">
        <f ca="1">IF(TYPE(VLOOKUP(C88,Konečné_pořadí_1_16!$B$2:$D$17,3,0))&lt;4,VLOOKUP(C88,Konečné_pořadí_1_16!$B$2:$D$17,3,0),999)</f>
        <v>999</v>
      </c>
      <c r="G88" s="160">
        <f ca="1">IF(TYPE(VLOOKUP(C88,'KO64'!$D$4:$D$129,1,0))&lt;4,64,999)</f>
        <v>999</v>
      </c>
      <c r="H88" s="160">
        <f ca="1">IF(TYPE(VLOOKUP(C88,'KO32'!$D$4:$D$65,1,0))&lt;4,32,999)</f>
        <v>999</v>
      </c>
      <c r="I88" s="160">
        <f ca="1">IF(TYPE(VLOOKUP(C88,'KO16'!$D$4:$D$33,1,0))&lt;4,16,999)</f>
        <v>999</v>
      </c>
      <c r="J88" s="160">
        <f ca="1">IF(TYPE(VLOOKUP(C88,'KO8'!$D$4:$D$17,1,0))&lt;4,8,999)</f>
        <v>999</v>
      </c>
      <c r="K88" s="160">
        <f ca="1">IF(TYPE(VLOOKUP(C88,'KO4'!$D$4:$D$9,1,0))&lt;4,4,999)</f>
        <v>999</v>
      </c>
      <c r="L88" s="160">
        <f>Start.listina!$K$7</f>
        <v>45</v>
      </c>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12" customHeight="1">
      <c r="A89" s="6" t="str">
        <f>IF(OR(Start.listina!H97&gt;Start.listina!$K$7,Start.listina!G97=TRUE),"",Start.listina!H97)</f>
        <v/>
      </c>
      <c r="B89" s="160" t="str">
        <f>IF(A89&gt;Start.listina!$K$7,"",ADDRESS(INT((A89-1)/$M$2)+1,IF(MOD(A89,$M$2)=0,IF(MOD(INT((A89-1)/$M$2)+1,2)=1,$M$2,1),IF(MOD(INT((A89-1)/$M$2)+1,2)=1,MOD(A89,$M$2),$M$2-MOD(A89,$M$2)+1)),4,1))</f>
        <v/>
      </c>
      <c r="C89" s="162" t="str">
        <f>Start.listina!$AL97</f>
        <v/>
      </c>
      <c r="D89" s="160" t="str">
        <f>IF(A89&gt;Start.listina!$K$7,"",INT((A89-1)/$M$2)+1)</f>
        <v/>
      </c>
      <c r="E89" s="160" t="str">
        <f>IF(A89&gt;Start.listina!$K$7,"",MIN(F89:L89))</f>
        <v/>
      </c>
      <c r="F89" s="160">
        <f ca="1">IF(TYPE(VLOOKUP(C89,Konečné_pořadí_1_16!$B$2:$D$17,3,0))&lt;4,VLOOKUP(C89,Konečné_pořadí_1_16!$B$2:$D$17,3,0),999)</f>
        <v>999</v>
      </c>
      <c r="G89" s="160">
        <f ca="1">IF(TYPE(VLOOKUP(C89,'KO64'!$D$4:$D$129,1,0))&lt;4,64,999)</f>
        <v>999</v>
      </c>
      <c r="H89" s="160">
        <f ca="1">IF(TYPE(VLOOKUP(C89,'KO32'!$D$4:$D$65,1,0))&lt;4,32,999)</f>
        <v>999</v>
      </c>
      <c r="I89" s="160">
        <f ca="1">IF(TYPE(VLOOKUP(C89,'KO16'!$D$4:$D$33,1,0))&lt;4,16,999)</f>
        <v>999</v>
      </c>
      <c r="J89" s="160">
        <f ca="1">IF(TYPE(VLOOKUP(C89,'KO8'!$D$4:$D$17,1,0))&lt;4,8,999)</f>
        <v>999</v>
      </c>
      <c r="K89" s="160">
        <f ca="1">IF(TYPE(VLOOKUP(C89,'KO4'!$D$4:$D$9,1,0))&lt;4,4,999)</f>
        <v>999</v>
      </c>
      <c r="L89" s="160">
        <f>Start.listina!$K$7</f>
        <v>45</v>
      </c>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12" customHeight="1">
      <c r="A90" s="6" t="str">
        <f>IF(OR(Start.listina!H98&gt;Start.listina!$K$7,Start.listina!G98=TRUE),"",Start.listina!H98)</f>
        <v/>
      </c>
      <c r="B90" s="160" t="str">
        <f>IF(A90&gt;Start.listina!$K$7,"",ADDRESS(INT((A90-1)/$M$2)+1,IF(MOD(A90,$M$2)=0,IF(MOD(INT((A90-1)/$M$2)+1,2)=1,$M$2,1),IF(MOD(INT((A90-1)/$M$2)+1,2)=1,MOD(A90,$M$2),$M$2-MOD(A90,$M$2)+1)),4,1))</f>
        <v/>
      </c>
      <c r="C90" s="162" t="str">
        <f>Start.listina!$AL98</f>
        <v/>
      </c>
      <c r="D90" s="160" t="str">
        <f>IF(A90&gt;Start.listina!$K$7,"",INT((A90-1)/$M$2)+1)</f>
        <v/>
      </c>
      <c r="E90" s="160" t="str">
        <f>IF(A90&gt;Start.listina!$K$7,"",MIN(F90:L90))</f>
        <v/>
      </c>
      <c r="F90" s="160">
        <f ca="1">IF(TYPE(VLOOKUP(C90,Konečné_pořadí_1_16!$B$2:$D$17,3,0))&lt;4,VLOOKUP(C90,Konečné_pořadí_1_16!$B$2:$D$17,3,0),999)</f>
        <v>999</v>
      </c>
      <c r="G90" s="160">
        <f ca="1">IF(TYPE(VLOOKUP(C90,'KO64'!$D$4:$D$129,1,0))&lt;4,64,999)</f>
        <v>999</v>
      </c>
      <c r="H90" s="160">
        <f ca="1">IF(TYPE(VLOOKUP(C90,'KO32'!$D$4:$D$65,1,0))&lt;4,32,999)</f>
        <v>999</v>
      </c>
      <c r="I90" s="160">
        <f ca="1">IF(TYPE(VLOOKUP(C90,'KO16'!$D$4:$D$33,1,0))&lt;4,16,999)</f>
        <v>999</v>
      </c>
      <c r="J90" s="160">
        <f ca="1">IF(TYPE(VLOOKUP(C90,'KO8'!$D$4:$D$17,1,0))&lt;4,8,999)</f>
        <v>999</v>
      </c>
      <c r="K90" s="160">
        <f ca="1">IF(TYPE(VLOOKUP(C90,'KO4'!$D$4:$D$9,1,0))&lt;4,4,999)</f>
        <v>999</v>
      </c>
      <c r="L90" s="160">
        <f>Start.listina!$K$7</f>
        <v>45</v>
      </c>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12" customHeight="1">
      <c r="A91" s="6" t="str">
        <f>IF(OR(Start.listina!H99&gt;Start.listina!$K$7,Start.listina!G99=TRUE),"",Start.listina!H99)</f>
        <v/>
      </c>
      <c r="B91" s="160" t="str">
        <f>IF(A91&gt;Start.listina!$K$7,"",ADDRESS(INT((A91-1)/$M$2)+1,IF(MOD(A91,$M$2)=0,IF(MOD(INT((A91-1)/$M$2)+1,2)=1,$M$2,1),IF(MOD(INT((A91-1)/$M$2)+1,2)=1,MOD(A91,$M$2),$M$2-MOD(A91,$M$2)+1)),4,1))</f>
        <v/>
      </c>
      <c r="C91" s="162" t="str">
        <f>Start.listina!$AL99</f>
        <v/>
      </c>
      <c r="D91" s="160" t="str">
        <f>IF(A91&gt;Start.listina!$K$7,"",INT((A91-1)/$M$2)+1)</f>
        <v/>
      </c>
      <c r="E91" s="160" t="str">
        <f>IF(A91&gt;Start.listina!$K$7,"",MIN(F91:L91))</f>
        <v/>
      </c>
      <c r="F91" s="160">
        <f ca="1">IF(TYPE(VLOOKUP(C91,Konečné_pořadí_1_16!$B$2:$D$17,3,0))&lt;4,VLOOKUP(C91,Konečné_pořadí_1_16!$B$2:$D$17,3,0),999)</f>
        <v>999</v>
      </c>
      <c r="G91" s="160">
        <f ca="1">IF(TYPE(VLOOKUP(C91,'KO64'!$D$4:$D$129,1,0))&lt;4,64,999)</f>
        <v>999</v>
      </c>
      <c r="H91" s="160">
        <f ca="1">IF(TYPE(VLOOKUP(C91,'KO32'!$D$4:$D$65,1,0))&lt;4,32,999)</f>
        <v>999</v>
      </c>
      <c r="I91" s="160">
        <f ca="1">IF(TYPE(VLOOKUP(C91,'KO16'!$D$4:$D$33,1,0))&lt;4,16,999)</f>
        <v>999</v>
      </c>
      <c r="J91" s="160">
        <f ca="1">IF(TYPE(VLOOKUP(C91,'KO8'!$D$4:$D$17,1,0))&lt;4,8,999)</f>
        <v>999</v>
      </c>
      <c r="K91" s="160">
        <f ca="1">IF(TYPE(VLOOKUP(C91,'KO4'!$D$4:$D$9,1,0))&lt;4,4,999)</f>
        <v>999</v>
      </c>
      <c r="L91" s="160">
        <f>Start.listina!$K$7</f>
        <v>45</v>
      </c>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12" customHeight="1">
      <c r="A92" s="6" t="str">
        <f>IF(OR(Start.listina!H100&gt;Start.listina!$K$7,Start.listina!G100=TRUE),"",Start.listina!H100)</f>
        <v/>
      </c>
      <c r="B92" s="160" t="str">
        <f>IF(A92&gt;Start.listina!$K$7,"",ADDRESS(INT((A92-1)/$M$2)+1,IF(MOD(A92,$M$2)=0,IF(MOD(INT((A92-1)/$M$2)+1,2)=1,$M$2,1),IF(MOD(INT((A92-1)/$M$2)+1,2)=1,MOD(A92,$M$2),$M$2-MOD(A92,$M$2)+1)),4,1))</f>
        <v/>
      </c>
      <c r="C92" s="162" t="str">
        <f>Start.listina!$AL100</f>
        <v/>
      </c>
      <c r="D92" s="160" t="str">
        <f>IF(A92&gt;Start.listina!$K$7,"",INT((A92-1)/$M$2)+1)</f>
        <v/>
      </c>
      <c r="E92" s="160" t="str">
        <f>IF(A92&gt;Start.listina!$K$7,"",MIN(F92:L92))</f>
        <v/>
      </c>
      <c r="F92" s="160">
        <f ca="1">IF(TYPE(VLOOKUP(C92,Konečné_pořadí_1_16!$B$2:$D$17,3,0))&lt;4,VLOOKUP(C92,Konečné_pořadí_1_16!$B$2:$D$17,3,0),999)</f>
        <v>999</v>
      </c>
      <c r="G92" s="160">
        <f ca="1">IF(TYPE(VLOOKUP(C92,'KO64'!$D$4:$D$129,1,0))&lt;4,64,999)</f>
        <v>999</v>
      </c>
      <c r="H92" s="160">
        <f ca="1">IF(TYPE(VLOOKUP(C92,'KO32'!$D$4:$D$65,1,0))&lt;4,32,999)</f>
        <v>999</v>
      </c>
      <c r="I92" s="160">
        <f ca="1">IF(TYPE(VLOOKUP(C92,'KO16'!$D$4:$D$33,1,0))&lt;4,16,999)</f>
        <v>999</v>
      </c>
      <c r="J92" s="160">
        <f ca="1">IF(TYPE(VLOOKUP(C92,'KO8'!$D$4:$D$17,1,0))&lt;4,8,999)</f>
        <v>999</v>
      </c>
      <c r="K92" s="160">
        <f ca="1">IF(TYPE(VLOOKUP(C92,'KO4'!$D$4:$D$9,1,0))&lt;4,4,999)</f>
        <v>999</v>
      </c>
      <c r="L92" s="160">
        <f>Start.listina!$K$7</f>
        <v>45</v>
      </c>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12" customHeight="1">
      <c r="A93" s="6" t="str">
        <f>IF(OR(Start.listina!H101&gt;Start.listina!$K$7,Start.listina!G101=TRUE),"",Start.listina!H101)</f>
        <v/>
      </c>
      <c r="B93" s="160" t="str">
        <f>IF(A93&gt;Start.listina!$K$7,"",ADDRESS(INT((A93-1)/$M$2)+1,IF(MOD(A93,$M$2)=0,IF(MOD(INT((A93-1)/$M$2)+1,2)=1,$M$2,1),IF(MOD(INT((A93-1)/$M$2)+1,2)=1,MOD(A93,$M$2),$M$2-MOD(A93,$M$2)+1)),4,1))</f>
        <v/>
      </c>
      <c r="C93" s="162" t="str">
        <f>Start.listina!$AL101</f>
        <v/>
      </c>
      <c r="D93" s="160" t="str">
        <f>IF(A93&gt;Start.listina!$K$7,"",INT((A93-1)/$M$2)+1)</f>
        <v/>
      </c>
      <c r="E93" s="160" t="str">
        <f>IF(A93&gt;Start.listina!$K$7,"",MIN(F93:L93))</f>
        <v/>
      </c>
      <c r="F93" s="160">
        <f ca="1">IF(TYPE(VLOOKUP(C93,Konečné_pořadí_1_16!$B$2:$D$17,3,0))&lt;4,VLOOKUP(C93,Konečné_pořadí_1_16!$B$2:$D$17,3,0),999)</f>
        <v>999</v>
      </c>
      <c r="G93" s="160">
        <f ca="1">IF(TYPE(VLOOKUP(C93,'KO64'!$D$4:$D$129,1,0))&lt;4,64,999)</f>
        <v>999</v>
      </c>
      <c r="H93" s="160">
        <f ca="1">IF(TYPE(VLOOKUP(C93,'KO32'!$D$4:$D$65,1,0))&lt;4,32,999)</f>
        <v>999</v>
      </c>
      <c r="I93" s="160">
        <f ca="1">IF(TYPE(VLOOKUP(C93,'KO16'!$D$4:$D$33,1,0))&lt;4,16,999)</f>
        <v>999</v>
      </c>
      <c r="J93" s="160">
        <f ca="1">IF(TYPE(VLOOKUP(C93,'KO8'!$D$4:$D$17,1,0))&lt;4,8,999)</f>
        <v>999</v>
      </c>
      <c r="K93" s="160">
        <f ca="1">IF(TYPE(VLOOKUP(C93,'KO4'!$D$4:$D$9,1,0))&lt;4,4,999)</f>
        <v>999</v>
      </c>
      <c r="L93" s="160">
        <f>Start.listina!$K$7</f>
        <v>45</v>
      </c>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12" customHeight="1">
      <c r="A94" s="6" t="str">
        <f>IF(OR(Start.listina!H102&gt;Start.listina!$K$7,Start.listina!G102=TRUE),"",Start.listina!H102)</f>
        <v/>
      </c>
      <c r="B94" s="160" t="str">
        <f>IF(A94&gt;Start.listina!$K$7,"",ADDRESS(INT((A94-1)/$M$2)+1,IF(MOD(A94,$M$2)=0,IF(MOD(INT((A94-1)/$M$2)+1,2)=1,$M$2,1),IF(MOD(INT((A94-1)/$M$2)+1,2)=1,MOD(A94,$M$2),$M$2-MOD(A94,$M$2)+1)),4,1))</f>
        <v/>
      </c>
      <c r="C94" s="162" t="str">
        <f>Start.listina!$AL102</f>
        <v/>
      </c>
      <c r="D94" s="160" t="str">
        <f>IF(A94&gt;Start.listina!$K$7,"",INT((A94-1)/$M$2)+1)</f>
        <v/>
      </c>
      <c r="E94" s="160" t="str">
        <f>IF(A94&gt;Start.listina!$K$7,"",MIN(F94:L94))</f>
        <v/>
      </c>
      <c r="F94" s="160">
        <f ca="1">IF(TYPE(VLOOKUP(C94,Konečné_pořadí_1_16!$B$2:$D$17,3,0))&lt;4,VLOOKUP(C94,Konečné_pořadí_1_16!$B$2:$D$17,3,0),999)</f>
        <v>999</v>
      </c>
      <c r="G94" s="160">
        <f ca="1">IF(TYPE(VLOOKUP(C94,'KO64'!$D$4:$D$129,1,0))&lt;4,64,999)</f>
        <v>999</v>
      </c>
      <c r="H94" s="160">
        <f ca="1">IF(TYPE(VLOOKUP(C94,'KO32'!$D$4:$D$65,1,0))&lt;4,32,999)</f>
        <v>999</v>
      </c>
      <c r="I94" s="160">
        <f ca="1">IF(TYPE(VLOOKUP(C94,'KO16'!$D$4:$D$33,1,0))&lt;4,16,999)</f>
        <v>999</v>
      </c>
      <c r="J94" s="160">
        <f ca="1">IF(TYPE(VLOOKUP(C94,'KO8'!$D$4:$D$17,1,0))&lt;4,8,999)</f>
        <v>999</v>
      </c>
      <c r="K94" s="160">
        <f ca="1">IF(TYPE(VLOOKUP(C94,'KO4'!$D$4:$D$9,1,0))&lt;4,4,999)</f>
        <v>999</v>
      </c>
      <c r="L94" s="160">
        <f>Start.listina!$K$7</f>
        <v>45</v>
      </c>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12" customHeight="1">
      <c r="A95" s="6" t="str">
        <f>IF(OR(Start.listina!H103&gt;Start.listina!$K$7,Start.listina!G103=TRUE),"",Start.listina!H103)</f>
        <v/>
      </c>
      <c r="B95" s="160" t="str">
        <f>IF(A95&gt;Start.listina!$K$7,"",ADDRESS(INT((A95-1)/$M$2)+1,IF(MOD(A95,$M$2)=0,IF(MOD(INT((A95-1)/$M$2)+1,2)=1,$M$2,1),IF(MOD(INT((A95-1)/$M$2)+1,2)=1,MOD(A95,$M$2),$M$2-MOD(A95,$M$2)+1)),4,1))</f>
        <v/>
      </c>
      <c r="C95" s="162" t="str">
        <f>Start.listina!$AL103</f>
        <v/>
      </c>
      <c r="D95" s="160" t="str">
        <f>IF(A95&gt;Start.listina!$K$7,"",INT((A95-1)/$M$2)+1)</f>
        <v/>
      </c>
      <c r="E95" s="160" t="str">
        <f>IF(A95&gt;Start.listina!$K$7,"",MIN(F95:L95))</f>
        <v/>
      </c>
      <c r="F95" s="160">
        <f ca="1">IF(TYPE(VLOOKUP(C95,Konečné_pořadí_1_16!$B$2:$D$17,3,0))&lt;4,VLOOKUP(C95,Konečné_pořadí_1_16!$B$2:$D$17,3,0),999)</f>
        <v>999</v>
      </c>
      <c r="G95" s="160">
        <f ca="1">IF(TYPE(VLOOKUP(C95,'KO64'!$D$4:$D$129,1,0))&lt;4,64,999)</f>
        <v>999</v>
      </c>
      <c r="H95" s="160">
        <f ca="1">IF(TYPE(VLOOKUP(C95,'KO32'!$D$4:$D$65,1,0))&lt;4,32,999)</f>
        <v>999</v>
      </c>
      <c r="I95" s="160">
        <f ca="1">IF(TYPE(VLOOKUP(C95,'KO16'!$D$4:$D$33,1,0))&lt;4,16,999)</f>
        <v>999</v>
      </c>
      <c r="J95" s="160">
        <f ca="1">IF(TYPE(VLOOKUP(C95,'KO8'!$D$4:$D$17,1,0))&lt;4,8,999)</f>
        <v>999</v>
      </c>
      <c r="K95" s="160">
        <f ca="1">IF(TYPE(VLOOKUP(C95,'KO4'!$D$4:$D$9,1,0))&lt;4,4,999)</f>
        <v>999</v>
      </c>
      <c r="L95" s="160">
        <f>Start.listina!$K$7</f>
        <v>45</v>
      </c>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12" customHeight="1">
      <c r="A96" s="6" t="str">
        <f>IF(OR(Start.listina!H104&gt;Start.listina!$K$7,Start.listina!G104=TRUE),"",Start.listina!H104)</f>
        <v/>
      </c>
      <c r="B96" s="160" t="str">
        <f>IF(A96&gt;Start.listina!$K$7,"",ADDRESS(INT((A96-1)/$M$2)+1,IF(MOD(A96,$M$2)=0,IF(MOD(INT((A96-1)/$M$2)+1,2)=1,$M$2,1),IF(MOD(INT((A96-1)/$M$2)+1,2)=1,MOD(A96,$M$2),$M$2-MOD(A96,$M$2)+1)),4,1))</f>
        <v/>
      </c>
      <c r="C96" s="162" t="str">
        <f>Start.listina!$AL104</f>
        <v/>
      </c>
      <c r="D96" s="160" t="str">
        <f>IF(A96&gt;Start.listina!$K$7,"",INT((A96-1)/$M$2)+1)</f>
        <v/>
      </c>
      <c r="E96" s="160" t="str">
        <f>IF(A96&gt;Start.listina!$K$7,"",MIN(F96:L96))</f>
        <v/>
      </c>
      <c r="F96" s="160">
        <f ca="1">IF(TYPE(VLOOKUP(C96,Konečné_pořadí_1_16!$B$2:$D$17,3,0))&lt;4,VLOOKUP(C96,Konečné_pořadí_1_16!$B$2:$D$17,3,0),999)</f>
        <v>999</v>
      </c>
      <c r="G96" s="160">
        <f ca="1">IF(TYPE(VLOOKUP(C96,'KO64'!$D$4:$D$129,1,0))&lt;4,64,999)</f>
        <v>999</v>
      </c>
      <c r="H96" s="160">
        <f ca="1">IF(TYPE(VLOOKUP(C96,'KO32'!$D$4:$D$65,1,0))&lt;4,32,999)</f>
        <v>999</v>
      </c>
      <c r="I96" s="160">
        <f ca="1">IF(TYPE(VLOOKUP(C96,'KO16'!$D$4:$D$33,1,0))&lt;4,16,999)</f>
        <v>999</v>
      </c>
      <c r="J96" s="160">
        <f ca="1">IF(TYPE(VLOOKUP(C96,'KO8'!$D$4:$D$17,1,0))&lt;4,8,999)</f>
        <v>999</v>
      </c>
      <c r="K96" s="160">
        <f ca="1">IF(TYPE(VLOOKUP(C96,'KO4'!$D$4:$D$9,1,0))&lt;4,4,999)</f>
        <v>999</v>
      </c>
      <c r="L96" s="160">
        <f>Start.listina!$K$7</f>
        <v>45</v>
      </c>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12" customHeight="1">
      <c r="A97" s="6" t="str">
        <f>IF(OR(Start.listina!H105&gt;Start.listina!$K$7,Start.listina!G105=TRUE),"",Start.listina!H105)</f>
        <v/>
      </c>
      <c r="B97" s="160" t="str">
        <f>IF(A97&gt;Start.listina!$K$7,"",ADDRESS(INT((A97-1)/$M$2)+1,IF(MOD(A97,$M$2)=0,IF(MOD(INT((A97-1)/$M$2)+1,2)=1,$M$2,1),IF(MOD(INT((A97-1)/$M$2)+1,2)=1,MOD(A97,$M$2),$M$2-MOD(A97,$M$2)+1)),4,1))</f>
        <v/>
      </c>
      <c r="C97" s="162" t="str">
        <f>Start.listina!$AL105</f>
        <v/>
      </c>
      <c r="D97" s="160" t="str">
        <f>IF(A97&gt;Start.listina!$K$7,"",INT((A97-1)/$M$2)+1)</f>
        <v/>
      </c>
      <c r="E97" s="160" t="str">
        <f>IF(A97&gt;Start.listina!$K$7,"",MIN(F97:L97))</f>
        <v/>
      </c>
      <c r="F97" s="160">
        <f ca="1">IF(TYPE(VLOOKUP(C97,Konečné_pořadí_1_16!$B$2:$D$17,3,0))&lt;4,VLOOKUP(C97,Konečné_pořadí_1_16!$B$2:$D$17,3,0),999)</f>
        <v>999</v>
      </c>
      <c r="G97" s="160">
        <f ca="1">IF(TYPE(VLOOKUP(C97,'KO64'!$D$4:$D$129,1,0))&lt;4,64,999)</f>
        <v>999</v>
      </c>
      <c r="H97" s="160">
        <f ca="1">IF(TYPE(VLOOKUP(C97,'KO32'!$D$4:$D$65,1,0))&lt;4,32,999)</f>
        <v>999</v>
      </c>
      <c r="I97" s="160">
        <f ca="1">IF(TYPE(VLOOKUP(C97,'KO16'!$D$4:$D$33,1,0))&lt;4,16,999)</f>
        <v>999</v>
      </c>
      <c r="J97" s="160">
        <f ca="1">IF(TYPE(VLOOKUP(C97,'KO8'!$D$4:$D$17,1,0))&lt;4,8,999)</f>
        <v>999</v>
      </c>
      <c r="K97" s="160">
        <f ca="1">IF(TYPE(VLOOKUP(C97,'KO4'!$D$4:$D$9,1,0))&lt;4,4,999)</f>
        <v>999</v>
      </c>
      <c r="L97" s="160">
        <f>Start.listina!$K$7</f>
        <v>45</v>
      </c>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12" customHeight="1">
      <c r="A98" s="6" t="str">
        <f>IF(OR(Start.listina!H106&gt;Start.listina!$K$7,Start.listina!G106=TRUE),"",Start.listina!H106)</f>
        <v/>
      </c>
      <c r="B98" s="160" t="str">
        <f>IF(A98&gt;Start.listina!$K$7,"",ADDRESS(INT((A98-1)/$M$2)+1,IF(MOD(A98,$M$2)=0,IF(MOD(INT((A98-1)/$M$2)+1,2)=1,$M$2,1),IF(MOD(INT((A98-1)/$M$2)+1,2)=1,MOD(A98,$M$2),$M$2-MOD(A98,$M$2)+1)),4,1))</f>
        <v/>
      </c>
      <c r="C98" s="162" t="str">
        <f>Start.listina!$AL106</f>
        <v/>
      </c>
      <c r="D98" s="160" t="str">
        <f>IF(A98&gt;Start.listina!$K$7,"",INT((A98-1)/$M$2)+1)</f>
        <v/>
      </c>
      <c r="E98" s="160" t="str">
        <f>IF(A98&gt;Start.listina!$K$7,"",MIN(F98:L98))</f>
        <v/>
      </c>
      <c r="F98" s="160">
        <f ca="1">IF(TYPE(VLOOKUP(C98,Konečné_pořadí_1_16!$B$2:$D$17,3,0))&lt;4,VLOOKUP(C98,Konečné_pořadí_1_16!$B$2:$D$17,3,0),999)</f>
        <v>999</v>
      </c>
      <c r="G98" s="160">
        <f ca="1">IF(TYPE(VLOOKUP(C98,'KO64'!$D$4:$D$129,1,0))&lt;4,64,999)</f>
        <v>999</v>
      </c>
      <c r="H98" s="160">
        <f ca="1">IF(TYPE(VLOOKUP(C98,'KO32'!$D$4:$D$65,1,0))&lt;4,32,999)</f>
        <v>999</v>
      </c>
      <c r="I98" s="160">
        <f ca="1">IF(TYPE(VLOOKUP(C98,'KO16'!$D$4:$D$33,1,0))&lt;4,16,999)</f>
        <v>999</v>
      </c>
      <c r="J98" s="160">
        <f ca="1">IF(TYPE(VLOOKUP(C98,'KO8'!$D$4:$D$17,1,0))&lt;4,8,999)</f>
        <v>999</v>
      </c>
      <c r="K98" s="160">
        <f ca="1">IF(TYPE(VLOOKUP(C98,'KO4'!$D$4:$D$9,1,0))&lt;4,4,999)</f>
        <v>999</v>
      </c>
      <c r="L98" s="160">
        <f>Start.listina!$K$7</f>
        <v>45</v>
      </c>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12" customHeight="1">
      <c r="A99" s="6" t="str">
        <f>IF(OR(Start.listina!H107&gt;Start.listina!$K$7,Start.listina!G107=TRUE),"",Start.listina!H107)</f>
        <v/>
      </c>
      <c r="B99" s="160" t="str">
        <f>IF(A99&gt;Start.listina!$K$7,"",ADDRESS(INT((A99-1)/$M$2)+1,IF(MOD(A99,$M$2)=0,IF(MOD(INT((A99-1)/$M$2)+1,2)=1,$M$2,1),IF(MOD(INT((A99-1)/$M$2)+1,2)=1,MOD(A99,$M$2),$M$2-MOD(A99,$M$2)+1)),4,1))</f>
        <v/>
      </c>
      <c r="C99" s="162" t="str">
        <f>Start.listina!$AL107</f>
        <v/>
      </c>
      <c r="D99" s="160" t="str">
        <f>IF(A99&gt;Start.listina!$K$7,"",INT((A99-1)/$M$2)+1)</f>
        <v/>
      </c>
      <c r="E99" s="160" t="str">
        <f>IF(A99&gt;Start.listina!$K$7,"",MIN(F99:L99))</f>
        <v/>
      </c>
      <c r="F99" s="160">
        <f ca="1">IF(TYPE(VLOOKUP(C99,Konečné_pořadí_1_16!$B$2:$D$17,3,0))&lt;4,VLOOKUP(C99,Konečné_pořadí_1_16!$B$2:$D$17,3,0),999)</f>
        <v>999</v>
      </c>
      <c r="G99" s="160">
        <f ca="1">IF(TYPE(VLOOKUP(C99,'KO64'!$D$4:$D$129,1,0))&lt;4,64,999)</f>
        <v>999</v>
      </c>
      <c r="H99" s="160">
        <f ca="1">IF(TYPE(VLOOKUP(C99,'KO32'!$D$4:$D$65,1,0))&lt;4,32,999)</f>
        <v>999</v>
      </c>
      <c r="I99" s="160">
        <f ca="1">IF(TYPE(VLOOKUP(C99,'KO16'!$D$4:$D$33,1,0))&lt;4,16,999)</f>
        <v>999</v>
      </c>
      <c r="J99" s="160">
        <f ca="1">IF(TYPE(VLOOKUP(C99,'KO8'!$D$4:$D$17,1,0))&lt;4,8,999)</f>
        <v>999</v>
      </c>
      <c r="K99" s="160">
        <f ca="1">IF(TYPE(VLOOKUP(C99,'KO4'!$D$4:$D$9,1,0))&lt;4,4,999)</f>
        <v>999</v>
      </c>
      <c r="L99" s="160">
        <f>Start.listina!$K$7</f>
        <v>45</v>
      </c>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12" customHeight="1">
      <c r="A100" s="6" t="str">
        <f>IF(OR(Start.listina!H108&gt;Start.listina!$K$7,Start.listina!G108=TRUE),"",Start.listina!H108)</f>
        <v/>
      </c>
      <c r="B100" s="160" t="str">
        <f>IF(A100&gt;Start.listina!$K$7,"",ADDRESS(INT((A100-1)/$M$2)+1,IF(MOD(A100,$M$2)=0,IF(MOD(INT((A100-1)/$M$2)+1,2)=1,$M$2,1),IF(MOD(INT((A100-1)/$M$2)+1,2)=1,MOD(A100,$M$2),$M$2-MOD(A100,$M$2)+1)),4,1))</f>
        <v/>
      </c>
      <c r="C100" s="162" t="str">
        <f>Start.listina!$AL108</f>
        <v/>
      </c>
      <c r="D100" s="160" t="str">
        <f>IF(A100&gt;Start.listina!$K$7,"",INT((A100-1)/$M$2)+1)</f>
        <v/>
      </c>
      <c r="E100" s="160" t="str">
        <f>IF(A100&gt;Start.listina!$K$7,"",MIN(F100:L100))</f>
        <v/>
      </c>
      <c r="F100" s="160">
        <f ca="1">IF(TYPE(VLOOKUP(C100,Konečné_pořadí_1_16!$B$2:$D$17,3,0))&lt;4,VLOOKUP(C100,Konečné_pořadí_1_16!$B$2:$D$17,3,0),999)</f>
        <v>999</v>
      </c>
      <c r="G100" s="160">
        <f ca="1">IF(TYPE(VLOOKUP(C100,'KO64'!$D$4:$D$129,1,0))&lt;4,64,999)</f>
        <v>999</v>
      </c>
      <c r="H100" s="160">
        <f ca="1">IF(TYPE(VLOOKUP(C100,'KO32'!$D$4:$D$65,1,0))&lt;4,32,999)</f>
        <v>999</v>
      </c>
      <c r="I100" s="160">
        <f ca="1">IF(TYPE(VLOOKUP(C100,'KO16'!$D$4:$D$33,1,0))&lt;4,16,999)</f>
        <v>999</v>
      </c>
      <c r="J100" s="160">
        <f ca="1">IF(TYPE(VLOOKUP(C100,'KO8'!$D$4:$D$17,1,0))&lt;4,8,999)</f>
        <v>999</v>
      </c>
      <c r="K100" s="160">
        <f ca="1">IF(TYPE(VLOOKUP(C100,'KO4'!$D$4:$D$9,1,0))&lt;4,4,999)</f>
        <v>999</v>
      </c>
      <c r="L100" s="160">
        <f>Start.listina!$K$7</f>
        <v>45</v>
      </c>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12" customHeight="1">
      <c r="A101" s="6" t="str">
        <f>IF(OR(Start.listina!H109&gt;Start.listina!$K$7,Start.listina!G109=TRUE),"",Start.listina!H109)</f>
        <v/>
      </c>
      <c r="B101" s="160" t="str">
        <f>IF(A101&gt;Start.listina!$K$7,"",ADDRESS(INT((A101-1)/$M$2)+1,IF(MOD(A101,$M$2)=0,IF(MOD(INT((A101-1)/$M$2)+1,2)=1,$M$2,1),IF(MOD(INT((A101-1)/$M$2)+1,2)=1,MOD(A101,$M$2),$M$2-MOD(A101,$M$2)+1)),4,1))</f>
        <v/>
      </c>
      <c r="C101" s="162" t="str">
        <f>Start.listina!$AL109</f>
        <v/>
      </c>
      <c r="D101" s="160" t="str">
        <f>IF(A101&gt;Start.listina!$K$7,"",INT((A101-1)/$M$2)+1)</f>
        <v/>
      </c>
      <c r="E101" s="160" t="str">
        <f>IF(A101&gt;Start.listina!$K$7,"",MIN(F101:L101))</f>
        <v/>
      </c>
      <c r="F101" s="160">
        <f ca="1">IF(TYPE(VLOOKUP(C101,Konečné_pořadí_1_16!$B$2:$D$17,3,0))&lt;4,VLOOKUP(C101,Konečné_pořadí_1_16!$B$2:$D$17,3,0),999)</f>
        <v>999</v>
      </c>
      <c r="G101" s="160">
        <f ca="1">IF(TYPE(VLOOKUP(C101,'KO64'!$D$4:$D$129,1,0))&lt;4,64,999)</f>
        <v>999</v>
      </c>
      <c r="H101" s="160">
        <f ca="1">IF(TYPE(VLOOKUP(C101,'KO32'!$D$4:$D$65,1,0))&lt;4,32,999)</f>
        <v>999</v>
      </c>
      <c r="I101" s="160">
        <f ca="1">IF(TYPE(VLOOKUP(C101,'KO16'!$D$4:$D$33,1,0))&lt;4,16,999)</f>
        <v>999</v>
      </c>
      <c r="J101" s="160">
        <f ca="1">IF(TYPE(VLOOKUP(C101,'KO8'!$D$4:$D$17,1,0))&lt;4,8,999)</f>
        <v>999</v>
      </c>
      <c r="K101" s="160">
        <f ca="1">IF(TYPE(VLOOKUP(C101,'KO4'!$D$4:$D$9,1,0))&lt;4,4,999)</f>
        <v>999</v>
      </c>
      <c r="L101" s="160">
        <f>Start.listina!$K$7</f>
        <v>45</v>
      </c>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12" customHeight="1">
      <c r="A102" s="6" t="str">
        <f>IF(OR(Start.listina!H110&gt;Start.listina!$K$7,Start.listina!G110=TRUE),"",Start.listina!H110)</f>
        <v/>
      </c>
      <c r="B102" s="160" t="str">
        <f>IF(A102&gt;Start.listina!$K$7,"",ADDRESS(INT((A102-1)/$M$2)+1,IF(MOD(A102,$M$2)=0,IF(MOD(INT((A102-1)/$M$2)+1,2)=1,$M$2,1),IF(MOD(INT((A102-1)/$M$2)+1,2)=1,MOD(A102,$M$2),$M$2-MOD(A102,$M$2)+1)),4,1))</f>
        <v/>
      </c>
      <c r="C102" s="162" t="str">
        <f>Start.listina!$AL110</f>
        <v/>
      </c>
      <c r="D102" s="160" t="str">
        <f>IF(A102&gt;Start.listina!$K$7,"",INT((A102-1)/$M$2)+1)</f>
        <v/>
      </c>
      <c r="E102" s="160" t="str">
        <f>IF(A102&gt;Start.listina!$K$7,"",MIN(F102:L102))</f>
        <v/>
      </c>
      <c r="F102" s="160">
        <f ca="1">IF(TYPE(VLOOKUP(C102,Konečné_pořadí_1_16!$B$2:$D$17,3,0))&lt;4,VLOOKUP(C102,Konečné_pořadí_1_16!$B$2:$D$17,3,0),999)</f>
        <v>999</v>
      </c>
      <c r="G102" s="160">
        <f ca="1">IF(TYPE(VLOOKUP(C102,'KO64'!$D$4:$D$129,1,0))&lt;4,64,999)</f>
        <v>999</v>
      </c>
      <c r="H102" s="160">
        <f ca="1">IF(TYPE(VLOOKUP(C102,'KO32'!$D$4:$D$65,1,0))&lt;4,32,999)</f>
        <v>999</v>
      </c>
      <c r="I102" s="160">
        <f ca="1">IF(TYPE(VLOOKUP(C102,'KO16'!$D$4:$D$33,1,0))&lt;4,16,999)</f>
        <v>999</v>
      </c>
      <c r="J102" s="160">
        <f ca="1">IF(TYPE(VLOOKUP(C102,'KO8'!$D$4:$D$17,1,0))&lt;4,8,999)</f>
        <v>999</v>
      </c>
      <c r="K102" s="160">
        <f ca="1">IF(TYPE(VLOOKUP(C102,'KO4'!$D$4:$D$9,1,0))&lt;4,4,999)</f>
        <v>999</v>
      </c>
      <c r="L102" s="160">
        <f>Start.listina!$K$7</f>
        <v>45</v>
      </c>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12" customHeight="1">
      <c r="A103" s="6" t="str">
        <f>IF(OR(Start.listina!H111&gt;Start.listina!$K$7,Start.listina!G111=TRUE),"",Start.listina!H111)</f>
        <v/>
      </c>
      <c r="B103" s="160" t="str">
        <f>IF(A103&gt;Start.listina!$K$7,"",ADDRESS(INT((A103-1)/$M$2)+1,IF(MOD(A103,$M$2)=0,IF(MOD(INT((A103-1)/$M$2)+1,2)=1,$M$2,1),IF(MOD(INT((A103-1)/$M$2)+1,2)=1,MOD(A103,$M$2),$M$2-MOD(A103,$M$2)+1)),4,1))</f>
        <v/>
      </c>
      <c r="C103" s="162" t="str">
        <f>Start.listina!$AL111</f>
        <v/>
      </c>
      <c r="D103" s="160" t="str">
        <f>IF(A103&gt;Start.listina!$K$7,"",INT((A103-1)/$M$2)+1)</f>
        <v/>
      </c>
      <c r="E103" s="160" t="str">
        <f>IF(A103&gt;Start.listina!$K$7,"",MIN(F103:L103))</f>
        <v/>
      </c>
      <c r="F103" s="160">
        <f ca="1">IF(TYPE(VLOOKUP(C103,Konečné_pořadí_1_16!$B$2:$D$17,3,0))&lt;4,VLOOKUP(C103,Konečné_pořadí_1_16!$B$2:$D$17,3,0),999)</f>
        <v>999</v>
      </c>
      <c r="G103" s="160">
        <f ca="1">IF(TYPE(VLOOKUP(C103,'KO64'!$D$4:$D$129,1,0))&lt;4,64,999)</f>
        <v>999</v>
      </c>
      <c r="H103" s="160">
        <f ca="1">IF(TYPE(VLOOKUP(C103,'KO32'!$D$4:$D$65,1,0))&lt;4,32,999)</f>
        <v>999</v>
      </c>
      <c r="I103" s="160">
        <f ca="1">IF(TYPE(VLOOKUP(C103,'KO16'!$D$4:$D$33,1,0))&lt;4,16,999)</f>
        <v>999</v>
      </c>
      <c r="J103" s="160">
        <f ca="1">IF(TYPE(VLOOKUP(C103,'KO8'!$D$4:$D$17,1,0))&lt;4,8,999)</f>
        <v>999</v>
      </c>
      <c r="K103" s="160">
        <f ca="1">IF(TYPE(VLOOKUP(C103,'KO4'!$D$4:$D$9,1,0))&lt;4,4,999)</f>
        <v>999</v>
      </c>
      <c r="L103" s="160">
        <f>Start.listina!$K$7</f>
        <v>45</v>
      </c>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12" customHeight="1">
      <c r="A104" s="6" t="str">
        <f>IF(OR(Start.listina!H112&gt;Start.listina!$K$7,Start.listina!G112=TRUE),"",Start.listina!H112)</f>
        <v/>
      </c>
      <c r="B104" s="160" t="str">
        <f>IF(A104&gt;Start.listina!$K$7,"",ADDRESS(INT((A104-1)/$M$2)+1,IF(MOD(A104,$M$2)=0,IF(MOD(INT((A104-1)/$M$2)+1,2)=1,$M$2,1),IF(MOD(INT((A104-1)/$M$2)+1,2)=1,MOD(A104,$M$2),$M$2-MOD(A104,$M$2)+1)),4,1))</f>
        <v/>
      </c>
      <c r="C104" s="162" t="str">
        <f>Start.listina!$AL112</f>
        <v/>
      </c>
      <c r="D104" s="160" t="str">
        <f>IF(A104&gt;Start.listina!$K$7,"",INT((A104-1)/$M$2)+1)</f>
        <v/>
      </c>
      <c r="E104" s="160" t="str">
        <f>IF(A104&gt;Start.listina!$K$7,"",MIN(F104:L104))</f>
        <v/>
      </c>
      <c r="F104" s="160">
        <f ca="1">IF(TYPE(VLOOKUP(C104,Konečné_pořadí_1_16!$B$2:$D$17,3,0))&lt;4,VLOOKUP(C104,Konečné_pořadí_1_16!$B$2:$D$17,3,0),999)</f>
        <v>999</v>
      </c>
      <c r="G104" s="160">
        <f ca="1">IF(TYPE(VLOOKUP(C104,'KO64'!$D$4:$D$129,1,0))&lt;4,64,999)</f>
        <v>999</v>
      </c>
      <c r="H104" s="160">
        <f ca="1">IF(TYPE(VLOOKUP(C104,'KO32'!$D$4:$D$65,1,0))&lt;4,32,999)</f>
        <v>999</v>
      </c>
      <c r="I104" s="160">
        <f ca="1">IF(TYPE(VLOOKUP(C104,'KO16'!$D$4:$D$33,1,0))&lt;4,16,999)</f>
        <v>999</v>
      </c>
      <c r="J104" s="160">
        <f ca="1">IF(TYPE(VLOOKUP(C104,'KO8'!$D$4:$D$17,1,0))&lt;4,8,999)</f>
        <v>999</v>
      </c>
      <c r="K104" s="160">
        <f ca="1">IF(TYPE(VLOOKUP(C104,'KO4'!$D$4:$D$9,1,0))&lt;4,4,999)</f>
        <v>999</v>
      </c>
      <c r="L104" s="160">
        <f>Start.listina!$K$7</f>
        <v>45</v>
      </c>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12" customHeight="1">
      <c r="A105" s="6" t="str">
        <f>IF(OR(Start.listina!H113&gt;Start.listina!$K$7,Start.listina!G113=TRUE),"",Start.listina!H113)</f>
        <v/>
      </c>
      <c r="B105" s="160" t="str">
        <f>IF(A105&gt;Start.listina!$K$7,"",ADDRESS(INT((A105-1)/$M$2)+1,IF(MOD(A105,$M$2)=0,IF(MOD(INT((A105-1)/$M$2)+1,2)=1,$M$2,1),IF(MOD(INT((A105-1)/$M$2)+1,2)=1,MOD(A105,$M$2),$M$2-MOD(A105,$M$2)+1)),4,1))</f>
        <v/>
      </c>
      <c r="C105" s="162" t="str">
        <f>Start.listina!$AL113</f>
        <v/>
      </c>
      <c r="D105" s="160" t="str">
        <f>IF(A105&gt;Start.listina!$K$7,"",INT((A105-1)/$M$2)+1)</f>
        <v/>
      </c>
      <c r="E105" s="160" t="str">
        <f>IF(A105&gt;Start.listina!$K$7,"",MIN(F105:L105))</f>
        <v/>
      </c>
      <c r="F105" s="160">
        <f ca="1">IF(TYPE(VLOOKUP(C105,Konečné_pořadí_1_16!$B$2:$D$17,3,0))&lt;4,VLOOKUP(C105,Konečné_pořadí_1_16!$B$2:$D$17,3,0),999)</f>
        <v>999</v>
      </c>
      <c r="G105" s="160">
        <f ca="1">IF(TYPE(VLOOKUP(C105,'KO64'!$D$4:$D$129,1,0))&lt;4,64,999)</f>
        <v>999</v>
      </c>
      <c r="H105" s="160">
        <f ca="1">IF(TYPE(VLOOKUP(C105,'KO32'!$D$4:$D$65,1,0))&lt;4,32,999)</f>
        <v>999</v>
      </c>
      <c r="I105" s="160">
        <f ca="1">IF(TYPE(VLOOKUP(C105,'KO16'!$D$4:$D$33,1,0))&lt;4,16,999)</f>
        <v>999</v>
      </c>
      <c r="J105" s="160">
        <f ca="1">IF(TYPE(VLOOKUP(C105,'KO8'!$D$4:$D$17,1,0))&lt;4,8,999)</f>
        <v>999</v>
      </c>
      <c r="K105" s="160">
        <f ca="1">IF(TYPE(VLOOKUP(C105,'KO4'!$D$4:$D$9,1,0))&lt;4,4,999)</f>
        <v>999</v>
      </c>
      <c r="L105" s="160">
        <f>Start.listina!$K$7</f>
        <v>45</v>
      </c>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12" customHeight="1">
      <c r="A106" s="6" t="str">
        <f>IF(OR(Start.listina!H114&gt;Start.listina!$K$7,Start.listina!G114=TRUE),"",Start.listina!H114)</f>
        <v/>
      </c>
      <c r="B106" s="160" t="str">
        <f>IF(A106&gt;Start.listina!$K$7,"",ADDRESS(INT((A106-1)/$M$2)+1,IF(MOD(A106,$M$2)=0,IF(MOD(INT((A106-1)/$M$2)+1,2)=1,$M$2,1),IF(MOD(INT((A106-1)/$M$2)+1,2)=1,MOD(A106,$M$2),$M$2-MOD(A106,$M$2)+1)),4,1))</f>
        <v/>
      </c>
      <c r="C106" s="162" t="str">
        <f>Start.listina!$AL114</f>
        <v/>
      </c>
      <c r="D106" s="160" t="str">
        <f>IF(A106&gt;Start.listina!$K$7,"",INT((A106-1)/$M$2)+1)</f>
        <v/>
      </c>
      <c r="E106" s="160" t="str">
        <f>IF(A106&gt;Start.listina!$K$7,"",MIN(F106:L106))</f>
        <v/>
      </c>
      <c r="F106" s="160">
        <f ca="1">IF(TYPE(VLOOKUP(C106,Konečné_pořadí_1_16!$B$2:$D$17,3,0))&lt;4,VLOOKUP(C106,Konečné_pořadí_1_16!$B$2:$D$17,3,0),999)</f>
        <v>999</v>
      </c>
      <c r="G106" s="160">
        <f ca="1">IF(TYPE(VLOOKUP(C106,'KO64'!$D$4:$D$129,1,0))&lt;4,64,999)</f>
        <v>999</v>
      </c>
      <c r="H106" s="160">
        <f ca="1">IF(TYPE(VLOOKUP(C106,'KO32'!$D$4:$D$65,1,0))&lt;4,32,999)</f>
        <v>999</v>
      </c>
      <c r="I106" s="160">
        <f ca="1">IF(TYPE(VLOOKUP(C106,'KO16'!$D$4:$D$33,1,0))&lt;4,16,999)</f>
        <v>999</v>
      </c>
      <c r="J106" s="160">
        <f ca="1">IF(TYPE(VLOOKUP(C106,'KO8'!$D$4:$D$17,1,0))&lt;4,8,999)</f>
        <v>999</v>
      </c>
      <c r="K106" s="160">
        <f ca="1">IF(TYPE(VLOOKUP(C106,'KO4'!$D$4:$D$9,1,0))&lt;4,4,999)</f>
        <v>999</v>
      </c>
      <c r="L106" s="160">
        <f>Start.listina!$K$7</f>
        <v>45</v>
      </c>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12" customHeight="1">
      <c r="A107" s="6" t="str">
        <f>IF(OR(Start.listina!H115&gt;Start.listina!$K$7,Start.listina!G115=TRUE),"",Start.listina!H115)</f>
        <v/>
      </c>
      <c r="B107" s="160" t="str">
        <f>IF(A107&gt;Start.listina!$K$7,"",ADDRESS(INT((A107-1)/$M$2)+1,IF(MOD(A107,$M$2)=0,IF(MOD(INT((A107-1)/$M$2)+1,2)=1,$M$2,1),IF(MOD(INT((A107-1)/$M$2)+1,2)=1,MOD(A107,$M$2),$M$2-MOD(A107,$M$2)+1)),4,1))</f>
        <v/>
      </c>
      <c r="C107" s="162" t="str">
        <f>Start.listina!$AL115</f>
        <v/>
      </c>
      <c r="D107" s="160" t="str">
        <f>IF(A107&gt;Start.listina!$K$7,"",INT((A107-1)/$M$2)+1)</f>
        <v/>
      </c>
      <c r="E107" s="160" t="str">
        <f>IF(A107&gt;Start.listina!$K$7,"",MIN(F107:L107))</f>
        <v/>
      </c>
      <c r="F107" s="160">
        <f ca="1">IF(TYPE(VLOOKUP(C107,Konečné_pořadí_1_16!$B$2:$D$17,3,0))&lt;4,VLOOKUP(C107,Konečné_pořadí_1_16!$B$2:$D$17,3,0),999)</f>
        <v>999</v>
      </c>
      <c r="G107" s="160">
        <f ca="1">IF(TYPE(VLOOKUP(C107,'KO64'!$D$4:$D$129,1,0))&lt;4,64,999)</f>
        <v>999</v>
      </c>
      <c r="H107" s="160">
        <f ca="1">IF(TYPE(VLOOKUP(C107,'KO32'!$D$4:$D$65,1,0))&lt;4,32,999)</f>
        <v>999</v>
      </c>
      <c r="I107" s="160">
        <f ca="1">IF(TYPE(VLOOKUP(C107,'KO16'!$D$4:$D$33,1,0))&lt;4,16,999)</f>
        <v>999</v>
      </c>
      <c r="J107" s="160">
        <f ca="1">IF(TYPE(VLOOKUP(C107,'KO8'!$D$4:$D$17,1,0))&lt;4,8,999)</f>
        <v>999</v>
      </c>
      <c r="K107" s="160">
        <f ca="1">IF(TYPE(VLOOKUP(C107,'KO4'!$D$4:$D$9,1,0))&lt;4,4,999)</f>
        <v>999</v>
      </c>
      <c r="L107" s="160">
        <f>Start.listina!$K$7</f>
        <v>45</v>
      </c>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12" customHeight="1">
      <c r="A108" s="6" t="str">
        <f>IF(OR(Start.listina!H116&gt;Start.listina!$K$7,Start.listina!G116=TRUE),"",Start.listina!H116)</f>
        <v/>
      </c>
      <c r="B108" s="160" t="str">
        <f>IF(A108&gt;Start.listina!$K$7,"",ADDRESS(INT((A108-1)/$M$2)+1,IF(MOD(A108,$M$2)=0,IF(MOD(INT((A108-1)/$M$2)+1,2)=1,$M$2,1),IF(MOD(INT((A108-1)/$M$2)+1,2)=1,MOD(A108,$M$2),$M$2-MOD(A108,$M$2)+1)),4,1))</f>
        <v/>
      </c>
      <c r="C108" s="162" t="str">
        <f>Start.listina!$AL116</f>
        <v/>
      </c>
      <c r="D108" s="160" t="str">
        <f>IF(A108&gt;Start.listina!$K$7,"",INT((A108-1)/$M$2)+1)</f>
        <v/>
      </c>
      <c r="E108" s="160" t="str">
        <f>IF(A108&gt;Start.listina!$K$7,"",MIN(F108:L108))</f>
        <v/>
      </c>
      <c r="F108" s="160">
        <f ca="1">IF(TYPE(VLOOKUP(C108,Konečné_pořadí_1_16!$B$2:$D$17,3,0))&lt;4,VLOOKUP(C108,Konečné_pořadí_1_16!$B$2:$D$17,3,0),999)</f>
        <v>999</v>
      </c>
      <c r="G108" s="160">
        <f ca="1">IF(TYPE(VLOOKUP(C108,'KO64'!$D$4:$D$129,1,0))&lt;4,64,999)</f>
        <v>999</v>
      </c>
      <c r="H108" s="160">
        <f ca="1">IF(TYPE(VLOOKUP(C108,'KO32'!$D$4:$D$65,1,0))&lt;4,32,999)</f>
        <v>999</v>
      </c>
      <c r="I108" s="160">
        <f ca="1">IF(TYPE(VLOOKUP(C108,'KO16'!$D$4:$D$33,1,0))&lt;4,16,999)</f>
        <v>999</v>
      </c>
      <c r="J108" s="160">
        <f ca="1">IF(TYPE(VLOOKUP(C108,'KO8'!$D$4:$D$17,1,0))&lt;4,8,999)</f>
        <v>999</v>
      </c>
      <c r="K108" s="160">
        <f ca="1">IF(TYPE(VLOOKUP(C108,'KO4'!$D$4:$D$9,1,0))&lt;4,4,999)</f>
        <v>999</v>
      </c>
      <c r="L108" s="160">
        <f>Start.listina!$K$7</f>
        <v>45</v>
      </c>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12" customHeight="1">
      <c r="A109" s="6" t="str">
        <f>IF(OR(Start.listina!H117&gt;Start.listina!$K$7,Start.listina!G117=TRUE),"",Start.listina!H117)</f>
        <v/>
      </c>
      <c r="B109" s="160" t="str">
        <f>IF(A109&gt;Start.listina!$K$7,"",ADDRESS(INT((A109-1)/$M$2)+1,IF(MOD(A109,$M$2)=0,IF(MOD(INT((A109-1)/$M$2)+1,2)=1,$M$2,1),IF(MOD(INT((A109-1)/$M$2)+1,2)=1,MOD(A109,$M$2),$M$2-MOD(A109,$M$2)+1)),4,1))</f>
        <v/>
      </c>
      <c r="C109" s="162" t="str">
        <f>Start.listina!$AL117</f>
        <v/>
      </c>
      <c r="D109" s="160" t="str">
        <f>IF(A109&gt;Start.listina!$K$7,"",INT((A109-1)/$M$2)+1)</f>
        <v/>
      </c>
      <c r="E109" s="160" t="str">
        <f>IF(A109&gt;Start.listina!$K$7,"",MIN(F109:L109))</f>
        <v/>
      </c>
      <c r="F109" s="160">
        <f ca="1">IF(TYPE(VLOOKUP(C109,Konečné_pořadí_1_16!$B$2:$D$17,3,0))&lt;4,VLOOKUP(C109,Konečné_pořadí_1_16!$B$2:$D$17,3,0),999)</f>
        <v>999</v>
      </c>
      <c r="G109" s="160">
        <f ca="1">IF(TYPE(VLOOKUP(C109,'KO64'!$D$4:$D$129,1,0))&lt;4,64,999)</f>
        <v>999</v>
      </c>
      <c r="H109" s="160">
        <f ca="1">IF(TYPE(VLOOKUP(C109,'KO32'!$D$4:$D$65,1,0))&lt;4,32,999)</f>
        <v>999</v>
      </c>
      <c r="I109" s="160">
        <f ca="1">IF(TYPE(VLOOKUP(C109,'KO16'!$D$4:$D$33,1,0))&lt;4,16,999)</f>
        <v>999</v>
      </c>
      <c r="J109" s="160">
        <f ca="1">IF(TYPE(VLOOKUP(C109,'KO8'!$D$4:$D$17,1,0))&lt;4,8,999)</f>
        <v>999</v>
      </c>
      <c r="K109" s="160">
        <f ca="1">IF(TYPE(VLOOKUP(C109,'KO4'!$D$4:$D$9,1,0))&lt;4,4,999)</f>
        <v>999</v>
      </c>
      <c r="L109" s="160">
        <f>Start.listina!$K$7</f>
        <v>45</v>
      </c>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12" customHeight="1">
      <c r="A110" s="6" t="str">
        <f>IF(OR(Start.listina!H118&gt;Start.listina!$K$7,Start.listina!G118=TRUE),"",Start.listina!H118)</f>
        <v/>
      </c>
      <c r="B110" s="160" t="str">
        <f>IF(A110&gt;Start.listina!$K$7,"",ADDRESS(INT((A110-1)/$M$2)+1,IF(MOD(A110,$M$2)=0,IF(MOD(INT((A110-1)/$M$2)+1,2)=1,$M$2,1),IF(MOD(INT((A110-1)/$M$2)+1,2)=1,MOD(A110,$M$2),$M$2-MOD(A110,$M$2)+1)),4,1))</f>
        <v/>
      </c>
      <c r="C110" s="162" t="str">
        <f>Start.listina!$AL118</f>
        <v/>
      </c>
      <c r="D110" s="160" t="str">
        <f>IF(A110&gt;Start.listina!$K$7,"",INT((A110-1)/$M$2)+1)</f>
        <v/>
      </c>
      <c r="E110" s="160" t="str">
        <f>IF(A110&gt;Start.listina!$K$7,"",MIN(F110:L110))</f>
        <v/>
      </c>
      <c r="F110" s="160">
        <f ca="1">IF(TYPE(VLOOKUP(C110,Konečné_pořadí_1_16!$B$2:$D$17,3,0))&lt;4,VLOOKUP(C110,Konečné_pořadí_1_16!$B$2:$D$17,3,0),999)</f>
        <v>999</v>
      </c>
      <c r="G110" s="160">
        <f ca="1">IF(TYPE(VLOOKUP(C110,'KO64'!$D$4:$D$129,1,0))&lt;4,64,999)</f>
        <v>999</v>
      </c>
      <c r="H110" s="160">
        <f ca="1">IF(TYPE(VLOOKUP(C110,'KO32'!$D$4:$D$65,1,0))&lt;4,32,999)</f>
        <v>999</v>
      </c>
      <c r="I110" s="160">
        <f ca="1">IF(TYPE(VLOOKUP(C110,'KO16'!$D$4:$D$33,1,0))&lt;4,16,999)</f>
        <v>999</v>
      </c>
      <c r="J110" s="160">
        <f ca="1">IF(TYPE(VLOOKUP(C110,'KO8'!$D$4:$D$17,1,0))&lt;4,8,999)</f>
        <v>999</v>
      </c>
      <c r="K110" s="160">
        <f ca="1">IF(TYPE(VLOOKUP(C110,'KO4'!$D$4:$D$9,1,0))&lt;4,4,999)</f>
        <v>999</v>
      </c>
      <c r="L110" s="160">
        <f>Start.listina!$K$7</f>
        <v>45</v>
      </c>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12" customHeight="1">
      <c r="A111" s="6" t="str">
        <f>IF(OR(Start.listina!H119&gt;Start.listina!$K$7,Start.listina!G119=TRUE),"",Start.listina!H119)</f>
        <v/>
      </c>
      <c r="B111" s="160" t="str">
        <f>IF(A111&gt;Start.listina!$K$7,"",ADDRESS(INT((A111-1)/$M$2)+1,IF(MOD(A111,$M$2)=0,IF(MOD(INT((A111-1)/$M$2)+1,2)=1,$M$2,1),IF(MOD(INT((A111-1)/$M$2)+1,2)=1,MOD(A111,$M$2),$M$2-MOD(A111,$M$2)+1)),4,1))</f>
        <v/>
      </c>
      <c r="C111" s="162" t="str">
        <f>Start.listina!$AL119</f>
        <v/>
      </c>
      <c r="D111" s="160" t="str">
        <f>IF(A111&gt;Start.listina!$K$7,"",INT((A111-1)/$M$2)+1)</f>
        <v/>
      </c>
      <c r="E111" s="160" t="str">
        <f>IF(A111&gt;Start.listina!$K$7,"",MIN(F111:L111))</f>
        <v/>
      </c>
      <c r="F111" s="160">
        <f ca="1">IF(TYPE(VLOOKUP(C111,Konečné_pořadí_1_16!$B$2:$D$17,3,0))&lt;4,VLOOKUP(C111,Konečné_pořadí_1_16!$B$2:$D$17,3,0),999)</f>
        <v>999</v>
      </c>
      <c r="G111" s="160">
        <f ca="1">IF(TYPE(VLOOKUP(C111,'KO64'!$D$4:$D$129,1,0))&lt;4,64,999)</f>
        <v>999</v>
      </c>
      <c r="H111" s="160">
        <f ca="1">IF(TYPE(VLOOKUP(C111,'KO32'!$D$4:$D$65,1,0))&lt;4,32,999)</f>
        <v>999</v>
      </c>
      <c r="I111" s="160">
        <f ca="1">IF(TYPE(VLOOKUP(C111,'KO16'!$D$4:$D$33,1,0))&lt;4,16,999)</f>
        <v>999</v>
      </c>
      <c r="J111" s="160">
        <f ca="1">IF(TYPE(VLOOKUP(C111,'KO8'!$D$4:$D$17,1,0))&lt;4,8,999)</f>
        <v>999</v>
      </c>
      <c r="K111" s="160">
        <f ca="1">IF(TYPE(VLOOKUP(C111,'KO4'!$D$4:$D$9,1,0))&lt;4,4,999)</f>
        <v>999</v>
      </c>
      <c r="L111" s="160">
        <f>Start.listina!$K$7</f>
        <v>45</v>
      </c>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12" customHeight="1">
      <c r="A112" s="6" t="str">
        <f>IF(OR(Start.listina!H120&gt;Start.listina!$K$7,Start.listina!G120=TRUE),"",Start.listina!H120)</f>
        <v/>
      </c>
      <c r="B112" s="160" t="str">
        <f>IF(A112&gt;Start.listina!$K$7,"",ADDRESS(INT((A112-1)/$M$2)+1,IF(MOD(A112,$M$2)=0,IF(MOD(INT((A112-1)/$M$2)+1,2)=1,$M$2,1),IF(MOD(INT((A112-1)/$M$2)+1,2)=1,MOD(A112,$M$2),$M$2-MOD(A112,$M$2)+1)),4,1))</f>
        <v/>
      </c>
      <c r="C112" s="162" t="str">
        <f>Start.listina!$AL120</f>
        <v/>
      </c>
      <c r="D112" s="160" t="str">
        <f>IF(A112&gt;Start.listina!$K$7,"",INT((A112-1)/$M$2)+1)</f>
        <v/>
      </c>
      <c r="E112" s="160" t="str">
        <f>IF(A112&gt;Start.listina!$K$7,"",MIN(F112:L112))</f>
        <v/>
      </c>
      <c r="F112" s="160">
        <f ca="1">IF(TYPE(VLOOKUP(C112,Konečné_pořadí_1_16!$B$2:$D$17,3,0))&lt;4,VLOOKUP(C112,Konečné_pořadí_1_16!$B$2:$D$17,3,0),999)</f>
        <v>999</v>
      </c>
      <c r="G112" s="160">
        <f ca="1">IF(TYPE(VLOOKUP(C112,'KO64'!$D$4:$D$129,1,0))&lt;4,64,999)</f>
        <v>999</v>
      </c>
      <c r="H112" s="160">
        <f ca="1">IF(TYPE(VLOOKUP(C112,'KO32'!$D$4:$D$65,1,0))&lt;4,32,999)</f>
        <v>999</v>
      </c>
      <c r="I112" s="160">
        <f ca="1">IF(TYPE(VLOOKUP(C112,'KO16'!$D$4:$D$33,1,0))&lt;4,16,999)</f>
        <v>999</v>
      </c>
      <c r="J112" s="160">
        <f ca="1">IF(TYPE(VLOOKUP(C112,'KO8'!$D$4:$D$17,1,0))&lt;4,8,999)</f>
        <v>999</v>
      </c>
      <c r="K112" s="160">
        <f ca="1">IF(TYPE(VLOOKUP(C112,'KO4'!$D$4:$D$9,1,0))&lt;4,4,999)</f>
        <v>999</v>
      </c>
      <c r="L112" s="160">
        <f>Start.listina!$K$7</f>
        <v>45</v>
      </c>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12" customHeight="1">
      <c r="A113" s="6" t="str">
        <f>IF(OR(Start.listina!H121&gt;Start.listina!$K$7,Start.listina!G121=TRUE),"",Start.listina!H121)</f>
        <v/>
      </c>
      <c r="B113" s="160" t="str">
        <f>IF(A113&gt;Start.listina!$K$7,"",ADDRESS(INT((A113-1)/$M$2)+1,IF(MOD(A113,$M$2)=0,IF(MOD(INT((A113-1)/$M$2)+1,2)=1,$M$2,1),IF(MOD(INT((A113-1)/$M$2)+1,2)=1,MOD(A113,$M$2),$M$2-MOD(A113,$M$2)+1)),4,1))</f>
        <v/>
      </c>
      <c r="C113" s="162" t="str">
        <f>Start.listina!$AL121</f>
        <v/>
      </c>
      <c r="D113" s="160" t="str">
        <f>IF(A113&gt;Start.listina!$K$7,"",INT((A113-1)/$M$2)+1)</f>
        <v/>
      </c>
      <c r="E113" s="160" t="str">
        <f>IF(A113&gt;Start.listina!$K$7,"",MIN(F113:L113))</f>
        <v/>
      </c>
      <c r="F113" s="160">
        <f ca="1">IF(TYPE(VLOOKUP(C113,Konečné_pořadí_1_16!$B$2:$D$17,3,0))&lt;4,VLOOKUP(C113,Konečné_pořadí_1_16!$B$2:$D$17,3,0),999)</f>
        <v>999</v>
      </c>
      <c r="G113" s="160">
        <f ca="1">IF(TYPE(VLOOKUP(C113,'KO64'!$D$4:$D$129,1,0))&lt;4,64,999)</f>
        <v>999</v>
      </c>
      <c r="H113" s="160">
        <f ca="1">IF(TYPE(VLOOKUP(C113,'KO32'!$D$4:$D$65,1,0))&lt;4,32,999)</f>
        <v>999</v>
      </c>
      <c r="I113" s="160">
        <f ca="1">IF(TYPE(VLOOKUP(C113,'KO16'!$D$4:$D$33,1,0))&lt;4,16,999)</f>
        <v>999</v>
      </c>
      <c r="J113" s="160">
        <f ca="1">IF(TYPE(VLOOKUP(C113,'KO8'!$D$4:$D$17,1,0))&lt;4,8,999)</f>
        <v>999</v>
      </c>
      <c r="K113" s="160">
        <f ca="1">IF(TYPE(VLOOKUP(C113,'KO4'!$D$4:$D$9,1,0))&lt;4,4,999)</f>
        <v>999</v>
      </c>
      <c r="L113" s="160">
        <f>Start.listina!$K$7</f>
        <v>45</v>
      </c>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12" customHeight="1">
      <c r="A114" s="6" t="str">
        <f>IF(OR(Start.listina!H122&gt;Start.listina!$K$7,Start.listina!G122=TRUE),"",Start.listina!H122)</f>
        <v/>
      </c>
      <c r="B114" s="160" t="str">
        <f>IF(A114&gt;Start.listina!$K$7,"",ADDRESS(INT((A114-1)/$M$2)+1,IF(MOD(A114,$M$2)=0,IF(MOD(INT((A114-1)/$M$2)+1,2)=1,$M$2,1),IF(MOD(INT((A114-1)/$M$2)+1,2)=1,MOD(A114,$M$2),$M$2-MOD(A114,$M$2)+1)),4,1))</f>
        <v/>
      </c>
      <c r="C114" s="162" t="str">
        <f>Start.listina!$AL122</f>
        <v/>
      </c>
      <c r="D114" s="160" t="str">
        <f>IF(A114&gt;Start.listina!$K$7,"",INT((A114-1)/$M$2)+1)</f>
        <v/>
      </c>
      <c r="E114" s="160" t="str">
        <f>IF(A114&gt;Start.listina!$K$7,"",MIN(F114:L114))</f>
        <v/>
      </c>
      <c r="F114" s="160">
        <f ca="1">IF(TYPE(VLOOKUP(C114,Konečné_pořadí_1_16!$B$2:$D$17,3,0))&lt;4,VLOOKUP(C114,Konečné_pořadí_1_16!$B$2:$D$17,3,0),999)</f>
        <v>999</v>
      </c>
      <c r="G114" s="160">
        <f ca="1">IF(TYPE(VLOOKUP(C114,'KO64'!$D$4:$D$129,1,0))&lt;4,64,999)</f>
        <v>999</v>
      </c>
      <c r="H114" s="160">
        <f ca="1">IF(TYPE(VLOOKUP(C114,'KO32'!$D$4:$D$65,1,0))&lt;4,32,999)</f>
        <v>999</v>
      </c>
      <c r="I114" s="160">
        <f ca="1">IF(TYPE(VLOOKUP(C114,'KO16'!$D$4:$D$33,1,0))&lt;4,16,999)</f>
        <v>999</v>
      </c>
      <c r="J114" s="160">
        <f ca="1">IF(TYPE(VLOOKUP(C114,'KO8'!$D$4:$D$17,1,0))&lt;4,8,999)</f>
        <v>999</v>
      </c>
      <c r="K114" s="160">
        <f ca="1">IF(TYPE(VLOOKUP(C114,'KO4'!$D$4:$D$9,1,0))&lt;4,4,999)</f>
        <v>999</v>
      </c>
      <c r="L114" s="160">
        <f>Start.listina!$K$7</f>
        <v>45</v>
      </c>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12" customHeight="1">
      <c r="A115" s="6" t="str">
        <f>IF(OR(Start.listina!H123&gt;Start.listina!$K$7,Start.listina!G123=TRUE),"",Start.listina!H123)</f>
        <v/>
      </c>
      <c r="B115" s="160" t="str">
        <f>IF(A115&gt;Start.listina!$K$7,"",ADDRESS(INT((A115-1)/$M$2)+1,IF(MOD(A115,$M$2)=0,IF(MOD(INT((A115-1)/$M$2)+1,2)=1,$M$2,1),IF(MOD(INT((A115-1)/$M$2)+1,2)=1,MOD(A115,$M$2),$M$2-MOD(A115,$M$2)+1)),4,1))</f>
        <v/>
      </c>
      <c r="C115" s="162" t="str">
        <f>Start.listina!$AL123</f>
        <v/>
      </c>
      <c r="D115" s="160" t="str">
        <f>IF(A115&gt;Start.listina!$K$7,"",INT((A115-1)/$M$2)+1)</f>
        <v/>
      </c>
      <c r="E115" s="160" t="str">
        <f>IF(A115&gt;Start.listina!$K$7,"",MIN(F115:L115))</f>
        <v/>
      </c>
      <c r="F115" s="160">
        <f ca="1">IF(TYPE(VLOOKUP(C115,Konečné_pořadí_1_16!$B$2:$D$17,3,0))&lt;4,VLOOKUP(C115,Konečné_pořadí_1_16!$B$2:$D$17,3,0),999)</f>
        <v>999</v>
      </c>
      <c r="G115" s="160">
        <f ca="1">IF(TYPE(VLOOKUP(C115,'KO64'!$D$4:$D$129,1,0))&lt;4,64,999)</f>
        <v>999</v>
      </c>
      <c r="H115" s="160">
        <f ca="1">IF(TYPE(VLOOKUP(C115,'KO32'!$D$4:$D$65,1,0))&lt;4,32,999)</f>
        <v>999</v>
      </c>
      <c r="I115" s="160">
        <f ca="1">IF(TYPE(VLOOKUP(C115,'KO16'!$D$4:$D$33,1,0))&lt;4,16,999)</f>
        <v>999</v>
      </c>
      <c r="J115" s="160">
        <f ca="1">IF(TYPE(VLOOKUP(C115,'KO8'!$D$4:$D$17,1,0))&lt;4,8,999)</f>
        <v>999</v>
      </c>
      <c r="K115" s="160">
        <f ca="1">IF(TYPE(VLOOKUP(C115,'KO4'!$D$4:$D$9,1,0))&lt;4,4,999)</f>
        <v>999</v>
      </c>
      <c r="L115" s="160">
        <f>Start.listina!$K$7</f>
        <v>45</v>
      </c>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12" customHeight="1">
      <c r="A116" s="6" t="str">
        <f>IF(OR(Start.listina!H124&gt;Start.listina!$K$7,Start.listina!G124=TRUE),"",Start.listina!H124)</f>
        <v/>
      </c>
      <c r="B116" s="160" t="str">
        <f>IF(A116&gt;Start.listina!$K$7,"",ADDRESS(INT((A116-1)/$M$2)+1,IF(MOD(A116,$M$2)=0,IF(MOD(INT((A116-1)/$M$2)+1,2)=1,$M$2,1),IF(MOD(INT((A116-1)/$M$2)+1,2)=1,MOD(A116,$M$2),$M$2-MOD(A116,$M$2)+1)),4,1))</f>
        <v/>
      </c>
      <c r="C116" s="162" t="str">
        <f>Start.listina!$AL124</f>
        <v/>
      </c>
      <c r="D116" s="160" t="str">
        <f>IF(A116&gt;Start.listina!$K$7,"",INT((A116-1)/$M$2)+1)</f>
        <v/>
      </c>
      <c r="E116" s="160" t="str">
        <f>IF(A116&gt;Start.listina!$K$7,"",MIN(F116:L116))</f>
        <v/>
      </c>
      <c r="F116" s="160">
        <f ca="1">IF(TYPE(VLOOKUP(C116,Konečné_pořadí_1_16!$B$2:$D$17,3,0))&lt;4,VLOOKUP(C116,Konečné_pořadí_1_16!$B$2:$D$17,3,0),999)</f>
        <v>999</v>
      </c>
      <c r="G116" s="160">
        <f ca="1">IF(TYPE(VLOOKUP(C116,'KO64'!$D$4:$D$129,1,0))&lt;4,64,999)</f>
        <v>999</v>
      </c>
      <c r="H116" s="160">
        <f ca="1">IF(TYPE(VLOOKUP(C116,'KO32'!$D$4:$D$65,1,0))&lt;4,32,999)</f>
        <v>999</v>
      </c>
      <c r="I116" s="160">
        <f ca="1">IF(TYPE(VLOOKUP(C116,'KO16'!$D$4:$D$33,1,0))&lt;4,16,999)</f>
        <v>999</v>
      </c>
      <c r="J116" s="160">
        <f ca="1">IF(TYPE(VLOOKUP(C116,'KO8'!$D$4:$D$17,1,0))&lt;4,8,999)</f>
        <v>999</v>
      </c>
      <c r="K116" s="160">
        <f ca="1">IF(TYPE(VLOOKUP(C116,'KO4'!$D$4:$D$9,1,0))&lt;4,4,999)</f>
        <v>999</v>
      </c>
      <c r="L116" s="160">
        <f>Start.listina!$K$7</f>
        <v>45</v>
      </c>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12" customHeight="1">
      <c r="A117" s="6" t="str">
        <f>IF(OR(Start.listina!H125&gt;Start.listina!$K$7,Start.listina!G125=TRUE),"",Start.listina!H125)</f>
        <v/>
      </c>
      <c r="B117" s="160" t="str">
        <f>IF(A117&gt;Start.listina!$K$7,"",ADDRESS(INT((A117-1)/$M$2)+1,IF(MOD(A117,$M$2)=0,IF(MOD(INT((A117-1)/$M$2)+1,2)=1,$M$2,1),IF(MOD(INT((A117-1)/$M$2)+1,2)=1,MOD(A117,$M$2),$M$2-MOD(A117,$M$2)+1)),4,1))</f>
        <v/>
      </c>
      <c r="C117" s="162" t="str">
        <f>Start.listina!$AL125</f>
        <v/>
      </c>
      <c r="D117" s="160" t="str">
        <f>IF(A117&gt;Start.listina!$K$7,"",INT((A117-1)/$M$2)+1)</f>
        <v/>
      </c>
      <c r="E117" s="160" t="str">
        <f>IF(A117&gt;Start.listina!$K$7,"",MIN(F117:L117))</f>
        <v/>
      </c>
      <c r="F117" s="160">
        <f ca="1">IF(TYPE(VLOOKUP(C117,Konečné_pořadí_1_16!$B$2:$D$17,3,0))&lt;4,VLOOKUP(C117,Konečné_pořadí_1_16!$B$2:$D$17,3,0),999)</f>
        <v>999</v>
      </c>
      <c r="G117" s="160">
        <f ca="1">IF(TYPE(VLOOKUP(C117,'KO64'!$D$4:$D$129,1,0))&lt;4,64,999)</f>
        <v>999</v>
      </c>
      <c r="H117" s="160">
        <f ca="1">IF(TYPE(VLOOKUP(C117,'KO32'!$D$4:$D$65,1,0))&lt;4,32,999)</f>
        <v>999</v>
      </c>
      <c r="I117" s="160">
        <f ca="1">IF(TYPE(VLOOKUP(C117,'KO16'!$D$4:$D$33,1,0))&lt;4,16,999)</f>
        <v>999</v>
      </c>
      <c r="J117" s="160">
        <f ca="1">IF(TYPE(VLOOKUP(C117,'KO8'!$D$4:$D$17,1,0))&lt;4,8,999)</f>
        <v>999</v>
      </c>
      <c r="K117" s="160">
        <f ca="1">IF(TYPE(VLOOKUP(C117,'KO4'!$D$4:$D$9,1,0))&lt;4,4,999)</f>
        <v>999</v>
      </c>
      <c r="L117" s="160">
        <f>Start.listina!$K$7</f>
        <v>45</v>
      </c>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12" customHeight="1">
      <c r="A118" s="6" t="str">
        <f>IF(OR(Start.listina!H126&gt;Start.listina!$K$7,Start.listina!G126=TRUE),"",Start.listina!H126)</f>
        <v/>
      </c>
      <c r="B118" s="160" t="str">
        <f>IF(A118&gt;Start.listina!$K$7,"",ADDRESS(INT((A118-1)/$M$2)+1,IF(MOD(A118,$M$2)=0,IF(MOD(INT((A118-1)/$M$2)+1,2)=1,$M$2,1),IF(MOD(INT((A118-1)/$M$2)+1,2)=1,MOD(A118,$M$2),$M$2-MOD(A118,$M$2)+1)),4,1))</f>
        <v/>
      </c>
      <c r="C118" s="162" t="str">
        <f>Start.listina!$AL126</f>
        <v/>
      </c>
      <c r="D118" s="160" t="str">
        <f>IF(A118&gt;Start.listina!$K$7,"",INT((A118-1)/$M$2)+1)</f>
        <v/>
      </c>
      <c r="E118" s="160" t="str">
        <f>IF(A118&gt;Start.listina!$K$7,"",MIN(F118:L118))</f>
        <v/>
      </c>
      <c r="F118" s="160">
        <f ca="1">IF(TYPE(VLOOKUP(C118,Konečné_pořadí_1_16!$B$2:$D$17,3,0))&lt;4,VLOOKUP(C118,Konečné_pořadí_1_16!$B$2:$D$17,3,0),999)</f>
        <v>999</v>
      </c>
      <c r="G118" s="160">
        <f ca="1">IF(TYPE(VLOOKUP(C118,'KO64'!$D$4:$D$129,1,0))&lt;4,64,999)</f>
        <v>999</v>
      </c>
      <c r="H118" s="160">
        <f ca="1">IF(TYPE(VLOOKUP(C118,'KO32'!$D$4:$D$65,1,0))&lt;4,32,999)</f>
        <v>999</v>
      </c>
      <c r="I118" s="160">
        <f ca="1">IF(TYPE(VLOOKUP(C118,'KO16'!$D$4:$D$33,1,0))&lt;4,16,999)</f>
        <v>999</v>
      </c>
      <c r="J118" s="160">
        <f ca="1">IF(TYPE(VLOOKUP(C118,'KO8'!$D$4:$D$17,1,0))&lt;4,8,999)</f>
        <v>999</v>
      </c>
      <c r="K118" s="160">
        <f ca="1">IF(TYPE(VLOOKUP(C118,'KO4'!$D$4:$D$9,1,0))&lt;4,4,999)</f>
        <v>999</v>
      </c>
      <c r="L118" s="160">
        <f>Start.listina!$K$7</f>
        <v>45</v>
      </c>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12" customHeight="1">
      <c r="A119" s="6" t="str">
        <f>IF(OR(Start.listina!H127&gt;Start.listina!$K$7,Start.listina!G127=TRUE),"",Start.listina!H127)</f>
        <v/>
      </c>
      <c r="B119" s="160" t="str">
        <f>IF(A119&gt;Start.listina!$K$7,"",ADDRESS(INT((A119-1)/$M$2)+1,IF(MOD(A119,$M$2)=0,IF(MOD(INT((A119-1)/$M$2)+1,2)=1,$M$2,1),IF(MOD(INT((A119-1)/$M$2)+1,2)=1,MOD(A119,$M$2),$M$2-MOD(A119,$M$2)+1)),4,1))</f>
        <v/>
      </c>
      <c r="C119" s="162" t="str">
        <f>Start.listina!$AL127</f>
        <v/>
      </c>
      <c r="D119" s="160" t="str">
        <f>IF(A119&gt;Start.listina!$K$7,"",INT((A119-1)/$M$2)+1)</f>
        <v/>
      </c>
      <c r="E119" s="160" t="str">
        <f>IF(A119&gt;Start.listina!$K$7,"",MIN(F119:L119))</f>
        <v/>
      </c>
      <c r="F119" s="160">
        <f ca="1">IF(TYPE(VLOOKUP(C119,Konečné_pořadí_1_16!$B$2:$D$17,3,0))&lt;4,VLOOKUP(C119,Konečné_pořadí_1_16!$B$2:$D$17,3,0),999)</f>
        <v>999</v>
      </c>
      <c r="G119" s="160">
        <f ca="1">IF(TYPE(VLOOKUP(C119,'KO64'!$D$4:$D$129,1,0))&lt;4,64,999)</f>
        <v>999</v>
      </c>
      <c r="H119" s="160">
        <f ca="1">IF(TYPE(VLOOKUP(C119,'KO32'!$D$4:$D$65,1,0))&lt;4,32,999)</f>
        <v>999</v>
      </c>
      <c r="I119" s="160">
        <f ca="1">IF(TYPE(VLOOKUP(C119,'KO16'!$D$4:$D$33,1,0))&lt;4,16,999)</f>
        <v>999</v>
      </c>
      <c r="J119" s="160">
        <f ca="1">IF(TYPE(VLOOKUP(C119,'KO8'!$D$4:$D$17,1,0))&lt;4,8,999)</f>
        <v>999</v>
      </c>
      <c r="K119" s="160">
        <f ca="1">IF(TYPE(VLOOKUP(C119,'KO4'!$D$4:$D$9,1,0))&lt;4,4,999)</f>
        <v>999</v>
      </c>
      <c r="L119" s="160">
        <f>Start.listina!$K$7</f>
        <v>45</v>
      </c>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12" customHeight="1">
      <c r="A120" s="6" t="str">
        <f>IF(OR(Start.listina!H128&gt;Start.listina!$K$7,Start.listina!G128=TRUE),"",Start.listina!H128)</f>
        <v/>
      </c>
      <c r="B120" s="160" t="str">
        <f>IF(A120&gt;Start.listina!$K$7,"",ADDRESS(INT((A120-1)/$M$2)+1,IF(MOD(A120,$M$2)=0,IF(MOD(INT((A120-1)/$M$2)+1,2)=1,$M$2,1),IF(MOD(INT((A120-1)/$M$2)+1,2)=1,MOD(A120,$M$2),$M$2-MOD(A120,$M$2)+1)),4,1))</f>
        <v/>
      </c>
      <c r="C120" s="162" t="str">
        <f>Start.listina!$AL128</f>
        <v/>
      </c>
      <c r="D120" s="160" t="str">
        <f>IF(A120&gt;Start.listina!$K$7,"",INT((A120-1)/$M$2)+1)</f>
        <v/>
      </c>
      <c r="E120" s="160" t="str">
        <f>IF(A120&gt;Start.listina!$K$7,"",MIN(F120:L120))</f>
        <v/>
      </c>
      <c r="F120" s="160">
        <f ca="1">IF(TYPE(VLOOKUP(C120,Konečné_pořadí_1_16!$B$2:$D$17,3,0))&lt;4,VLOOKUP(C120,Konečné_pořadí_1_16!$B$2:$D$17,3,0),999)</f>
        <v>999</v>
      </c>
      <c r="G120" s="160">
        <f ca="1">IF(TYPE(VLOOKUP(C120,'KO64'!$D$4:$D$129,1,0))&lt;4,64,999)</f>
        <v>999</v>
      </c>
      <c r="H120" s="160">
        <f ca="1">IF(TYPE(VLOOKUP(C120,'KO32'!$D$4:$D$65,1,0))&lt;4,32,999)</f>
        <v>999</v>
      </c>
      <c r="I120" s="160">
        <f ca="1">IF(TYPE(VLOOKUP(C120,'KO16'!$D$4:$D$33,1,0))&lt;4,16,999)</f>
        <v>999</v>
      </c>
      <c r="J120" s="160">
        <f ca="1">IF(TYPE(VLOOKUP(C120,'KO8'!$D$4:$D$17,1,0))&lt;4,8,999)</f>
        <v>999</v>
      </c>
      <c r="K120" s="160">
        <f ca="1">IF(TYPE(VLOOKUP(C120,'KO4'!$D$4:$D$9,1,0))&lt;4,4,999)</f>
        <v>999</v>
      </c>
      <c r="L120" s="160">
        <f>Start.listina!$K$7</f>
        <v>45</v>
      </c>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12" customHeight="1">
      <c r="A121" s="6" t="str">
        <f>IF(OR(Start.listina!H129&gt;Start.listina!$K$7,Start.listina!G129=TRUE),"",Start.listina!H129)</f>
        <v/>
      </c>
      <c r="B121" s="160" t="str">
        <f>IF(A121&gt;Start.listina!$K$7,"",ADDRESS(INT((A121-1)/$M$2)+1,IF(MOD(A121,$M$2)=0,IF(MOD(INT((A121-1)/$M$2)+1,2)=1,$M$2,1),IF(MOD(INT((A121-1)/$M$2)+1,2)=1,MOD(A121,$M$2),$M$2-MOD(A121,$M$2)+1)),4,1))</f>
        <v/>
      </c>
      <c r="C121" s="162" t="str">
        <f>Start.listina!$AL129</f>
        <v/>
      </c>
      <c r="D121" s="160" t="str">
        <f>IF(A121&gt;Start.listina!$K$7,"",INT((A121-1)/$M$2)+1)</f>
        <v/>
      </c>
      <c r="E121" s="160" t="str">
        <f>IF(A121&gt;Start.listina!$K$7,"",MIN(F121:L121))</f>
        <v/>
      </c>
      <c r="F121" s="160">
        <f ca="1">IF(TYPE(VLOOKUP(C121,Konečné_pořadí_1_16!$B$2:$D$17,3,0))&lt;4,VLOOKUP(C121,Konečné_pořadí_1_16!$B$2:$D$17,3,0),999)</f>
        <v>999</v>
      </c>
      <c r="G121" s="160">
        <f ca="1">IF(TYPE(VLOOKUP(C121,'KO64'!$D$4:$D$129,1,0))&lt;4,64,999)</f>
        <v>999</v>
      </c>
      <c r="H121" s="160">
        <f ca="1">IF(TYPE(VLOOKUP(C121,'KO32'!$D$4:$D$65,1,0))&lt;4,32,999)</f>
        <v>999</v>
      </c>
      <c r="I121" s="160">
        <f ca="1">IF(TYPE(VLOOKUP(C121,'KO16'!$D$4:$D$33,1,0))&lt;4,16,999)</f>
        <v>999</v>
      </c>
      <c r="J121" s="160">
        <f ca="1">IF(TYPE(VLOOKUP(C121,'KO8'!$D$4:$D$17,1,0))&lt;4,8,999)</f>
        <v>999</v>
      </c>
      <c r="K121" s="160">
        <f ca="1">IF(TYPE(VLOOKUP(C121,'KO4'!$D$4:$D$9,1,0))&lt;4,4,999)</f>
        <v>999</v>
      </c>
      <c r="L121" s="160">
        <f>Start.listina!$K$7</f>
        <v>45</v>
      </c>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12" customHeight="1">
      <c r="A122" s="6" t="str">
        <f>IF(OR(Start.listina!H130&gt;Start.listina!$K$7,Start.listina!G130=TRUE),"",Start.listina!H130)</f>
        <v/>
      </c>
      <c r="B122" s="160" t="str">
        <f>IF(A122&gt;Start.listina!$K$7,"",ADDRESS(INT((A122-1)/$M$2)+1,IF(MOD(A122,$M$2)=0,IF(MOD(INT((A122-1)/$M$2)+1,2)=1,$M$2,1),IF(MOD(INT((A122-1)/$M$2)+1,2)=1,MOD(A122,$M$2),$M$2-MOD(A122,$M$2)+1)),4,1))</f>
        <v/>
      </c>
      <c r="C122" s="162" t="str">
        <f>Start.listina!$AL130</f>
        <v/>
      </c>
      <c r="D122" s="160" t="str">
        <f>IF(A122&gt;Start.listina!$K$7,"",INT((A122-1)/$M$2)+1)</f>
        <v/>
      </c>
      <c r="E122" s="160" t="str">
        <f>IF(A122&gt;Start.listina!$K$7,"",MIN(F122:L122))</f>
        <v/>
      </c>
      <c r="F122" s="160">
        <f ca="1">IF(TYPE(VLOOKUP(C122,Konečné_pořadí_1_16!$B$2:$D$17,3,0))&lt;4,VLOOKUP(C122,Konečné_pořadí_1_16!$B$2:$D$17,3,0),999)</f>
        <v>999</v>
      </c>
      <c r="G122" s="160">
        <f ca="1">IF(TYPE(VLOOKUP(C122,'KO64'!$D$4:$D$129,1,0))&lt;4,64,999)</f>
        <v>999</v>
      </c>
      <c r="H122" s="160">
        <f ca="1">IF(TYPE(VLOOKUP(C122,'KO32'!$D$4:$D$65,1,0))&lt;4,32,999)</f>
        <v>999</v>
      </c>
      <c r="I122" s="160">
        <f ca="1">IF(TYPE(VLOOKUP(C122,'KO16'!$D$4:$D$33,1,0))&lt;4,16,999)</f>
        <v>999</v>
      </c>
      <c r="J122" s="160">
        <f ca="1">IF(TYPE(VLOOKUP(C122,'KO8'!$D$4:$D$17,1,0))&lt;4,8,999)</f>
        <v>999</v>
      </c>
      <c r="K122" s="160">
        <f ca="1">IF(TYPE(VLOOKUP(C122,'KO4'!$D$4:$D$9,1,0))&lt;4,4,999)</f>
        <v>999</v>
      </c>
      <c r="L122" s="160">
        <f>Start.listina!$K$7</f>
        <v>45</v>
      </c>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12" customHeight="1">
      <c r="A123" s="6" t="str">
        <f>IF(OR(Start.listina!H131&gt;Start.listina!$K$7,Start.listina!G131=TRUE),"",Start.listina!H131)</f>
        <v/>
      </c>
      <c r="B123" s="160" t="str">
        <f>IF(A123&gt;Start.listina!$K$7,"",ADDRESS(INT((A123-1)/$M$2)+1,IF(MOD(A123,$M$2)=0,IF(MOD(INT((A123-1)/$M$2)+1,2)=1,$M$2,1),IF(MOD(INT((A123-1)/$M$2)+1,2)=1,MOD(A123,$M$2),$M$2-MOD(A123,$M$2)+1)),4,1))</f>
        <v/>
      </c>
      <c r="C123" s="162" t="str">
        <f>Start.listina!$AL131</f>
        <v/>
      </c>
      <c r="D123" s="160" t="str">
        <f>IF(A123&gt;Start.listina!$K$7,"",INT((A123-1)/$M$2)+1)</f>
        <v/>
      </c>
      <c r="E123" s="160" t="str">
        <f>IF(A123&gt;Start.listina!$K$7,"",MIN(F123:L123))</f>
        <v/>
      </c>
      <c r="F123" s="160">
        <f ca="1">IF(TYPE(VLOOKUP(C123,Konečné_pořadí_1_16!$B$2:$D$17,3,0))&lt;4,VLOOKUP(C123,Konečné_pořadí_1_16!$B$2:$D$17,3,0),999)</f>
        <v>999</v>
      </c>
      <c r="G123" s="160">
        <f ca="1">IF(TYPE(VLOOKUP(C123,'KO64'!$D$4:$D$129,1,0))&lt;4,64,999)</f>
        <v>999</v>
      </c>
      <c r="H123" s="160">
        <f ca="1">IF(TYPE(VLOOKUP(C123,'KO32'!$D$4:$D$65,1,0))&lt;4,32,999)</f>
        <v>999</v>
      </c>
      <c r="I123" s="160">
        <f ca="1">IF(TYPE(VLOOKUP(C123,'KO16'!$D$4:$D$33,1,0))&lt;4,16,999)</f>
        <v>999</v>
      </c>
      <c r="J123" s="160">
        <f ca="1">IF(TYPE(VLOOKUP(C123,'KO8'!$D$4:$D$17,1,0))&lt;4,8,999)</f>
        <v>999</v>
      </c>
      <c r="K123" s="160">
        <f ca="1">IF(TYPE(VLOOKUP(C123,'KO4'!$D$4:$D$9,1,0))&lt;4,4,999)</f>
        <v>999</v>
      </c>
      <c r="L123" s="160">
        <f>Start.listina!$K$7</f>
        <v>45</v>
      </c>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12" customHeight="1">
      <c r="A124" s="6" t="str">
        <f>IF(OR(Start.listina!H132&gt;Start.listina!$K$7,Start.listina!G132=TRUE),"",Start.listina!H132)</f>
        <v/>
      </c>
      <c r="B124" s="160" t="str">
        <f>IF(A124&gt;Start.listina!$K$7,"",ADDRESS(INT((A124-1)/$M$2)+1,IF(MOD(A124,$M$2)=0,IF(MOD(INT((A124-1)/$M$2)+1,2)=1,$M$2,1),IF(MOD(INT((A124-1)/$M$2)+1,2)=1,MOD(A124,$M$2),$M$2-MOD(A124,$M$2)+1)),4,1))</f>
        <v/>
      </c>
      <c r="C124" s="162" t="str">
        <f>Start.listina!$AL132</f>
        <v/>
      </c>
      <c r="D124" s="160" t="str">
        <f>IF(A124&gt;Start.listina!$K$7,"",INT((A124-1)/$M$2)+1)</f>
        <v/>
      </c>
      <c r="E124" s="160" t="str">
        <f>IF(A124&gt;Start.listina!$K$7,"",MIN(F124:L124))</f>
        <v/>
      </c>
      <c r="F124" s="160">
        <f ca="1">IF(TYPE(VLOOKUP(C124,Konečné_pořadí_1_16!$B$2:$D$17,3,0))&lt;4,VLOOKUP(C124,Konečné_pořadí_1_16!$B$2:$D$17,3,0),999)</f>
        <v>999</v>
      </c>
      <c r="G124" s="160">
        <f ca="1">IF(TYPE(VLOOKUP(C124,'KO64'!$D$4:$D$129,1,0))&lt;4,64,999)</f>
        <v>999</v>
      </c>
      <c r="H124" s="160">
        <f ca="1">IF(TYPE(VLOOKUP(C124,'KO32'!$D$4:$D$65,1,0))&lt;4,32,999)</f>
        <v>999</v>
      </c>
      <c r="I124" s="160">
        <f ca="1">IF(TYPE(VLOOKUP(C124,'KO16'!$D$4:$D$33,1,0))&lt;4,16,999)</f>
        <v>999</v>
      </c>
      <c r="J124" s="160">
        <f ca="1">IF(TYPE(VLOOKUP(C124,'KO8'!$D$4:$D$17,1,0))&lt;4,8,999)</f>
        <v>999</v>
      </c>
      <c r="K124" s="160">
        <f ca="1">IF(TYPE(VLOOKUP(C124,'KO4'!$D$4:$D$9,1,0))&lt;4,4,999)</f>
        <v>999</v>
      </c>
      <c r="L124" s="160">
        <f>Start.listina!$K$7</f>
        <v>45</v>
      </c>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12" customHeight="1">
      <c r="A125" s="6" t="str">
        <f>IF(OR(Start.listina!H133&gt;Start.listina!$K$7,Start.listina!G133=TRUE),"",Start.listina!H133)</f>
        <v/>
      </c>
      <c r="B125" s="160" t="str">
        <f>IF(A125&gt;Start.listina!$K$7,"",ADDRESS(INT((A125-1)/$M$2)+1,IF(MOD(A125,$M$2)=0,IF(MOD(INT((A125-1)/$M$2)+1,2)=1,$M$2,1),IF(MOD(INT((A125-1)/$M$2)+1,2)=1,MOD(A125,$M$2),$M$2-MOD(A125,$M$2)+1)),4,1))</f>
        <v/>
      </c>
      <c r="C125" s="162" t="str">
        <f>Start.listina!$AL133</f>
        <v/>
      </c>
      <c r="D125" s="160" t="str">
        <f>IF(A125&gt;Start.listina!$K$7,"",INT((A125-1)/$M$2)+1)</f>
        <v/>
      </c>
      <c r="E125" s="160" t="str">
        <f>IF(A125&gt;Start.listina!$K$7,"",MIN(F125:L125))</f>
        <v/>
      </c>
      <c r="F125" s="160">
        <f ca="1">IF(TYPE(VLOOKUP(C125,Konečné_pořadí_1_16!$B$2:$D$17,3,0))&lt;4,VLOOKUP(C125,Konečné_pořadí_1_16!$B$2:$D$17,3,0),999)</f>
        <v>999</v>
      </c>
      <c r="G125" s="160">
        <f ca="1">IF(TYPE(VLOOKUP(C125,'KO64'!$D$4:$D$129,1,0))&lt;4,64,999)</f>
        <v>999</v>
      </c>
      <c r="H125" s="160">
        <f ca="1">IF(TYPE(VLOOKUP(C125,'KO32'!$D$4:$D$65,1,0))&lt;4,32,999)</f>
        <v>999</v>
      </c>
      <c r="I125" s="160">
        <f ca="1">IF(TYPE(VLOOKUP(C125,'KO16'!$D$4:$D$33,1,0))&lt;4,16,999)</f>
        <v>999</v>
      </c>
      <c r="J125" s="160">
        <f ca="1">IF(TYPE(VLOOKUP(C125,'KO8'!$D$4:$D$17,1,0))&lt;4,8,999)</f>
        <v>999</v>
      </c>
      <c r="K125" s="160">
        <f ca="1">IF(TYPE(VLOOKUP(C125,'KO4'!$D$4:$D$9,1,0))&lt;4,4,999)</f>
        <v>999</v>
      </c>
      <c r="L125" s="160">
        <f>Start.listina!$K$7</f>
        <v>45</v>
      </c>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12" customHeight="1">
      <c r="A126" s="6" t="str">
        <f>IF(OR(Start.listina!H134&gt;Start.listina!$K$7,Start.listina!G134=TRUE),"",Start.listina!H134)</f>
        <v/>
      </c>
      <c r="B126" s="160" t="str">
        <f>IF(A126&gt;Start.listina!$K$7,"",ADDRESS(INT((A126-1)/$M$2)+1,IF(MOD(A126,$M$2)=0,IF(MOD(INT((A126-1)/$M$2)+1,2)=1,$M$2,1),IF(MOD(INT((A126-1)/$M$2)+1,2)=1,MOD(A126,$M$2),$M$2-MOD(A126,$M$2)+1)),4,1))</f>
        <v/>
      </c>
      <c r="C126" s="162" t="str">
        <f>Start.listina!$AL134</f>
        <v/>
      </c>
      <c r="D126" s="160" t="str">
        <f>IF(A126&gt;Start.listina!$K$7,"",INT((A126-1)/$M$2)+1)</f>
        <v/>
      </c>
      <c r="E126" s="160" t="str">
        <f>IF(A126&gt;Start.listina!$K$7,"",MIN(F126:L126))</f>
        <v/>
      </c>
      <c r="F126" s="160">
        <f ca="1">IF(TYPE(VLOOKUP(C126,Konečné_pořadí_1_16!$B$2:$D$17,3,0))&lt;4,VLOOKUP(C126,Konečné_pořadí_1_16!$B$2:$D$17,3,0),999)</f>
        <v>999</v>
      </c>
      <c r="G126" s="160">
        <f ca="1">IF(TYPE(VLOOKUP(C126,'KO64'!$D$4:$D$129,1,0))&lt;4,64,999)</f>
        <v>999</v>
      </c>
      <c r="H126" s="160">
        <f ca="1">IF(TYPE(VLOOKUP(C126,'KO32'!$D$4:$D$65,1,0))&lt;4,32,999)</f>
        <v>999</v>
      </c>
      <c r="I126" s="160">
        <f ca="1">IF(TYPE(VLOOKUP(C126,'KO16'!$D$4:$D$33,1,0))&lt;4,16,999)</f>
        <v>999</v>
      </c>
      <c r="J126" s="160">
        <f ca="1">IF(TYPE(VLOOKUP(C126,'KO8'!$D$4:$D$17,1,0))&lt;4,8,999)</f>
        <v>999</v>
      </c>
      <c r="K126" s="160">
        <f ca="1">IF(TYPE(VLOOKUP(C126,'KO4'!$D$4:$D$9,1,0))&lt;4,4,999)</f>
        <v>999</v>
      </c>
      <c r="L126" s="160">
        <f>Start.listina!$K$7</f>
        <v>45</v>
      </c>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12" customHeight="1">
      <c r="A127" s="6" t="str">
        <f>IF(OR(Start.listina!H135&gt;Start.listina!$K$7,Start.listina!G135=TRUE),"",Start.listina!H135)</f>
        <v/>
      </c>
      <c r="B127" s="160" t="str">
        <f>IF(A127&gt;Start.listina!$K$7,"",ADDRESS(INT((A127-1)/$M$2)+1,IF(MOD(A127,$M$2)=0,IF(MOD(INT((A127-1)/$M$2)+1,2)=1,$M$2,1),IF(MOD(INT((A127-1)/$M$2)+1,2)=1,MOD(A127,$M$2),$M$2-MOD(A127,$M$2)+1)),4,1))</f>
        <v/>
      </c>
      <c r="C127" s="162" t="str">
        <f>Start.listina!$AL135</f>
        <v/>
      </c>
      <c r="D127" s="160" t="str">
        <f>IF(A127&gt;Start.listina!$K$7,"",INT((A127-1)/$M$2)+1)</f>
        <v/>
      </c>
      <c r="E127" s="160" t="str">
        <f>IF(A127&gt;Start.listina!$K$7,"",MIN(F127:L127))</f>
        <v/>
      </c>
      <c r="F127" s="160">
        <f ca="1">IF(TYPE(VLOOKUP(C127,Konečné_pořadí_1_16!$B$2:$D$17,3,0))&lt;4,VLOOKUP(C127,Konečné_pořadí_1_16!$B$2:$D$17,3,0),999)</f>
        <v>999</v>
      </c>
      <c r="G127" s="160">
        <f ca="1">IF(TYPE(VLOOKUP(C127,'KO64'!$D$4:$D$129,1,0))&lt;4,64,999)</f>
        <v>999</v>
      </c>
      <c r="H127" s="160">
        <f ca="1">IF(TYPE(VLOOKUP(C127,'KO32'!$D$4:$D$65,1,0))&lt;4,32,999)</f>
        <v>999</v>
      </c>
      <c r="I127" s="160">
        <f ca="1">IF(TYPE(VLOOKUP(C127,'KO16'!$D$4:$D$33,1,0))&lt;4,16,999)</f>
        <v>999</v>
      </c>
      <c r="J127" s="160">
        <f ca="1">IF(TYPE(VLOOKUP(C127,'KO8'!$D$4:$D$17,1,0))&lt;4,8,999)</f>
        <v>999</v>
      </c>
      <c r="K127" s="160">
        <f ca="1">IF(TYPE(VLOOKUP(C127,'KO4'!$D$4:$D$9,1,0))&lt;4,4,999)</f>
        <v>999</v>
      </c>
      <c r="L127" s="160">
        <f>Start.listina!$K$7</f>
        <v>45</v>
      </c>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12" customHeight="1">
      <c r="A128" s="6" t="str">
        <f>IF(OR(Start.listina!H136&gt;Start.listina!$K$7,Start.listina!G136=TRUE),"",Start.listina!H136)</f>
        <v/>
      </c>
      <c r="B128" s="160" t="str">
        <f>IF(A128&gt;Start.listina!$K$7,"",ADDRESS(INT((A128-1)/$M$2)+1,IF(MOD(A128,$M$2)=0,IF(MOD(INT((A128-1)/$M$2)+1,2)=1,$M$2,1),IF(MOD(INT((A128-1)/$M$2)+1,2)=1,MOD(A128,$M$2),$M$2-MOD(A128,$M$2)+1)),4,1))</f>
        <v/>
      </c>
      <c r="C128" s="162" t="str">
        <f>Start.listina!$AL136</f>
        <v/>
      </c>
      <c r="D128" s="160" t="str">
        <f>IF(A128&gt;Start.listina!$K$7,"",INT((A128-1)/$M$2)+1)</f>
        <v/>
      </c>
      <c r="E128" s="160" t="str">
        <f>IF(A128&gt;Start.listina!$K$7,"",MIN(F128:L128))</f>
        <v/>
      </c>
      <c r="F128" s="160">
        <f ca="1">IF(TYPE(VLOOKUP(C128,Konečné_pořadí_1_16!$B$2:$D$17,3,0))&lt;4,VLOOKUP(C128,Konečné_pořadí_1_16!$B$2:$D$17,3,0),999)</f>
        <v>999</v>
      </c>
      <c r="G128" s="160">
        <f ca="1">IF(TYPE(VLOOKUP(C128,'KO64'!$D$4:$D$129,1,0))&lt;4,64,999)</f>
        <v>999</v>
      </c>
      <c r="H128" s="160">
        <f ca="1">IF(TYPE(VLOOKUP(C128,'KO32'!$D$4:$D$65,1,0))&lt;4,32,999)</f>
        <v>999</v>
      </c>
      <c r="I128" s="160">
        <f ca="1">IF(TYPE(VLOOKUP(C128,'KO16'!$D$4:$D$33,1,0))&lt;4,16,999)</f>
        <v>999</v>
      </c>
      <c r="J128" s="160">
        <f ca="1">IF(TYPE(VLOOKUP(C128,'KO8'!$D$4:$D$17,1,0))&lt;4,8,999)</f>
        <v>999</v>
      </c>
      <c r="K128" s="160">
        <f ca="1">IF(TYPE(VLOOKUP(C128,'KO4'!$D$4:$D$9,1,0))&lt;4,4,999)</f>
        <v>999</v>
      </c>
      <c r="L128" s="160">
        <f>Start.listina!$K$7</f>
        <v>45</v>
      </c>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12" customHeight="1">
      <c r="A129" s="6" t="str">
        <f>IF(OR(Start.listina!H137&gt;Start.listina!$K$7,Start.listina!G137=TRUE),"",Start.listina!H137)</f>
        <v/>
      </c>
      <c r="B129" s="160" t="str">
        <f>IF(A129&gt;Start.listina!$K$7,"",ADDRESS(INT((A129-1)/$M$2)+1,IF(MOD(A129,$M$2)=0,IF(MOD(INT((A129-1)/$M$2)+1,2)=1,$M$2,1),IF(MOD(INT((A129-1)/$M$2)+1,2)=1,MOD(A129,$M$2),$M$2-MOD(A129,$M$2)+1)),4,1))</f>
        <v/>
      </c>
      <c r="C129" s="162" t="str">
        <f>Start.listina!$AL137</f>
        <v/>
      </c>
      <c r="D129" s="160" t="str">
        <f>IF(A129&gt;Start.listina!$K$7,"",INT((A129-1)/$M$2)+1)</f>
        <v/>
      </c>
      <c r="E129" s="160" t="str">
        <f>IF(A129&gt;Start.listina!$K$7,"",MIN(F129:L129))</f>
        <v/>
      </c>
      <c r="F129" s="160">
        <f ca="1">IF(TYPE(VLOOKUP(C129,Konečné_pořadí_1_16!$B$2:$D$17,3,0))&lt;4,VLOOKUP(C129,Konečné_pořadí_1_16!$B$2:$D$17,3,0),999)</f>
        <v>999</v>
      </c>
      <c r="G129" s="160">
        <f ca="1">IF(TYPE(VLOOKUP(C129,'KO64'!$D$4:$D$129,1,0))&lt;4,64,999)</f>
        <v>999</v>
      </c>
      <c r="H129" s="160">
        <f ca="1">IF(TYPE(VLOOKUP(C129,'KO32'!$D$4:$D$65,1,0))&lt;4,32,999)</f>
        <v>999</v>
      </c>
      <c r="I129" s="160">
        <f ca="1">IF(TYPE(VLOOKUP(C129,'KO16'!$D$4:$D$33,1,0))&lt;4,16,999)</f>
        <v>999</v>
      </c>
      <c r="J129" s="160">
        <f ca="1">IF(TYPE(VLOOKUP(C129,'KO8'!$D$4:$D$17,1,0))&lt;4,8,999)</f>
        <v>999</v>
      </c>
      <c r="K129" s="160">
        <f ca="1">IF(TYPE(VLOOKUP(C129,'KO4'!$D$4:$D$9,1,0))&lt;4,4,999)</f>
        <v>999</v>
      </c>
      <c r="L129" s="160">
        <f>Start.listina!$K$7</f>
        <v>45</v>
      </c>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12" customHeight="1">
      <c r="A130" s="6" t="str">
        <f>IF(OR(Start.listina!H138&gt;Start.listina!$K$7,Start.listina!G138=TRUE),"",Start.listina!H138)</f>
        <v/>
      </c>
      <c r="B130" s="160" t="str">
        <f>IF(A130&gt;Start.listina!$K$7,"",ADDRESS(INT((A130-1)/$M$2)+1,IF(MOD(A130,$M$2)=0,IF(MOD(INT((A130-1)/$M$2)+1,2)=1,$M$2,1),IF(MOD(INT((A130-1)/$M$2)+1,2)=1,MOD(A130,$M$2),$M$2-MOD(A130,$M$2)+1)),4,1))</f>
        <v/>
      </c>
      <c r="C130" s="162" t="str">
        <f>Start.listina!$AL138</f>
        <v/>
      </c>
      <c r="D130" s="160" t="str">
        <f>IF(A130&gt;Start.listina!$K$7,"",INT((A130-1)/$M$2)+1)</f>
        <v/>
      </c>
      <c r="E130" s="160" t="str">
        <f>IF(A130&gt;Start.listina!$K$7,"",MIN(F130:L130))</f>
        <v/>
      </c>
      <c r="F130" s="160">
        <f ca="1">IF(TYPE(VLOOKUP(C130,Konečné_pořadí_1_16!$B$2:$D$17,3,0))&lt;4,VLOOKUP(C130,Konečné_pořadí_1_16!$B$2:$D$17,3,0),999)</f>
        <v>999</v>
      </c>
      <c r="G130" s="160">
        <f ca="1">IF(TYPE(VLOOKUP(C130,'KO64'!$D$4:$D$129,1,0))&lt;4,64,999)</f>
        <v>999</v>
      </c>
      <c r="H130" s="160">
        <f ca="1">IF(TYPE(VLOOKUP(C130,'KO32'!$D$4:$D$65,1,0))&lt;4,32,999)</f>
        <v>999</v>
      </c>
      <c r="I130" s="160">
        <f ca="1">IF(TYPE(VLOOKUP(C130,'KO16'!$D$4:$D$33,1,0))&lt;4,16,999)</f>
        <v>999</v>
      </c>
      <c r="J130" s="160">
        <f ca="1">IF(TYPE(VLOOKUP(C130,'KO8'!$D$4:$D$17,1,0))&lt;4,8,999)</f>
        <v>999</v>
      </c>
      <c r="K130" s="160">
        <f ca="1">IF(TYPE(VLOOKUP(C130,'KO4'!$D$4:$D$9,1,0))&lt;4,4,999)</f>
        <v>999</v>
      </c>
      <c r="L130" s="160">
        <f>Start.listina!$K$7</f>
        <v>45</v>
      </c>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12" customHeight="1">
      <c r="A131" s="6" t="str">
        <f>IF(OR(Start.listina!H139&gt;Start.listina!$K$7,Start.listina!G139=TRUE),"",Start.listina!H139)</f>
        <v/>
      </c>
      <c r="B131" s="160" t="str">
        <f>IF(A131&gt;Start.listina!$K$7,"",ADDRESS(INT((A131-1)/$M$2)+1,IF(MOD(A131,$M$2)=0,IF(MOD(INT((A131-1)/$M$2)+1,2)=1,$M$2,1),IF(MOD(INT((A131-1)/$M$2)+1,2)=1,MOD(A131,$M$2),$M$2-MOD(A131,$M$2)+1)),4,1))</f>
        <v/>
      </c>
      <c r="C131" s="162" t="str">
        <f>Start.listina!$AL139</f>
        <v/>
      </c>
      <c r="D131" s="160" t="str">
        <f>IF(A131&gt;Start.listina!$K$7,"",INT((A131-1)/$M$2)+1)</f>
        <v/>
      </c>
      <c r="E131" s="160" t="str">
        <f>IF(A131&gt;Start.listina!$K$7,"",MIN(F131:L131))</f>
        <v/>
      </c>
      <c r="F131" s="160">
        <f ca="1">IF(TYPE(VLOOKUP(C131,Konečné_pořadí_1_16!$B$2:$D$17,3,0))&lt;4,VLOOKUP(C131,Konečné_pořadí_1_16!$B$2:$D$17,3,0),999)</f>
        <v>999</v>
      </c>
      <c r="G131" s="160">
        <f ca="1">IF(TYPE(VLOOKUP(C131,'KO64'!$D$4:$D$129,1,0))&lt;4,64,999)</f>
        <v>999</v>
      </c>
      <c r="H131" s="160">
        <f ca="1">IF(TYPE(VLOOKUP(C131,'KO32'!$D$4:$D$65,1,0))&lt;4,32,999)</f>
        <v>999</v>
      </c>
      <c r="I131" s="160">
        <f ca="1">IF(TYPE(VLOOKUP(C131,'KO16'!$D$4:$D$33,1,0))&lt;4,16,999)</f>
        <v>999</v>
      </c>
      <c r="J131" s="160">
        <f ca="1">IF(TYPE(VLOOKUP(C131,'KO8'!$D$4:$D$17,1,0))&lt;4,8,999)</f>
        <v>999</v>
      </c>
      <c r="K131" s="160">
        <f ca="1">IF(TYPE(VLOOKUP(C131,'KO4'!$D$4:$D$9,1,0))&lt;4,4,999)</f>
        <v>999</v>
      </c>
      <c r="L131" s="160">
        <f>Start.listina!$K$7</f>
        <v>45</v>
      </c>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12" customHeight="1">
      <c r="A132" s="6" t="str">
        <f>IF(OR(Start.listina!H140&gt;Start.listina!$K$7,Start.listina!G140=TRUE),"",Start.listina!H140)</f>
        <v/>
      </c>
      <c r="B132" s="160" t="str">
        <f>IF(A132&gt;Start.listina!$K$7,"",ADDRESS(INT((A132-1)/$M$2)+1,IF(MOD(A132,$M$2)=0,IF(MOD(INT((A132-1)/$M$2)+1,2)=1,$M$2,1),IF(MOD(INT((A132-1)/$M$2)+1,2)=1,MOD(A132,$M$2),$M$2-MOD(A132,$M$2)+1)),4,1))</f>
        <v/>
      </c>
      <c r="C132" s="162" t="str">
        <f>Start.listina!$AL140</f>
        <v/>
      </c>
      <c r="D132" s="160" t="str">
        <f>IF(A132&gt;Start.listina!$K$7,"",INT((A132-1)/$M$2)+1)</f>
        <v/>
      </c>
      <c r="E132" s="160" t="str">
        <f>IF(A132&gt;Start.listina!$K$7,"",MIN(F132:L132))</f>
        <v/>
      </c>
      <c r="F132" s="160">
        <f ca="1">IF(TYPE(VLOOKUP(C132,Konečné_pořadí_1_16!$B$2:$D$17,3,0))&lt;4,VLOOKUP(C132,Konečné_pořadí_1_16!$B$2:$D$17,3,0),999)</f>
        <v>999</v>
      </c>
      <c r="G132" s="160">
        <f ca="1">IF(TYPE(VLOOKUP(C132,'KO64'!$D$4:$D$129,1,0))&lt;4,64,999)</f>
        <v>999</v>
      </c>
      <c r="H132" s="160">
        <f ca="1">IF(TYPE(VLOOKUP(C132,'KO32'!$D$4:$D$65,1,0))&lt;4,32,999)</f>
        <v>999</v>
      </c>
      <c r="I132" s="160">
        <f ca="1">IF(TYPE(VLOOKUP(C132,'KO16'!$D$4:$D$33,1,0))&lt;4,16,999)</f>
        <v>999</v>
      </c>
      <c r="J132" s="160">
        <f ca="1">IF(TYPE(VLOOKUP(C132,'KO8'!$D$4:$D$17,1,0))&lt;4,8,999)</f>
        <v>999</v>
      </c>
      <c r="K132" s="160">
        <f ca="1">IF(TYPE(VLOOKUP(C132,'KO4'!$D$4:$D$9,1,0))&lt;4,4,999)</f>
        <v>999</v>
      </c>
      <c r="L132" s="160">
        <f>Start.listina!$K$7</f>
        <v>45</v>
      </c>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12" customHeight="1">
      <c r="A133" s="6" t="str">
        <f>IF(OR(Start.listina!H141&gt;Start.listina!$K$7,Start.listina!G141=TRUE),"",Start.listina!H141)</f>
        <v/>
      </c>
      <c r="B133" s="160" t="str">
        <f>IF(A133&gt;Start.listina!$K$7,"",ADDRESS(INT((A133-1)/$M$2)+1,IF(MOD(A133,$M$2)=0,IF(MOD(INT((A133-1)/$M$2)+1,2)=1,$M$2,1),IF(MOD(INT((A133-1)/$M$2)+1,2)=1,MOD(A133,$M$2),$M$2-MOD(A133,$M$2)+1)),4,1))</f>
        <v/>
      </c>
      <c r="C133" s="162" t="str">
        <f>Start.listina!$AL141</f>
        <v/>
      </c>
      <c r="D133" s="160" t="str">
        <f>IF(A133&gt;Start.listina!$K$7,"",INT((A133-1)/$M$2)+1)</f>
        <v/>
      </c>
      <c r="E133" s="160" t="str">
        <f>IF(A133&gt;Start.listina!$K$7,"",MIN(F133:L133))</f>
        <v/>
      </c>
      <c r="F133" s="160">
        <f ca="1">IF(TYPE(VLOOKUP(C133,Konečné_pořadí_1_16!$B$2:$D$17,3,0))&lt;4,VLOOKUP(C133,Konečné_pořadí_1_16!$B$2:$D$17,3,0),999)</f>
        <v>999</v>
      </c>
      <c r="G133" s="160">
        <f ca="1">IF(TYPE(VLOOKUP(C133,'KO64'!$D$4:$D$129,1,0))&lt;4,64,999)</f>
        <v>999</v>
      </c>
      <c r="H133" s="160">
        <f ca="1">IF(TYPE(VLOOKUP(C133,'KO32'!$D$4:$D$65,1,0))&lt;4,32,999)</f>
        <v>999</v>
      </c>
      <c r="I133" s="160">
        <f ca="1">IF(TYPE(VLOOKUP(C133,'KO16'!$D$4:$D$33,1,0))&lt;4,16,999)</f>
        <v>999</v>
      </c>
      <c r="J133" s="160">
        <f ca="1">IF(TYPE(VLOOKUP(C133,'KO8'!$D$4:$D$17,1,0))&lt;4,8,999)</f>
        <v>999</v>
      </c>
      <c r="K133" s="160">
        <f ca="1">IF(TYPE(VLOOKUP(C133,'KO4'!$D$4:$D$9,1,0))&lt;4,4,999)</f>
        <v>999</v>
      </c>
      <c r="L133" s="160">
        <f>Start.listina!$K$7</f>
        <v>45</v>
      </c>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12" customHeight="1">
      <c r="A134" s="6" t="str">
        <f>IF(OR(Start.listina!H142&gt;Start.listina!$K$7,Start.listina!G142=TRUE),"",Start.listina!H142)</f>
        <v/>
      </c>
      <c r="B134" s="160" t="str">
        <f>IF(A134&gt;Start.listina!$K$7,"",ADDRESS(INT((A134-1)/$M$2)+1,IF(MOD(A134,$M$2)=0,IF(MOD(INT((A134-1)/$M$2)+1,2)=1,$M$2,1),IF(MOD(INT((A134-1)/$M$2)+1,2)=1,MOD(A134,$M$2),$M$2-MOD(A134,$M$2)+1)),4,1))</f>
        <v/>
      </c>
      <c r="C134" s="162" t="str">
        <f>Start.listina!$AL142</f>
        <v/>
      </c>
      <c r="D134" s="160" t="str">
        <f>IF(A134&gt;Start.listina!$K$7,"",INT((A134-1)/$M$2)+1)</f>
        <v/>
      </c>
      <c r="E134" s="160" t="str">
        <f>IF(A134&gt;Start.listina!$K$7,"",MIN(F134:L134))</f>
        <v/>
      </c>
      <c r="F134" s="160">
        <f ca="1">IF(TYPE(VLOOKUP(C134,Konečné_pořadí_1_16!$B$2:$D$17,3,0))&lt;4,VLOOKUP(C134,Konečné_pořadí_1_16!$B$2:$D$17,3,0),999)</f>
        <v>999</v>
      </c>
      <c r="G134" s="160">
        <f ca="1">IF(TYPE(VLOOKUP(C134,'KO64'!$D$4:$D$129,1,0))&lt;4,64,999)</f>
        <v>999</v>
      </c>
      <c r="H134" s="160">
        <f ca="1">IF(TYPE(VLOOKUP(C134,'KO32'!$D$4:$D$65,1,0))&lt;4,32,999)</f>
        <v>999</v>
      </c>
      <c r="I134" s="160">
        <f ca="1">IF(TYPE(VLOOKUP(C134,'KO16'!$D$4:$D$33,1,0))&lt;4,16,999)</f>
        <v>999</v>
      </c>
      <c r="J134" s="160">
        <f ca="1">IF(TYPE(VLOOKUP(C134,'KO8'!$D$4:$D$17,1,0))&lt;4,8,999)</f>
        <v>999</v>
      </c>
      <c r="K134" s="160">
        <f ca="1">IF(TYPE(VLOOKUP(C134,'KO4'!$D$4:$D$9,1,0))&lt;4,4,999)</f>
        <v>999</v>
      </c>
      <c r="L134" s="160">
        <f>Start.listina!$K$7</f>
        <v>45</v>
      </c>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12" customHeight="1">
      <c r="A135" s="6" t="str">
        <f>IF(OR(Start.listina!H143&gt;Start.listina!$K$7,Start.listina!G143=TRUE),"",Start.listina!H143)</f>
        <v/>
      </c>
      <c r="B135" s="160" t="str">
        <f>IF(A135&gt;Start.listina!$K$7,"",ADDRESS(INT((A135-1)/$M$2)+1,IF(MOD(A135,$M$2)=0,IF(MOD(INT((A135-1)/$M$2)+1,2)=1,$M$2,1),IF(MOD(INT((A135-1)/$M$2)+1,2)=1,MOD(A135,$M$2),$M$2-MOD(A135,$M$2)+1)),4,1))</f>
        <v/>
      </c>
      <c r="C135" s="162" t="str">
        <f>Start.listina!$AL143</f>
        <v/>
      </c>
      <c r="D135" s="160" t="str">
        <f>IF(A135&gt;Start.listina!$K$7,"",INT((A135-1)/$M$2)+1)</f>
        <v/>
      </c>
      <c r="E135" s="160" t="str">
        <f>IF(A135&gt;Start.listina!$K$7,"",MIN(F135:L135))</f>
        <v/>
      </c>
      <c r="F135" s="160">
        <f ca="1">IF(TYPE(VLOOKUP(C135,Konečné_pořadí_1_16!$B$2:$D$17,3,0))&lt;4,VLOOKUP(C135,Konečné_pořadí_1_16!$B$2:$D$17,3,0),999)</f>
        <v>999</v>
      </c>
      <c r="G135" s="160">
        <f ca="1">IF(TYPE(VLOOKUP(C135,'KO64'!$D$4:$D$129,1,0))&lt;4,64,999)</f>
        <v>999</v>
      </c>
      <c r="H135" s="160">
        <f ca="1">IF(TYPE(VLOOKUP(C135,'KO32'!$D$4:$D$65,1,0))&lt;4,32,999)</f>
        <v>999</v>
      </c>
      <c r="I135" s="160">
        <f ca="1">IF(TYPE(VLOOKUP(C135,'KO16'!$D$4:$D$33,1,0))&lt;4,16,999)</f>
        <v>999</v>
      </c>
      <c r="J135" s="160">
        <f ca="1">IF(TYPE(VLOOKUP(C135,'KO8'!$D$4:$D$17,1,0))&lt;4,8,999)</f>
        <v>999</v>
      </c>
      <c r="K135" s="160">
        <f ca="1">IF(TYPE(VLOOKUP(C135,'KO4'!$D$4:$D$9,1,0))&lt;4,4,999)</f>
        <v>999</v>
      </c>
      <c r="L135" s="160">
        <f>Start.listina!$K$7</f>
        <v>45</v>
      </c>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12" customHeight="1">
      <c r="A136" s="6" t="str">
        <f>IF(OR(Start.listina!H144&gt;Start.listina!$K$7,Start.listina!G144=TRUE),"",Start.listina!H144)</f>
        <v/>
      </c>
      <c r="B136" s="160" t="str">
        <f>IF(A136&gt;Start.listina!$K$7,"",ADDRESS(INT((A136-1)/$M$2)+1,IF(MOD(A136,$M$2)=0,IF(MOD(INT((A136-1)/$M$2)+1,2)=1,$M$2,1),IF(MOD(INT((A136-1)/$M$2)+1,2)=1,MOD(A136,$M$2),$M$2-MOD(A136,$M$2)+1)),4,1))</f>
        <v/>
      </c>
      <c r="C136" s="162" t="str">
        <f>Start.listina!$AL144</f>
        <v/>
      </c>
      <c r="D136" s="160" t="str">
        <f>IF(A136&gt;Start.listina!$K$7,"",INT((A136-1)/$M$2)+1)</f>
        <v/>
      </c>
      <c r="E136" s="160" t="str">
        <f>IF(A136&gt;Start.listina!$K$7,"",MIN(F136:L136))</f>
        <v/>
      </c>
      <c r="F136" s="160">
        <f ca="1">IF(TYPE(VLOOKUP(C136,Konečné_pořadí_1_16!$B$2:$D$17,3,0))&lt;4,VLOOKUP(C136,Konečné_pořadí_1_16!$B$2:$D$17,3,0),999)</f>
        <v>999</v>
      </c>
      <c r="G136" s="160">
        <f ca="1">IF(TYPE(VLOOKUP(C136,'KO64'!$D$4:$D$129,1,0))&lt;4,64,999)</f>
        <v>999</v>
      </c>
      <c r="H136" s="160">
        <f ca="1">IF(TYPE(VLOOKUP(C136,'KO32'!$D$4:$D$65,1,0))&lt;4,32,999)</f>
        <v>999</v>
      </c>
      <c r="I136" s="160">
        <f ca="1">IF(TYPE(VLOOKUP(C136,'KO16'!$D$4:$D$33,1,0))&lt;4,16,999)</f>
        <v>999</v>
      </c>
      <c r="J136" s="160">
        <f ca="1">IF(TYPE(VLOOKUP(C136,'KO8'!$D$4:$D$17,1,0))&lt;4,8,999)</f>
        <v>999</v>
      </c>
      <c r="K136" s="160">
        <f ca="1">IF(TYPE(VLOOKUP(C136,'KO4'!$D$4:$D$9,1,0))&lt;4,4,999)</f>
        <v>999</v>
      </c>
      <c r="L136" s="160">
        <f>Start.listina!$K$7</f>
        <v>45</v>
      </c>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12" customHeight="1">
      <c r="A137" s="6" t="str">
        <f>IF(OR(Start.listina!H145&gt;Start.listina!$K$7,Start.listina!G145=TRUE),"",Start.listina!H145)</f>
        <v/>
      </c>
      <c r="B137" s="160" t="str">
        <f>IF(A137&gt;Start.listina!$K$7,"",ADDRESS(INT((A137-1)/$M$2)+1,IF(MOD(A137,$M$2)=0,IF(MOD(INT((A137-1)/$M$2)+1,2)=1,$M$2,1),IF(MOD(INT((A137-1)/$M$2)+1,2)=1,MOD(A137,$M$2),$M$2-MOD(A137,$M$2)+1)),4,1))</f>
        <v/>
      </c>
      <c r="C137" s="162" t="str">
        <f>Start.listina!$AL145</f>
        <v/>
      </c>
      <c r="D137" s="160" t="str">
        <f>IF(A137&gt;Start.listina!$K$7,"",INT((A137-1)/$M$2)+1)</f>
        <v/>
      </c>
      <c r="E137" s="160" t="str">
        <f>IF(A137&gt;Start.listina!$K$7,"",MIN(F137:L137))</f>
        <v/>
      </c>
      <c r="F137" s="160">
        <f ca="1">IF(TYPE(VLOOKUP(C137,Konečné_pořadí_1_16!$B$2:$D$17,3,0))&lt;4,VLOOKUP(C137,Konečné_pořadí_1_16!$B$2:$D$17,3,0),999)</f>
        <v>999</v>
      </c>
      <c r="G137" s="160">
        <f ca="1">IF(TYPE(VLOOKUP(C137,'KO64'!$D$4:$D$129,1,0))&lt;4,64,999)</f>
        <v>999</v>
      </c>
      <c r="H137" s="160">
        <f ca="1">IF(TYPE(VLOOKUP(C137,'KO32'!$D$4:$D$65,1,0))&lt;4,32,999)</f>
        <v>999</v>
      </c>
      <c r="I137" s="160">
        <f ca="1">IF(TYPE(VLOOKUP(C137,'KO16'!$D$4:$D$33,1,0))&lt;4,16,999)</f>
        <v>999</v>
      </c>
      <c r="J137" s="160">
        <f ca="1">IF(TYPE(VLOOKUP(C137,'KO8'!$D$4:$D$17,1,0))&lt;4,8,999)</f>
        <v>999</v>
      </c>
      <c r="K137" s="160">
        <f ca="1">IF(TYPE(VLOOKUP(C137,'KO4'!$D$4:$D$9,1,0))&lt;4,4,999)</f>
        <v>999</v>
      </c>
      <c r="L137" s="160">
        <f>Start.listina!$K$7</f>
        <v>45</v>
      </c>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12" customHeight="1">
      <c r="A138" s="6" t="str">
        <f>IF(OR(Start.listina!H146&gt;Start.listina!$K$7,Start.listina!G146=TRUE),"",Start.listina!H146)</f>
        <v/>
      </c>
      <c r="B138" s="160" t="str">
        <f>IF(A138&gt;Start.listina!$K$7,"",ADDRESS(INT((A138-1)/$M$2)+1,IF(MOD(A138,$M$2)=0,IF(MOD(INT((A138-1)/$M$2)+1,2)=1,$M$2,1),IF(MOD(INT((A138-1)/$M$2)+1,2)=1,MOD(A138,$M$2),$M$2-MOD(A138,$M$2)+1)),4,1))</f>
        <v/>
      </c>
      <c r="C138" s="162" t="str">
        <f>Start.listina!$AL146</f>
        <v/>
      </c>
      <c r="D138" s="160" t="str">
        <f>IF(A138&gt;Start.listina!$K$7,"",INT((A138-1)/$M$2)+1)</f>
        <v/>
      </c>
      <c r="E138" s="160" t="str">
        <f>IF(A138&gt;Start.listina!$K$7,"",MIN(F138:L138))</f>
        <v/>
      </c>
      <c r="F138" s="160">
        <f ca="1">IF(TYPE(VLOOKUP(C138,Konečné_pořadí_1_16!$B$2:$D$17,3,0))&lt;4,VLOOKUP(C138,Konečné_pořadí_1_16!$B$2:$D$17,3,0),999)</f>
        <v>999</v>
      </c>
      <c r="G138" s="160">
        <f ca="1">IF(TYPE(VLOOKUP(C138,'KO64'!$D$4:$D$129,1,0))&lt;4,64,999)</f>
        <v>999</v>
      </c>
      <c r="H138" s="160">
        <f ca="1">IF(TYPE(VLOOKUP(C138,'KO32'!$D$4:$D$65,1,0))&lt;4,32,999)</f>
        <v>999</v>
      </c>
      <c r="I138" s="160">
        <f ca="1">IF(TYPE(VLOOKUP(C138,'KO16'!$D$4:$D$33,1,0))&lt;4,16,999)</f>
        <v>999</v>
      </c>
      <c r="J138" s="160">
        <f ca="1">IF(TYPE(VLOOKUP(C138,'KO8'!$D$4:$D$17,1,0))&lt;4,8,999)</f>
        <v>999</v>
      </c>
      <c r="K138" s="160">
        <f ca="1">IF(TYPE(VLOOKUP(C138,'KO4'!$D$4:$D$9,1,0))&lt;4,4,999)</f>
        <v>999</v>
      </c>
      <c r="L138" s="160">
        <f>Start.listina!$K$7</f>
        <v>45</v>
      </c>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12" customHeight="1">
      <c r="A139" s="6" t="str">
        <f>IF(OR(Start.listina!H147&gt;Start.listina!$K$7,Start.listina!G147=TRUE),"",Start.listina!H147)</f>
        <v/>
      </c>
      <c r="B139" s="160" t="str">
        <f>IF(A139&gt;Start.listina!$K$7,"",ADDRESS(INT((A139-1)/$M$2)+1,IF(MOD(A139,$M$2)=0,IF(MOD(INT((A139-1)/$M$2)+1,2)=1,$M$2,1),IF(MOD(INT((A139-1)/$M$2)+1,2)=1,MOD(A139,$M$2),$M$2-MOD(A139,$M$2)+1)),4,1))</f>
        <v/>
      </c>
      <c r="C139" s="162" t="str">
        <f>Start.listina!$AL147</f>
        <v/>
      </c>
      <c r="D139" s="160" t="str">
        <f>IF(A139&gt;Start.listina!$K$7,"",INT((A139-1)/$M$2)+1)</f>
        <v/>
      </c>
      <c r="E139" s="160" t="str">
        <f>IF(A139&gt;Start.listina!$K$7,"",MIN(F139:L139))</f>
        <v/>
      </c>
      <c r="F139" s="160">
        <f ca="1">IF(TYPE(VLOOKUP(C139,Konečné_pořadí_1_16!$B$2:$D$17,3,0))&lt;4,VLOOKUP(C139,Konečné_pořadí_1_16!$B$2:$D$17,3,0),999)</f>
        <v>999</v>
      </c>
      <c r="G139" s="160">
        <f ca="1">IF(TYPE(VLOOKUP(C139,'KO64'!$D$4:$D$129,1,0))&lt;4,64,999)</f>
        <v>999</v>
      </c>
      <c r="H139" s="160">
        <f ca="1">IF(TYPE(VLOOKUP(C139,'KO32'!$D$4:$D$65,1,0))&lt;4,32,999)</f>
        <v>999</v>
      </c>
      <c r="I139" s="160">
        <f ca="1">IF(TYPE(VLOOKUP(C139,'KO16'!$D$4:$D$33,1,0))&lt;4,16,999)</f>
        <v>999</v>
      </c>
      <c r="J139" s="160">
        <f ca="1">IF(TYPE(VLOOKUP(C139,'KO8'!$D$4:$D$17,1,0))&lt;4,8,999)</f>
        <v>999</v>
      </c>
      <c r="K139" s="160">
        <f ca="1">IF(TYPE(VLOOKUP(C139,'KO4'!$D$4:$D$9,1,0))&lt;4,4,999)</f>
        <v>999</v>
      </c>
      <c r="L139" s="160">
        <f>Start.listina!$K$7</f>
        <v>45</v>
      </c>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12" customHeight="1">
      <c r="A140" s="6" t="str">
        <f>IF(OR(Start.listina!H148&gt;Start.listina!$K$7,Start.listina!G148=TRUE),"",Start.listina!H148)</f>
        <v/>
      </c>
      <c r="B140" s="160" t="str">
        <f>IF(A140&gt;Start.listina!$K$7,"",ADDRESS(INT((A140-1)/$M$2)+1,IF(MOD(A140,$M$2)=0,IF(MOD(INT((A140-1)/$M$2)+1,2)=1,$M$2,1),IF(MOD(INT((A140-1)/$M$2)+1,2)=1,MOD(A140,$M$2),$M$2-MOD(A140,$M$2)+1)),4,1))</f>
        <v/>
      </c>
      <c r="C140" s="162" t="str">
        <f>Start.listina!$AL148</f>
        <v/>
      </c>
      <c r="D140" s="160" t="str">
        <f>IF(A140&gt;Start.listina!$K$7,"",INT((A140-1)/$M$2)+1)</f>
        <v/>
      </c>
      <c r="E140" s="160" t="str">
        <f>IF(A140&gt;Start.listina!$K$7,"",MIN(F140:L140))</f>
        <v/>
      </c>
      <c r="F140" s="160">
        <f ca="1">IF(TYPE(VLOOKUP(C140,Konečné_pořadí_1_16!$B$2:$D$17,3,0))&lt;4,VLOOKUP(C140,Konečné_pořadí_1_16!$B$2:$D$17,3,0),999)</f>
        <v>999</v>
      </c>
      <c r="G140" s="160">
        <f ca="1">IF(TYPE(VLOOKUP(C140,'KO64'!$D$4:$D$129,1,0))&lt;4,64,999)</f>
        <v>999</v>
      </c>
      <c r="H140" s="160">
        <f ca="1">IF(TYPE(VLOOKUP(C140,'KO32'!$D$4:$D$65,1,0))&lt;4,32,999)</f>
        <v>999</v>
      </c>
      <c r="I140" s="160">
        <f ca="1">IF(TYPE(VLOOKUP(C140,'KO16'!$D$4:$D$33,1,0))&lt;4,16,999)</f>
        <v>999</v>
      </c>
      <c r="J140" s="160">
        <f ca="1">IF(TYPE(VLOOKUP(C140,'KO8'!$D$4:$D$17,1,0))&lt;4,8,999)</f>
        <v>999</v>
      </c>
      <c r="K140" s="160">
        <f ca="1">IF(TYPE(VLOOKUP(C140,'KO4'!$D$4:$D$9,1,0))&lt;4,4,999)</f>
        <v>999</v>
      </c>
      <c r="L140" s="160">
        <f>Start.listina!$K$7</f>
        <v>45</v>
      </c>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12" customHeight="1">
      <c r="A141" s="6" t="str">
        <f>IF(OR(Start.listina!H149&gt;Start.listina!$K$7,Start.listina!G149=TRUE),"",Start.listina!H149)</f>
        <v/>
      </c>
      <c r="B141" s="160" t="str">
        <f>IF(A141&gt;Start.listina!$K$7,"",ADDRESS(INT((A141-1)/$M$2)+1,IF(MOD(A141,$M$2)=0,IF(MOD(INT((A141-1)/$M$2)+1,2)=1,$M$2,1),IF(MOD(INT((A141-1)/$M$2)+1,2)=1,MOD(A141,$M$2),$M$2-MOD(A141,$M$2)+1)),4,1))</f>
        <v/>
      </c>
      <c r="C141" s="162" t="str">
        <f>Start.listina!$AL149</f>
        <v/>
      </c>
      <c r="D141" s="160" t="str">
        <f>IF(A141&gt;Start.listina!$K$7,"",INT((A141-1)/$M$2)+1)</f>
        <v/>
      </c>
      <c r="E141" s="160" t="str">
        <f>IF(A141&gt;Start.listina!$K$7,"",MIN(F141:L141))</f>
        <v/>
      </c>
      <c r="F141" s="160">
        <f ca="1">IF(TYPE(VLOOKUP(C141,Konečné_pořadí_1_16!$B$2:$D$17,3,0))&lt;4,VLOOKUP(C141,Konečné_pořadí_1_16!$B$2:$D$17,3,0),999)</f>
        <v>999</v>
      </c>
      <c r="G141" s="160">
        <f ca="1">IF(TYPE(VLOOKUP(C141,'KO64'!$D$4:$D$129,1,0))&lt;4,64,999)</f>
        <v>999</v>
      </c>
      <c r="H141" s="160">
        <f ca="1">IF(TYPE(VLOOKUP(C141,'KO32'!$D$4:$D$65,1,0))&lt;4,32,999)</f>
        <v>999</v>
      </c>
      <c r="I141" s="160">
        <f ca="1">IF(TYPE(VLOOKUP(C141,'KO16'!$D$4:$D$33,1,0))&lt;4,16,999)</f>
        <v>999</v>
      </c>
      <c r="J141" s="160">
        <f ca="1">IF(TYPE(VLOOKUP(C141,'KO8'!$D$4:$D$17,1,0))&lt;4,8,999)</f>
        <v>999</v>
      </c>
      <c r="K141" s="160">
        <f ca="1">IF(TYPE(VLOOKUP(C141,'KO4'!$D$4:$D$9,1,0))&lt;4,4,999)</f>
        <v>999</v>
      </c>
      <c r="L141" s="160">
        <f>Start.listina!$K$7</f>
        <v>45</v>
      </c>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12" customHeight="1">
      <c r="A142" s="6" t="str">
        <f>IF(OR(Start.listina!H150&gt;Start.listina!$K$7,Start.listina!G150=TRUE),"",Start.listina!H150)</f>
        <v/>
      </c>
      <c r="B142" s="160" t="str">
        <f>IF(A142&gt;Start.listina!$K$7,"",ADDRESS(INT((A142-1)/$M$2)+1,IF(MOD(A142,$M$2)=0,IF(MOD(INT((A142-1)/$M$2)+1,2)=1,$M$2,1),IF(MOD(INT((A142-1)/$M$2)+1,2)=1,MOD(A142,$M$2),$M$2-MOD(A142,$M$2)+1)),4,1))</f>
        <v/>
      </c>
      <c r="C142" s="162" t="str">
        <f>Start.listina!$AL150</f>
        <v/>
      </c>
      <c r="D142" s="160" t="str">
        <f>IF(A142&gt;Start.listina!$K$7,"",INT((A142-1)/$M$2)+1)</f>
        <v/>
      </c>
      <c r="E142" s="160" t="str">
        <f>IF(A142&gt;Start.listina!$K$7,"",MIN(F142:L142))</f>
        <v/>
      </c>
      <c r="F142" s="160">
        <f ca="1">IF(TYPE(VLOOKUP(C142,Konečné_pořadí_1_16!$B$2:$D$17,3,0))&lt;4,VLOOKUP(C142,Konečné_pořadí_1_16!$B$2:$D$17,3,0),999)</f>
        <v>999</v>
      </c>
      <c r="G142" s="160">
        <f ca="1">IF(TYPE(VLOOKUP(C142,'KO64'!$D$4:$D$129,1,0))&lt;4,64,999)</f>
        <v>999</v>
      </c>
      <c r="H142" s="160">
        <f ca="1">IF(TYPE(VLOOKUP(C142,'KO32'!$D$4:$D$65,1,0))&lt;4,32,999)</f>
        <v>999</v>
      </c>
      <c r="I142" s="160">
        <f ca="1">IF(TYPE(VLOOKUP(C142,'KO16'!$D$4:$D$33,1,0))&lt;4,16,999)</f>
        <v>999</v>
      </c>
      <c r="J142" s="160">
        <f ca="1">IF(TYPE(VLOOKUP(C142,'KO8'!$D$4:$D$17,1,0))&lt;4,8,999)</f>
        <v>999</v>
      </c>
      <c r="K142" s="160">
        <f ca="1">IF(TYPE(VLOOKUP(C142,'KO4'!$D$4:$D$9,1,0))&lt;4,4,999)</f>
        <v>999</v>
      </c>
      <c r="L142" s="160">
        <f>Start.listina!$K$7</f>
        <v>45</v>
      </c>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12" customHeight="1">
      <c r="A143" s="6" t="str">
        <f>IF(OR(Start.listina!H151&gt;Start.listina!$K$7,Start.listina!G151=TRUE),"",Start.listina!H151)</f>
        <v/>
      </c>
      <c r="B143" s="160" t="str">
        <f>IF(A143&gt;Start.listina!$K$7,"",ADDRESS(INT((A143-1)/$M$2)+1,IF(MOD(A143,$M$2)=0,IF(MOD(INT((A143-1)/$M$2)+1,2)=1,$M$2,1),IF(MOD(INT((A143-1)/$M$2)+1,2)=1,MOD(A143,$M$2),$M$2-MOD(A143,$M$2)+1)),4,1))</f>
        <v/>
      </c>
      <c r="C143" s="162" t="str">
        <f>Start.listina!$AL151</f>
        <v/>
      </c>
      <c r="D143" s="160" t="str">
        <f>IF(A143&gt;Start.listina!$K$7,"",INT((A143-1)/$M$2)+1)</f>
        <v/>
      </c>
      <c r="E143" s="160" t="str">
        <f>IF(A143&gt;Start.listina!$K$7,"",MIN(F143:L143))</f>
        <v/>
      </c>
      <c r="F143" s="160">
        <f ca="1">IF(TYPE(VLOOKUP(C143,Konečné_pořadí_1_16!$B$2:$D$17,3,0))&lt;4,VLOOKUP(C143,Konečné_pořadí_1_16!$B$2:$D$17,3,0),999)</f>
        <v>999</v>
      </c>
      <c r="G143" s="160">
        <f ca="1">IF(TYPE(VLOOKUP(C143,'KO64'!$D$4:$D$129,1,0))&lt;4,64,999)</f>
        <v>999</v>
      </c>
      <c r="H143" s="160">
        <f ca="1">IF(TYPE(VLOOKUP(C143,'KO32'!$D$4:$D$65,1,0))&lt;4,32,999)</f>
        <v>999</v>
      </c>
      <c r="I143" s="160">
        <f ca="1">IF(TYPE(VLOOKUP(C143,'KO16'!$D$4:$D$33,1,0))&lt;4,16,999)</f>
        <v>999</v>
      </c>
      <c r="J143" s="160">
        <f ca="1">IF(TYPE(VLOOKUP(C143,'KO8'!$D$4:$D$17,1,0))&lt;4,8,999)</f>
        <v>999</v>
      </c>
      <c r="K143" s="160">
        <f ca="1">IF(TYPE(VLOOKUP(C143,'KO4'!$D$4:$D$9,1,0))&lt;4,4,999)</f>
        <v>999</v>
      </c>
      <c r="L143" s="160">
        <f>Start.listina!$K$7</f>
        <v>45</v>
      </c>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12" customHeight="1">
      <c r="A144" s="6" t="str">
        <f>IF(OR(Start.listina!H152&gt;Start.listina!$K$7,Start.listina!G152=TRUE),"",Start.listina!H152)</f>
        <v/>
      </c>
      <c r="B144" s="160" t="str">
        <f>IF(A144&gt;Start.listina!$K$7,"",ADDRESS(INT((A144-1)/$M$2)+1,IF(MOD(A144,$M$2)=0,IF(MOD(INT((A144-1)/$M$2)+1,2)=1,$M$2,1),IF(MOD(INT((A144-1)/$M$2)+1,2)=1,MOD(A144,$M$2),$M$2-MOD(A144,$M$2)+1)),4,1))</f>
        <v/>
      </c>
      <c r="C144" s="162" t="str">
        <f>Start.listina!$AL152</f>
        <v/>
      </c>
      <c r="D144" s="160" t="str">
        <f>IF(A144&gt;Start.listina!$K$7,"",INT((A144-1)/$M$2)+1)</f>
        <v/>
      </c>
      <c r="E144" s="160" t="str">
        <f>IF(A144&gt;Start.listina!$K$7,"",MIN(F144:L144))</f>
        <v/>
      </c>
      <c r="F144" s="160">
        <f ca="1">IF(TYPE(VLOOKUP(C144,Konečné_pořadí_1_16!$B$2:$D$17,3,0))&lt;4,VLOOKUP(C144,Konečné_pořadí_1_16!$B$2:$D$17,3,0),999)</f>
        <v>999</v>
      </c>
      <c r="G144" s="160">
        <f ca="1">IF(TYPE(VLOOKUP(C144,'KO64'!$D$4:$D$129,1,0))&lt;4,64,999)</f>
        <v>999</v>
      </c>
      <c r="H144" s="160">
        <f ca="1">IF(TYPE(VLOOKUP(C144,'KO32'!$D$4:$D$65,1,0))&lt;4,32,999)</f>
        <v>999</v>
      </c>
      <c r="I144" s="160">
        <f ca="1">IF(TYPE(VLOOKUP(C144,'KO16'!$D$4:$D$33,1,0))&lt;4,16,999)</f>
        <v>999</v>
      </c>
      <c r="J144" s="160">
        <f ca="1">IF(TYPE(VLOOKUP(C144,'KO8'!$D$4:$D$17,1,0))&lt;4,8,999)</f>
        <v>999</v>
      </c>
      <c r="K144" s="160">
        <f ca="1">IF(TYPE(VLOOKUP(C144,'KO4'!$D$4:$D$9,1,0))&lt;4,4,999)</f>
        <v>999</v>
      </c>
      <c r="L144" s="160">
        <f>Start.listina!$K$7</f>
        <v>45</v>
      </c>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12" customHeight="1">
      <c r="A145" s="6" t="str">
        <f>IF(OR(Start.listina!H153&gt;Start.listina!$K$7,Start.listina!G153=TRUE),"",Start.listina!H153)</f>
        <v/>
      </c>
      <c r="B145" s="160" t="str">
        <f>IF(A145&gt;Start.listina!$K$7,"",ADDRESS(INT((A145-1)/$M$2)+1,IF(MOD(A145,$M$2)=0,IF(MOD(INT((A145-1)/$M$2)+1,2)=1,$M$2,1),IF(MOD(INT((A145-1)/$M$2)+1,2)=1,MOD(A145,$M$2),$M$2-MOD(A145,$M$2)+1)),4,1))</f>
        <v/>
      </c>
      <c r="C145" s="162" t="str">
        <f>Start.listina!$AL153</f>
        <v/>
      </c>
      <c r="D145" s="160" t="str">
        <f>IF(A145&gt;Start.listina!$K$7,"",INT((A145-1)/$M$2)+1)</f>
        <v/>
      </c>
      <c r="E145" s="160" t="str">
        <f>IF(A145&gt;Start.listina!$K$7,"",MIN(F145:L145))</f>
        <v/>
      </c>
      <c r="F145" s="160">
        <f ca="1">IF(TYPE(VLOOKUP(C145,Konečné_pořadí_1_16!$B$2:$D$17,3,0))&lt;4,VLOOKUP(C145,Konečné_pořadí_1_16!$B$2:$D$17,3,0),999)</f>
        <v>999</v>
      </c>
      <c r="G145" s="160">
        <f ca="1">IF(TYPE(VLOOKUP(C145,'KO64'!$D$4:$D$129,1,0))&lt;4,64,999)</f>
        <v>999</v>
      </c>
      <c r="H145" s="160">
        <f ca="1">IF(TYPE(VLOOKUP(C145,'KO32'!$D$4:$D$65,1,0))&lt;4,32,999)</f>
        <v>999</v>
      </c>
      <c r="I145" s="160">
        <f ca="1">IF(TYPE(VLOOKUP(C145,'KO16'!$D$4:$D$33,1,0))&lt;4,16,999)</f>
        <v>999</v>
      </c>
      <c r="J145" s="160">
        <f ca="1">IF(TYPE(VLOOKUP(C145,'KO8'!$D$4:$D$17,1,0))&lt;4,8,999)</f>
        <v>999</v>
      </c>
      <c r="K145" s="160">
        <f ca="1">IF(TYPE(VLOOKUP(C145,'KO4'!$D$4:$D$9,1,0))&lt;4,4,999)</f>
        <v>999</v>
      </c>
      <c r="L145" s="160">
        <f>Start.listina!$K$7</f>
        <v>45</v>
      </c>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12" customHeight="1">
      <c r="A146" s="6" t="str">
        <f>IF(OR(Start.listina!H154&gt;Start.listina!$K$7,Start.listina!G154=TRUE),"",Start.listina!H154)</f>
        <v/>
      </c>
      <c r="B146" s="160" t="str">
        <f>IF(A146&gt;Start.listina!$K$7,"",ADDRESS(INT((A146-1)/$M$2)+1,IF(MOD(A146,$M$2)=0,IF(MOD(INT((A146-1)/$M$2)+1,2)=1,$M$2,1),IF(MOD(INT((A146-1)/$M$2)+1,2)=1,MOD(A146,$M$2),$M$2-MOD(A146,$M$2)+1)),4,1))</f>
        <v/>
      </c>
      <c r="C146" s="162" t="str">
        <f>Start.listina!$AL154</f>
        <v/>
      </c>
      <c r="D146" s="160" t="str">
        <f>IF(A146&gt;Start.listina!$K$7,"",INT((A146-1)/$M$2)+1)</f>
        <v/>
      </c>
      <c r="E146" s="160" t="str">
        <f>IF(A146&gt;Start.listina!$K$7,"",MIN(F146:L146))</f>
        <v/>
      </c>
      <c r="F146" s="160">
        <f ca="1">IF(TYPE(VLOOKUP(C146,Konečné_pořadí_1_16!$B$2:$D$17,3,0))&lt;4,VLOOKUP(C146,Konečné_pořadí_1_16!$B$2:$D$17,3,0),999)</f>
        <v>999</v>
      </c>
      <c r="G146" s="160">
        <f ca="1">IF(TYPE(VLOOKUP(C146,'KO64'!$D$4:$D$129,1,0))&lt;4,64,999)</f>
        <v>999</v>
      </c>
      <c r="H146" s="160">
        <f ca="1">IF(TYPE(VLOOKUP(C146,'KO32'!$D$4:$D$65,1,0))&lt;4,32,999)</f>
        <v>999</v>
      </c>
      <c r="I146" s="160">
        <f ca="1">IF(TYPE(VLOOKUP(C146,'KO16'!$D$4:$D$33,1,0))&lt;4,16,999)</f>
        <v>999</v>
      </c>
      <c r="J146" s="160">
        <f ca="1">IF(TYPE(VLOOKUP(C146,'KO8'!$D$4:$D$17,1,0))&lt;4,8,999)</f>
        <v>999</v>
      </c>
      <c r="K146" s="160">
        <f ca="1">IF(TYPE(VLOOKUP(C146,'KO4'!$D$4:$D$9,1,0))&lt;4,4,999)</f>
        <v>999</v>
      </c>
      <c r="L146" s="160">
        <f>Start.listina!$K$7</f>
        <v>45</v>
      </c>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12" customHeight="1">
      <c r="A147" s="6" t="str">
        <f>IF(OR(Start.listina!H155&gt;Start.listina!$K$7,Start.listina!G155=TRUE),"",Start.listina!H155)</f>
        <v/>
      </c>
      <c r="B147" s="160" t="str">
        <f>IF(A147&gt;Start.listina!$K$7,"",ADDRESS(INT((A147-1)/$M$2)+1,IF(MOD(A147,$M$2)=0,IF(MOD(INT((A147-1)/$M$2)+1,2)=1,$M$2,1),IF(MOD(INT((A147-1)/$M$2)+1,2)=1,MOD(A147,$M$2),$M$2-MOD(A147,$M$2)+1)),4,1))</f>
        <v/>
      </c>
      <c r="C147" s="162" t="str">
        <f>Start.listina!$AL155</f>
        <v/>
      </c>
      <c r="D147" s="160" t="str">
        <f>IF(A147&gt;Start.listina!$K$7,"",INT((A147-1)/$M$2)+1)</f>
        <v/>
      </c>
      <c r="E147" s="160" t="str">
        <f>IF(A147&gt;Start.listina!$K$7,"",MIN(F147:L147))</f>
        <v/>
      </c>
      <c r="F147" s="160">
        <f ca="1">IF(TYPE(VLOOKUP(C147,Konečné_pořadí_1_16!$B$2:$D$17,3,0))&lt;4,VLOOKUP(C147,Konečné_pořadí_1_16!$B$2:$D$17,3,0),999)</f>
        <v>999</v>
      </c>
      <c r="G147" s="160">
        <f ca="1">IF(TYPE(VLOOKUP(C147,'KO64'!$D$4:$D$129,1,0))&lt;4,64,999)</f>
        <v>999</v>
      </c>
      <c r="H147" s="160">
        <f ca="1">IF(TYPE(VLOOKUP(C147,'KO32'!$D$4:$D$65,1,0))&lt;4,32,999)</f>
        <v>999</v>
      </c>
      <c r="I147" s="160">
        <f ca="1">IF(TYPE(VLOOKUP(C147,'KO16'!$D$4:$D$33,1,0))&lt;4,16,999)</f>
        <v>999</v>
      </c>
      <c r="J147" s="160">
        <f ca="1">IF(TYPE(VLOOKUP(C147,'KO8'!$D$4:$D$17,1,0))&lt;4,8,999)</f>
        <v>999</v>
      </c>
      <c r="K147" s="160">
        <f ca="1">IF(TYPE(VLOOKUP(C147,'KO4'!$D$4:$D$9,1,0))&lt;4,4,999)</f>
        <v>999</v>
      </c>
      <c r="L147" s="160">
        <f>Start.listina!$K$7</f>
        <v>45</v>
      </c>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12" customHeight="1">
      <c r="A148" s="6" t="str">
        <f>IF(OR(Start.listina!H156&gt;Start.listina!$K$7,Start.listina!G156=TRUE),"",Start.listina!H156)</f>
        <v/>
      </c>
      <c r="B148" s="160" t="str">
        <f>IF(A148&gt;Start.listina!$K$7,"",ADDRESS(INT((A148-1)/$M$2)+1,IF(MOD(A148,$M$2)=0,IF(MOD(INT((A148-1)/$M$2)+1,2)=1,$M$2,1),IF(MOD(INT((A148-1)/$M$2)+1,2)=1,MOD(A148,$M$2),$M$2-MOD(A148,$M$2)+1)),4,1))</f>
        <v/>
      </c>
      <c r="C148" s="162" t="str">
        <f>Start.listina!$AL156</f>
        <v/>
      </c>
      <c r="D148" s="160" t="str">
        <f>IF(A148&gt;Start.listina!$K$7,"",INT((A148-1)/$M$2)+1)</f>
        <v/>
      </c>
      <c r="E148" s="160" t="str">
        <f>IF(A148&gt;Start.listina!$K$7,"",MIN(F148:L148))</f>
        <v/>
      </c>
      <c r="F148" s="160">
        <f ca="1">IF(TYPE(VLOOKUP(C148,Konečné_pořadí_1_16!$B$2:$D$17,3,0))&lt;4,VLOOKUP(C148,Konečné_pořadí_1_16!$B$2:$D$17,3,0),999)</f>
        <v>999</v>
      </c>
      <c r="G148" s="160">
        <f ca="1">IF(TYPE(VLOOKUP(C148,'KO64'!$D$4:$D$129,1,0))&lt;4,64,999)</f>
        <v>999</v>
      </c>
      <c r="H148" s="160">
        <f ca="1">IF(TYPE(VLOOKUP(C148,'KO32'!$D$4:$D$65,1,0))&lt;4,32,999)</f>
        <v>999</v>
      </c>
      <c r="I148" s="160">
        <f ca="1">IF(TYPE(VLOOKUP(C148,'KO16'!$D$4:$D$33,1,0))&lt;4,16,999)</f>
        <v>999</v>
      </c>
      <c r="J148" s="160">
        <f ca="1">IF(TYPE(VLOOKUP(C148,'KO8'!$D$4:$D$17,1,0))&lt;4,8,999)</f>
        <v>999</v>
      </c>
      <c r="K148" s="160">
        <f ca="1">IF(TYPE(VLOOKUP(C148,'KO4'!$D$4:$D$9,1,0))&lt;4,4,999)</f>
        <v>999</v>
      </c>
      <c r="L148" s="160">
        <f>Start.listina!$K$7</f>
        <v>45</v>
      </c>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12" customHeight="1">
      <c r="A149" s="6" t="str">
        <f>IF(OR(Start.listina!H157&gt;Start.listina!$K$7,Start.listina!G157=TRUE),"",Start.listina!H157)</f>
        <v/>
      </c>
      <c r="B149" s="160" t="str">
        <f>IF(A149&gt;Start.listina!$K$7,"",ADDRESS(INT((A149-1)/$M$2)+1,IF(MOD(A149,$M$2)=0,IF(MOD(INT((A149-1)/$M$2)+1,2)=1,$M$2,1),IF(MOD(INT((A149-1)/$M$2)+1,2)=1,MOD(A149,$M$2),$M$2-MOD(A149,$M$2)+1)),4,1))</f>
        <v/>
      </c>
      <c r="C149" s="162" t="str">
        <f>Start.listina!$AL157</f>
        <v/>
      </c>
      <c r="D149" s="160" t="str">
        <f>IF(A149&gt;Start.listina!$K$7,"",INT((A149-1)/$M$2)+1)</f>
        <v/>
      </c>
      <c r="E149" s="160" t="str">
        <f>IF(A149&gt;Start.listina!$K$7,"",MIN(F149:L149))</f>
        <v/>
      </c>
      <c r="F149" s="160">
        <f ca="1">IF(TYPE(VLOOKUP(C149,Konečné_pořadí_1_16!$B$2:$D$17,3,0))&lt;4,VLOOKUP(C149,Konečné_pořadí_1_16!$B$2:$D$17,3,0),999)</f>
        <v>999</v>
      </c>
      <c r="G149" s="160">
        <f ca="1">IF(TYPE(VLOOKUP(C149,'KO64'!$D$4:$D$129,1,0))&lt;4,64,999)</f>
        <v>999</v>
      </c>
      <c r="H149" s="160">
        <f ca="1">IF(TYPE(VLOOKUP(C149,'KO32'!$D$4:$D$65,1,0))&lt;4,32,999)</f>
        <v>999</v>
      </c>
      <c r="I149" s="160">
        <f ca="1">IF(TYPE(VLOOKUP(C149,'KO16'!$D$4:$D$33,1,0))&lt;4,16,999)</f>
        <v>999</v>
      </c>
      <c r="J149" s="160">
        <f ca="1">IF(TYPE(VLOOKUP(C149,'KO8'!$D$4:$D$17,1,0))&lt;4,8,999)</f>
        <v>999</v>
      </c>
      <c r="K149" s="160">
        <f ca="1">IF(TYPE(VLOOKUP(C149,'KO4'!$D$4:$D$9,1,0))&lt;4,4,999)</f>
        <v>999</v>
      </c>
      <c r="L149" s="160">
        <f>Start.listina!$K$7</f>
        <v>45</v>
      </c>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12" customHeight="1">
      <c r="A150" s="6" t="str">
        <f>IF(OR(Start.listina!H158&gt;Start.listina!$K$7,Start.listina!G158=TRUE),"",Start.listina!H158)</f>
        <v/>
      </c>
      <c r="B150" s="160" t="str">
        <f>IF(A150&gt;Start.listina!$K$7,"",ADDRESS(INT((A150-1)/$M$2)+1,IF(MOD(A150,$M$2)=0,IF(MOD(INT((A150-1)/$M$2)+1,2)=1,$M$2,1),IF(MOD(INT((A150-1)/$M$2)+1,2)=1,MOD(A150,$M$2),$M$2-MOD(A150,$M$2)+1)),4,1))</f>
        <v/>
      </c>
      <c r="C150" s="162" t="str">
        <f>Start.listina!$AL158</f>
        <v/>
      </c>
      <c r="D150" s="160" t="str">
        <f>IF(A150&gt;Start.listina!$K$7,"",INT((A150-1)/$M$2)+1)</f>
        <v/>
      </c>
      <c r="E150" s="160" t="str">
        <f>IF(A150&gt;Start.listina!$K$7,"",MIN(F150:L150))</f>
        <v/>
      </c>
      <c r="F150" s="160">
        <f ca="1">IF(TYPE(VLOOKUP(C150,Konečné_pořadí_1_16!$B$2:$D$17,3,0))&lt;4,VLOOKUP(C150,Konečné_pořadí_1_16!$B$2:$D$17,3,0),999)</f>
        <v>999</v>
      </c>
      <c r="G150" s="160">
        <f ca="1">IF(TYPE(VLOOKUP(C150,'KO64'!$D$4:$D$129,1,0))&lt;4,64,999)</f>
        <v>999</v>
      </c>
      <c r="H150" s="160">
        <f ca="1">IF(TYPE(VLOOKUP(C150,'KO32'!$D$4:$D$65,1,0))&lt;4,32,999)</f>
        <v>999</v>
      </c>
      <c r="I150" s="160">
        <f ca="1">IF(TYPE(VLOOKUP(C150,'KO16'!$D$4:$D$33,1,0))&lt;4,16,999)</f>
        <v>999</v>
      </c>
      <c r="J150" s="160">
        <f ca="1">IF(TYPE(VLOOKUP(C150,'KO8'!$D$4:$D$17,1,0))&lt;4,8,999)</f>
        <v>999</v>
      </c>
      <c r="K150" s="160">
        <f ca="1">IF(TYPE(VLOOKUP(C150,'KO4'!$D$4:$D$9,1,0))&lt;4,4,999)</f>
        <v>999</v>
      </c>
      <c r="L150" s="160">
        <f>Start.listina!$K$7</f>
        <v>45</v>
      </c>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row>
    <row r="151" spans="1:34" ht="12" customHeight="1">
      <c r="A151" s="6" t="str">
        <f>IF(OR(Start.listina!H159&gt;Start.listina!$K$7,Start.listina!G159=TRUE),"",Start.listina!H159)</f>
        <v/>
      </c>
      <c r="B151" s="160" t="str">
        <f>IF(A151&gt;Start.listina!$K$7,"",ADDRESS(INT((A151-1)/$M$2)+1,IF(MOD(A151,$M$2)=0,IF(MOD(INT((A151-1)/$M$2)+1,2)=1,$M$2,1),IF(MOD(INT((A151-1)/$M$2)+1,2)=1,MOD(A151,$M$2),$M$2-MOD(A151,$M$2)+1)),4,1))</f>
        <v/>
      </c>
      <c r="C151" s="162" t="str">
        <f>Start.listina!$AL159</f>
        <v/>
      </c>
      <c r="D151" s="160" t="str">
        <f>IF(A151&gt;Start.listina!$K$7,"",INT((A151-1)/$M$2)+1)</f>
        <v/>
      </c>
      <c r="E151" s="160" t="str">
        <f>IF(A151&gt;Start.listina!$K$7,"",MIN(F151:L151))</f>
        <v/>
      </c>
      <c r="F151" s="160">
        <f ca="1">IF(TYPE(VLOOKUP(C151,Konečné_pořadí_1_16!$B$2:$D$17,3,0))&lt;4,VLOOKUP(C151,Konečné_pořadí_1_16!$B$2:$D$17,3,0),999)</f>
        <v>999</v>
      </c>
      <c r="G151" s="160">
        <f ca="1">IF(TYPE(VLOOKUP(C151,'KO64'!$D$4:$D$129,1,0))&lt;4,64,999)</f>
        <v>999</v>
      </c>
      <c r="H151" s="160">
        <f ca="1">IF(TYPE(VLOOKUP(C151,'KO32'!$D$4:$D$65,1,0))&lt;4,32,999)</f>
        <v>999</v>
      </c>
      <c r="I151" s="160">
        <f ca="1">IF(TYPE(VLOOKUP(C151,'KO16'!$D$4:$D$33,1,0))&lt;4,16,999)</f>
        <v>999</v>
      </c>
      <c r="J151" s="160">
        <f ca="1">IF(TYPE(VLOOKUP(C151,'KO8'!$D$4:$D$17,1,0))&lt;4,8,999)</f>
        <v>999</v>
      </c>
      <c r="K151" s="160">
        <f ca="1">IF(TYPE(VLOOKUP(C151,'KO4'!$D$4:$D$9,1,0))&lt;4,4,999)</f>
        <v>999</v>
      </c>
      <c r="L151" s="160">
        <f>Start.listina!$K$7</f>
        <v>45</v>
      </c>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row>
    <row r="152" spans="1:34" ht="12" customHeight="1">
      <c r="A152" s="6" t="str">
        <f>IF(OR(Start.listina!H160&gt;Start.listina!$K$7,Start.listina!G160=TRUE),"",Start.listina!H160)</f>
        <v/>
      </c>
      <c r="B152" s="160" t="str">
        <f>IF(A152&gt;Start.listina!$K$7,"",ADDRESS(INT((A152-1)/$M$2)+1,IF(MOD(A152,$M$2)=0,IF(MOD(INT((A152-1)/$M$2)+1,2)=1,$M$2,1),IF(MOD(INT((A152-1)/$M$2)+1,2)=1,MOD(A152,$M$2),$M$2-MOD(A152,$M$2)+1)),4,1))</f>
        <v/>
      </c>
      <c r="C152" s="162" t="str">
        <f>Start.listina!$AL160</f>
        <v/>
      </c>
      <c r="D152" s="160" t="str">
        <f>IF(A152&gt;Start.listina!$K$7,"",INT((A152-1)/$M$2)+1)</f>
        <v/>
      </c>
      <c r="E152" s="160" t="str">
        <f>IF(A152&gt;Start.listina!$K$7,"",MIN(F152:L152))</f>
        <v/>
      </c>
      <c r="F152" s="160">
        <f ca="1">IF(TYPE(VLOOKUP(C152,Konečné_pořadí_1_16!$B$2:$D$17,3,0))&lt;4,VLOOKUP(C152,Konečné_pořadí_1_16!$B$2:$D$17,3,0),999)</f>
        <v>999</v>
      </c>
      <c r="G152" s="160">
        <f ca="1">IF(TYPE(VLOOKUP(C152,'KO64'!$D$4:$D$129,1,0))&lt;4,64,999)</f>
        <v>999</v>
      </c>
      <c r="H152" s="160">
        <f ca="1">IF(TYPE(VLOOKUP(C152,'KO32'!$D$4:$D$65,1,0))&lt;4,32,999)</f>
        <v>999</v>
      </c>
      <c r="I152" s="160">
        <f ca="1">IF(TYPE(VLOOKUP(C152,'KO16'!$D$4:$D$33,1,0))&lt;4,16,999)</f>
        <v>999</v>
      </c>
      <c r="J152" s="160">
        <f ca="1">IF(TYPE(VLOOKUP(C152,'KO8'!$D$4:$D$17,1,0))&lt;4,8,999)</f>
        <v>999</v>
      </c>
      <c r="K152" s="160">
        <f ca="1">IF(TYPE(VLOOKUP(C152,'KO4'!$D$4:$D$9,1,0))&lt;4,4,999)</f>
        <v>999</v>
      </c>
      <c r="L152" s="160">
        <f>Start.listina!$K$7</f>
        <v>45</v>
      </c>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row>
    <row r="153" spans="1:34" ht="12" customHeight="1">
      <c r="A153" s="6" t="str">
        <f>IF(OR(Start.listina!H161&gt;Start.listina!$K$7,Start.listina!G161=TRUE),"",Start.listina!H161)</f>
        <v/>
      </c>
      <c r="B153" s="160" t="str">
        <f>IF(A153&gt;Start.listina!$K$7,"",ADDRESS(INT((A153-1)/$M$2)+1,IF(MOD(A153,$M$2)=0,IF(MOD(INT((A153-1)/$M$2)+1,2)=1,$M$2,1),IF(MOD(INT((A153-1)/$M$2)+1,2)=1,MOD(A153,$M$2),$M$2-MOD(A153,$M$2)+1)),4,1))</f>
        <v/>
      </c>
      <c r="C153" s="162" t="str">
        <f>Start.listina!$AL161</f>
        <v/>
      </c>
      <c r="D153" s="160" t="str">
        <f>IF(A153&gt;Start.listina!$K$7,"",INT((A153-1)/$M$2)+1)</f>
        <v/>
      </c>
      <c r="E153" s="160" t="str">
        <f>IF(A153&gt;Start.listina!$K$7,"",MIN(F153:L153))</f>
        <v/>
      </c>
      <c r="F153" s="160">
        <f ca="1">IF(TYPE(VLOOKUP(C153,Konečné_pořadí_1_16!$B$2:$D$17,3,0))&lt;4,VLOOKUP(C153,Konečné_pořadí_1_16!$B$2:$D$17,3,0),999)</f>
        <v>999</v>
      </c>
      <c r="G153" s="160">
        <f ca="1">IF(TYPE(VLOOKUP(C153,'KO64'!$D$4:$D$129,1,0))&lt;4,64,999)</f>
        <v>999</v>
      </c>
      <c r="H153" s="160">
        <f ca="1">IF(TYPE(VLOOKUP(C153,'KO32'!$D$4:$D$65,1,0))&lt;4,32,999)</f>
        <v>999</v>
      </c>
      <c r="I153" s="160">
        <f ca="1">IF(TYPE(VLOOKUP(C153,'KO16'!$D$4:$D$33,1,0))&lt;4,16,999)</f>
        <v>999</v>
      </c>
      <c r="J153" s="160">
        <f ca="1">IF(TYPE(VLOOKUP(C153,'KO8'!$D$4:$D$17,1,0))&lt;4,8,999)</f>
        <v>999</v>
      </c>
      <c r="K153" s="160">
        <f ca="1">IF(TYPE(VLOOKUP(C153,'KO4'!$D$4:$D$9,1,0))&lt;4,4,999)</f>
        <v>999</v>
      </c>
      <c r="L153" s="160">
        <f>Start.listina!$K$7</f>
        <v>45</v>
      </c>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row>
    <row r="154" spans="1:34" ht="12" customHeight="1">
      <c r="A154" s="6" t="str">
        <f>IF(OR(Start.listina!H162&gt;Start.listina!$K$7,Start.listina!G162=TRUE),"",Start.listina!H162)</f>
        <v/>
      </c>
      <c r="B154" s="160" t="str">
        <f>IF(A154&gt;Start.listina!$K$7,"",ADDRESS(INT((A154-1)/$M$2)+1,IF(MOD(A154,$M$2)=0,IF(MOD(INT((A154-1)/$M$2)+1,2)=1,$M$2,1),IF(MOD(INT((A154-1)/$M$2)+1,2)=1,MOD(A154,$M$2),$M$2-MOD(A154,$M$2)+1)),4,1))</f>
        <v/>
      </c>
      <c r="C154" s="162" t="str">
        <f>Start.listina!$AL162</f>
        <v/>
      </c>
      <c r="D154" s="160" t="str">
        <f>IF(A154&gt;Start.listina!$K$7,"",INT((A154-1)/$M$2)+1)</f>
        <v/>
      </c>
      <c r="E154" s="160" t="str">
        <f>IF(A154&gt;Start.listina!$K$7,"",MIN(F154:L154))</f>
        <v/>
      </c>
      <c r="F154" s="160">
        <f ca="1">IF(TYPE(VLOOKUP(C154,Konečné_pořadí_1_16!$B$2:$D$17,3,0))&lt;4,VLOOKUP(C154,Konečné_pořadí_1_16!$B$2:$D$17,3,0),999)</f>
        <v>999</v>
      </c>
      <c r="G154" s="160">
        <f ca="1">IF(TYPE(VLOOKUP(C154,'KO64'!$D$4:$D$129,1,0))&lt;4,64,999)</f>
        <v>999</v>
      </c>
      <c r="H154" s="160">
        <f ca="1">IF(TYPE(VLOOKUP(C154,'KO32'!$D$4:$D$65,1,0))&lt;4,32,999)</f>
        <v>999</v>
      </c>
      <c r="I154" s="160">
        <f ca="1">IF(TYPE(VLOOKUP(C154,'KO16'!$D$4:$D$33,1,0))&lt;4,16,999)</f>
        <v>999</v>
      </c>
      <c r="J154" s="160">
        <f ca="1">IF(TYPE(VLOOKUP(C154,'KO8'!$D$4:$D$17,1,0))&lt;4,8,999)</f>
        <v>999</v>
      </c>
      <c r="K154" s="160">
        <f ca="1">IF(TYPE(VLOOKUP(C154,'KO4'!$D$4:$D$9,1,0))&lt;4,4,999)</f>
        <v>999</v>
      </c>
      <c r="L154" s="160">
        <f>Start.listina!$K$7</f>
        <v>45</v>
      </c>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row>
    <row r="155" spans="1:34" ht="12" customHeight="1">
      <c r="A155" s="6" t="str">
        <f>IF(OR(Start.listina!H163&gt;Start.listina!$K$7,Start.listina!G163=TRUE),"",Start.listina!H163)</f>
        <v/>
      </c>
      <c r="B155" s="160" t="str">
        <f>IF(A155&gt;Start.listina!$K$7,"",ADDRESS(INT((A155-1)/$M$2)+1,IF(MOD(A155,$M$2)=0,IF(MOD(INT((A155-1)/$M$2)+1,2)=1,$M$2,1),IF(MOD(INT((A155-1)/$M$2)+1,2)=1,MOD(A155,$M$2),$M$2-MOD(A155,$M$2)+1)),4,1))</f>
        <v/>
      </c>
      <c r="C155" s="162" t="str">
        <f>Start.listina!$AL163</f>
        <v/>
      </c>
      <c r="D155" s="160" t="str">
        <f>IF(A155&gt;Start.listina!$K$7,"",INT((A155-1)/$M$2)+1)</f>
        <v/>
      </c>
      <c r="E155" s="160" t="str">
        <f>IF(A155&gt;Start.listina!$K$7,"",MIN(F155:L155))</f>
        <v/>
      </c>
      <c r="F155" s="160">
        <f ca="1">IF(TYPE(VLOOKUP(C155,Konečné_pořadí_1_16!$B$2:$D$17,3,0))&lt;4,VLOOKUP(C155,Konečné_pořadí_1_16!$B$2:$D$17,3,0),999)</f>
        <v>999</v>
      </c>
      <c r="G155" s="160">
        <f ca="1">IF(TYPE(VLOOKUP(C155,'KO64'!$D$4:$D$129,1,0))&lt;4,64,999)</f>
        <v>999</v>
      </c>
      <c r="H155" s="160">
        <f ca="1">IF(TYPE(VLOOKUP(C155,'KO32'!$D$4:$D$65,1,0))&lt;4,32,999)</f>
        <v>999</v>
      </c>
      <c r="I155" s="160">
        <f ca="1">IF(TYPE(VLOOKUP(C155,'KO16'!$D$4:$D$33,1,0))&lt;4,16,999)</f>
        <v>999</v>
      </c>
      <c r="J155" s="160">
        <f ca="1">IF(TYPE(VLOOKUP(C155,'KO8'!$D$4:$D$17,1,0))&lt;4,8,999)</f>
        <v>999</v>
      </c>
      <c r="K155" s="160">
        <f ca="1">IF(TYPE(VLOOKUP(C155,'KO4'!$D$4:$D$9,1,0))&lt;4,4,999)</f>
        <v>999</v>
      </c>
      <c r="L155" s="160">
        <f>Start.listina!$K$7</f>
        <v>45</v>
      </c>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row>
    <row r="156" spans="1:34" ht="12" customHeight="1">
      <c r="A156" s="6" t="str">
        <f>IF(OR(Start.listina!H164&gt;Start.listina!$K$7,Start.listina!G164=TRUE),"",Start.listina!H164)</f>
        <v/>
      </c>
      <c r="B156" s="160" t="str">
        <f>IF(A156&gt;Start.listina!$K$7,"",ADDRESS(INT((A156-1)/$M$2)+1,IF(MOD(A156,$M$2)=0,IF(MOD(INT((A156-1)/$M$2)+1,2)=1,$M$2,1),IF(MOD(INT((A156-1)/$M$2)+1,2)=1,MOD(A156,$M$2),$M$2-MOD(A156,$M$2)+1)),4,1))</f>
        <v/>
      </c>
      <c r="C156" s="162" t="str">
        <f>Start.listina!$AL164</f>
        <v/>
      </c>
      <c r="D156" s="160" t="str">
        <f>IF(A156&gt;Start.listina!$K$7,"",INT((A156-1)/$M$2)+1)</f>
        <v/>
      </c>
      <c r="E156" s="160" t="str">
        <f>IF(A156&gt;Start.listina!$K$7,"",MIN(F156:L156))</f>
        <v/>
      </c>
      <c r="F156" s="160">
        <f ca="1">IF(TYPE(VLOOKUP(C156,Konečné_pořadí_1_16!$B$2:$D$17,3,0))&lt;4,VLOOKUP(C156,Konečné_pořadí_1_16!$B$2:$D$17,3,0),999)</f>
        <v>999</v>
      </c>
      <c r="G156" s="160">
        <f ca="1">IF(TYPE(VLOOKUP(C156,'KO64'!$D$4:$D$129,1,0))&lt;4,64,999)</f>
        <v>999</v>
      </c>
      <c r="H156" s="160">
        <f ca="1">IF(TYPE(VLOOKUP(C156,'KO32'!$D$4:$D$65,1,0))&lt;4,32,999)</f>
        <v>999</v>
      </c>
      <c r="I156" s="160">
        <f ca="1">IF(TYPE(VLOOKUP(C156,'KO16'!$D$4:$D$33,1,0))&lt;4,16,999)</f>
        <v>999</v>
      </c>
      <c r="J156" s="160">
        <f ca="1">IF(TYPE(VLOOKUP(C156,'KO8'!$D$4:$D$17,1,0))&lt;4,8,999)</f>
        <v>999</v>
      </c>
      <c r="K156" s="160">
        <f ca="1">IF(TYPE(VLOOKUP(C156,'KO4'!$D$4:$D$9,1,0))&lt;4,4,999)</f>
        <v>999</v>
      </c>
      <c r="L156" s="160">
        <f>Start.listina!$K$7</f>
        <v>45</v>
      </c>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row>
    <row r="157" spans="1:34" ht="12" customHeight="1">
      <c r="A157" s="6" t="str">
        <f>IF(OR(Start.listina!H165&gt;Start.listina!$K$7,Start.listina!G165=TRUE),"",Start.listina!H165)</f>
        <v/>
      </c>
      <c r="B157" s="160" t="str">
        <f>IF(A157&gt;Start.listina!$K$7,"",ADDRESS(INT((A157-1)/$M$2)+1,IF(MOD(A157,$M$2)=0,IF(MOD(INT((A157-1)/$M$2)+1,2)=1,$M$2,1),IF(MOD(INT((A157-1)/$M$2)+1,2)=1,MOD(A157,$M$2),$M$2-MOD(A157,$M$2)+1)),4,1))</f>
        <v/>
      </c>
      <c r="C157" s="162" t="str">
        <f>Start.listina!$AL165</f>
        <v/>
      </c>
      <c r="D157" s="160" t="str">
        <f>IF(A157&gt;Start.listina!$K$7,"",INT((A157-1)/$M$2)+1)</f>
        <v/>
      </c>
      <c r="E157" s="160" t="str">
        <f>IF(A157&gt;Start.listina!$K$7,"",MIN(F157:L157))</f>
        <v/>
      </c>
      <c r="F157" s="160">
        <f ca="1">IF(TYPE(VLOOKUP(C157,Konečné_pořadí_1_16!$B$2:$D$17,3,0))&lt;4,VLOOKUP(C157,Konečné_pořadí_1_16!$B$2:$D$17,3,0),999)</f>
        <v>999</v>
      </c>
      <c r="G157" s="160">
        <f ca="1">IF(TYPE(VLOOKUP(C157,'KO64'!$D$4:$D$129,1,0))&lt;4,64,999)</f>
        <v>999</v>
      </c>
      <c r="H157" s="160">
        <f ca="1">IF(TYPE(VLOOKUP(C157,'KO32'!$D$4:$D$65,1,0))&lt;4,32,999)</f>
        <v>999</v>
      </c>
      <c r="I157" s="160">
        <f ca="1">IF(TYPE(VLOOKUP(C157,'KO16'!$D$4:$D$33,1,0))&lt;4,16,999)</f>
        <v>999</v>
      </c>
      <c r="J157" s="160">
        <f ca="1">IF(TYPE(VLOOKUP(C157,'KO8'!$D$4:$D$17,1,0))&lt;4,8,999)</f>
        <v>999</v>
      </c>
      <c r="K157" s="160">
        <f ca="1">IF(TYPE(VLOOKUP(C157,'KO4'!$D$4:$D$9,1,0))&lt;4,4,999)</f>
        <v>999</v>
      </c>
      <c r="L157" s="160">
        <f>Start.listina!$K$7</f>
        <v>45</v>
      </c>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row>
    <row r="158" spans="1:34" ht="12" customHeight="1">
      <c r="A158" s="6" t="str">
        <f>IF(OR(Start.listina!H166&gt;Start.listina!$K$7,Start.listina!G166=TRUE),"",Start.listina!H166)</f>
        <v/>
      </c>
      <c r="B158" s="160" t="str">
        <f>IF(A158&gt;Start.listina!$K$7,"",ADDRESS(INT((A158-1)/$M$2)+1,IF(MOD(A158,$M$2)=0,IF(MOD(INT((A158-1)/$M$2)+1,2)=1,$M$2,1),IF(MOD(INT((A158-1)/$M$2)+1,2)=1,MOD(A158,$M$2),$M$2-MOD(A158,$M$2)+1)),4,1))</f>
        <v/>
      </c>
      <c r="C158" s="162" t="str">
        <f>Start.listina!$AL166</f>
        <v/>
      </c>
      <c r="D158" s="160" t="str">
        <f>IF(A158&gt;Start.listina!$K$7,"",INT((A158-1)/$M$2)+1)</f>
        <v/>
      </c>
      <c r="E158" s="160" t="str">
        <f>IF(A158&gt;Start.listina!$K$7,"",MIN(F158:L158))</f>
        <v/>
      </c>
      <c r="F158" s="160">
        <f ca="1">IF(TYPE(VLOOKUP(C158,Konečné_pořadí_1_16!$B$2:$D$17,3,0))&lt;4,VLOOKUP(C158,Konečné_pořadí_1_16!$B$2:$D$17,3,0),999)</f>
        <v>999</v>
      </c>
      <c r="G158" s="160">
        <f ca="1">IF(TYPE(VLOOKUP(C158,'KO64'!$D$4:$D$129,1,0))&lt;4,64,999)</f>
        <v>999</v>
      </c>
      <c r="H158" s="160">
        <f ca="1">IF(TYPE(VLOOKUP(C158,'KO32'!$D$4:$D$65,1,0))&lt;4,32,999)</f>
        <v>999</v>
      </c>
      <c r="I158" s="160">
        <f ca="1">IF(TYPE(VLOOKUP(C158,'KO16'!$D$4:$D$33,1,0))&lt;4,16,999)</f>
        <v>999</v>
      </c>
      <c r="J158" s="160">
        <f ca="1">IF(TYPE(VLOOKUP(C158,'KO8'!$D$4:$D$17,1,0))&lt;4,8,999)</f>
        <v>999</v>
      </c>
      <c r="K158" s="160">
        <f ca="1">IF(TYPE(VLOOKUP(C158,'KO4'!$D$4:$D$9,1,0))&lt;4,4,999)</f>
        <v>999</v>
      </c>
      <c r="L158" s="160">
        <f>Start.listina!$K$7</f>
        <v>45</v>
      </c>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row>
    <row r="159" spans="1:34" ht="12" customHeight="1">
      <c r="A159" s="6" t="str">
        <f>IF(OR(Start.listina!H167&gt;Start.listina!$K$7,Start.listina!G167=TRUE),"",Start.listina!H167)</f>
        <v/>
      </c>
      <c r="B159" s="160" t="str">
        <f>IF(A159&gt;Start.listina!$K$7,"",ADDRESS(INT((A159-1)/$M$2)+1,IF(MOD(A159,$M$2)=0,IF(MOD(INT((A159-1)/$M$2)+1,2)=1,$M$2,1),IF(MOD(INT((A159-1)/$M$2)+1,2)=1,MOD(A159,$M$2),$M$2-MOD(A159,$M$2)+1)),4,1))</f>
        <v/>
      </c>
      <c r="C159" s="162" t="str">
        <f>Start.listina!$AL167</f>
        <v/>
      </c>
      <c r="D159" s="160" t="str">
        <f>IF(A159&gt;Start.listina!$K$7,"",INT((A159-1)/$M$2)+1)</f>
        <v/>
      </c>
      <c r="E159" s="160" t="str">
        <f>IF(A159&gt;Start.listina!$K$7,"",MIN(F159:L159))</f>
        <v/>
      </c>
      <c r="F159" s="160">
        <f ca="1">IF(TYPE(VLOOKUP(C159,Konečné_pořadí_1_16!$B$2:$D$17,3,0))&lt;4,VLOOKUP(C159,Konečné_pořadí_1_16!$B$2:$D$17,3,0),999)</f>
        <v>999</v>
      </c>
      <c r="G159" s="160">
        <f ca="1">IF(TYPE(VLOOKUP(C159,'KO64'!$D$4:$D$129,1,0))&lt;4,64,999)</f>
        <v>999</v>
      </c>
      <c r="H159" s="160">
        <f ca="1">IF(TYPE(VLOOKUP(C159,'KO32'!$D$4:$D$65,1,0))&lt;4,32,999)</f>
        <v>999</v>
      </c>
      <c r="I159" s="160">
        <f ca="1">IF(TYPE(VLOOKUP(C159,'KO16'!$D$4:$D$33,1,0))&lt;4,16,999)</f>
        <v>999</v>
      </c>
      <c r="J159" s="160">
        <f ca="1">IF(TYPE(VLOOKUP(C159,'KO8'!$D$4:$D$17,1,0))&lt;4,8,999)</f>
        <v>999</v>
      </c>
      <c r="K159" s="160">
        <f ca="1">IF(TYPE(VLOOKUP(C159,'KO4'!$D$4:$D$9,1,0))&lt;4,4,999)</f>
        <v>999</v>
      </c>
      <c r="L159" s="160">
        <f>Start.listina!$K$7</f>
        <v>45</v>
      </c>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row>
    <row r="160" spans="1:34" ht="12" customHeight="1">
      <c r="A160" s="6" t="str">
        <f>IF(OR(Start.listina!H168&gt;Start.listina!$K$7,Start.listina!G168=TRUE),"",Start.listina!H168)</f>
        <v/>
      </c>
      <c r="B160" s="160" t="str">
        <f>IF(A160&gt;Start.listina!$K$7,"",ADDRESS(INT((A160-1)/$M$2)+1,IF(MOD(A160,$M$2)=0,IF(MOD(INT((A160-1)/$M$2)+1,2)=1,$M$2,1),IF(MOD(INT((A160-1)/$M$2)+1,2)=1,MOD(A160,$M$2),$M$2-MOD(A160,$M$2)+1)),4,1))</f>
        <v/>
      </c>
      <c r="C160" s="162" t="str">
        <f>Start.listina!$AL168</f>
        <v/>
      </c>
      <c r="D160" s="160" t="str">
        <f>IF(A160&gt;Start.listina!$K$7,"",INT((A160-1)/$M$2)+1)</f>
        <v/>
      </c>
      <c r="E160" s="160" t="str">
        <f>IF(A160&gt;Start.listina!$K$7,"",MIN(F160:L160))</f>
        <v/>
      </c>
      <c r="F160" s="160">
        <f ca="1">IF(TYPE(VLOOKUP(C160,Konečné_pořadí_1_16!$B$2:$D$17,3,0))&lt;4,VLOOKUP(C160,Konečné_pořadí_1_16!$B$2:$D$17,3,0),999)</f>
        <v>999</v>
      </c>
      <c r="G160" s="160">
        <f ca="1">IF(TYPE(VLOOKUP(C160,'KO64'!$D$4:$D$129,1,0))&lt;4,64,999)</f>
        <v>999</v>
      </c>
      <c r="H160" s="160">
        <f ca="1">IF(TYPE(VLOOKUP(C160,'KO32'!$D$4:$D$65,1,0))&lt;4,32,999)</f>
        <v>999</v>
      </c>
      <c r="I160" s="160">
        <f ca="1">IF(TYPE(VLOOKUP(C160,'KO16'!$D$4:$D$33,1,0))&lt;4,16,999)</f>
        <v>999</v>
      </c>
      <c r="J160" s="160">
        <f ca="1">IF(TYPE(VLOOKUP(C160,'KO8'!$D$4:$D$17,1,0))&lt;4,8,999)</f>
        <v>999</v>
      </c>
      <c r="K160" s="160">
        <f ca="1">IF(TYPE(VLOOKUP(C160,'KO4'!$D$4:$D$9,1,0))&lt;4,4,999)</f>
        <v>999</v>
      </c>
      <c r="L160" s="160">
        <f>Start.listina!$K$7</f>
        <v>45</v>
      </c>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row>
    <row r="161" spans="1:34" ht="12" customHeight="1">
      <c r="A161" s="6" t="str">
        <f>IF(OR(Start.listina!H169&gt;Start.listina!$K$7,Start.listina!G169=TRUE),"",Start.listina!H169)</f>
        <v/>
      </c>
      <c r="B161" s="160" t="str">
        <f>IF(A161&gt;Start.listina!$K$7,"",ADDRESS(INT((A161-1)/$M$2)+1,IF(MOD(A161,$M$2)=0,IF(MOD(INT((A161-1)/$M$2)+1,2)=1,$M$2,1),IF(MOD(INT((A161-1)/$M$2)+1,2)=1,MOD(A161,$M$2),$M$2-MOD(A161,$M$2)+1)),4,1))</f>
        <v/>
      </c>
      <c r="C161" s="162" t="str">
        <f>Start.listina!$AL169</f>
        <v/>
      </c>
      <c r="D161" s="160" t="str">
        <f>IF(A161&gt;Start.listina!$K$7,"",INT((A161-1)/$M$2)+1)</f>
        <v/>
      </c>
      <c r="E161" s="160" t="str">
        <f>IF(A161&gt;Start.listina!$K$7,"",MIN(F161:L161))</f>
        <v/>
      </c>
      <c r="F161" s="160">
        <f ca="1">IF(TYPE(VLOOKUP(C161,Konečné_pořadí_1_16!$B$2:$D$17,3,0))&lt;4,VLOOKUP(C161,Konečné_pořadí_1_16!$B$2:$D$17,3,0),999)</f>
        <v>999</v>
      </c>
      <c r="G161" s="160">
        <f ca="1">IF(TYPE(VLOOKUP(C161,'KO64'!$D$4:$D$129,1,0))&lt;4,64,999)</f>
        <v>999</v>
      </c>
      <c r="H161" s="160">
        <f ca="1">IF(TYPE(VLOOKUP(C161,'KO32'!$D$4:$D$65,1,0))&lt;4,32,999)</f>
        <v>999</v>
      </c>
      <c r="I161" s="160">
        <f ca="1">IF(TYPE(VLOOKUP(C161,'KO16'!$D$4:$D$33,1,0))&lt;4,16,999)</f>
        <v>999</v>
      </c>
      <c r="J161" s="160">
        <f ca="1">IF(TYPE(VLOOKUP(C161,'KO8'!$D$4:$D$17,1,0))&lt;4,8,999)</f>
        <v>999</v>
      </c>
      <c r="K161" s="160">
        <f ca="1">IF(TYPE(VLOOKUP(C161,'KO4'!$D$4:$D$9,1,0))&lt;4,4,999)</f>
        <v>999</v>
      </c>
      <c r="L161" s="160">
        <f>Start.listina!$K$7</f>
        <v>45</v>
      </c>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row>
    <row r="162" spans="1:34" ht="12" customHeight="1">
      <c r="A162" s="6" t="str">
        <f>IF(OR(Start.listina!H170&gt;Start.listina!$K$7,Start.listina!G170=TRUE),"",Start.listina!H170)</f>
        <v/>
      </c>
      <c r="B162" s="160" t="str">
        <f>IF(A162&gt;Start.listina!$K$7,"",ADDRESS(INT((A162-1)/$M$2)+1,IF(MOD(A162,$M$2)=0,IF(MOD(INT((A162-1)/$M$2)+1,2)=1,$M$2,1),IF(MOD(INT((A162-1)/$M$2)+1,2)=1,MOD(A162,$M$2),$M$2-MOD(A162,$M$2)+1)),4,1))</f>
        <v/>
      </c>
      <c r="C162" s="162" t="str">
        <f>Start.listina!$AL170</f>
        <v/>
      </c>
      <c r="D162" s="160" t="str">
        <f>IF(A162&gt;Start.listina!$K$7,"",INT((A162-1)/$M$2)+1)</f>
        <v/>
      </c>
      <c r="E162" s="160" t="str">
        <f>IF(A162&gt;Start.listina!$K$7,"",MIN(F162:L162))</f>
        <v/>
      </c>
      <c r="F162" s="160">
        <f ca="1">IF(TYPE(VLOOKUP(C162,Konečné_pořadí_1_16!$B$2:$D$17,3,0))&lt;4,VLOOKUP(C162,Konečné_pořadí_1_16!$B$2:$D$17,3,0),999)</f>
        <v>999</v>
      </c>
      <c r="G162" s="160">
        <f ca="1">IF(TYPE(VLOOKUP(C162,'KO64'!$D$4:$D$129,1,0))&lt;4,64,999)</f>
        <v>999</v>
      </c>
      <c r="H162" s="160">
        <f ca="1">IF(TYPE(VLOOKUP(C162,'KO32'!$D$4:$D$65,1,0))&lt;4,32,999)</f>
        <v>999</v>
      </c>
      <c r="I162" s="160">
        <f ca="1">IF(TYPE(VLOOKUP(C162,'KO16'!$D$4:$D$33,1,0))&lt;4,16,999)</f>
        <v>999</v>
      </c>
      <c r="J162" s="160">
        <f ca="1">IF(TYPE(VLOOKUP(C162,'KO8'!$D$4:$D$17,1,0))&lt;4,8,999)</f>
        <v>999</v>
      </c>
      <c r="K162" s="160">
        <f ca="1">IF(TYPE(VLOOKUP(C162,'KO4'!$D$4:$D$9,1,0))&lt;4,4,999)</f>
        <v>999</v>
      </c>
      <c r="L162" s="160">
        <f>Start.listina!$K$7</f>
        <v>45</v>
      </c>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row>
    <row r="163" spans="1:34" ht="12" customHeight="1">
      <c r="A163" s="6" t="str">
        <f>IF(OR(Start.listina!H171&gt;Start.listina!$K$7,Start.listina!G171=TRUE),"",Start.listina!H171)</f>
        <v/>
      </c>
      <c r="B163" s="160" t="str">
        <f>IF(A163&gt;Start.listina!$K$7,"",ADDRESS(INT((A163-1)/$M$2)+1,IF(MOD(A163,$M$2)=0,IF(MOD(INT((A163-1)/$M$2)+1,2)=1,$M$2,1),IF(MOD(INT((A163-1)/$M$2)+1,2)=1,MOD(A163,$M$2),$M$2-MOD(A163,$M$2)+1)),4,1))</f>
        <v/>
      </c>
      <c r="C163" s="162" t="str">
        <f>Start.listina!$AL171</f>
        <v/>
      </c>
      <c r="D163" s="160" t="str">
        <f>IF(A163&gt;Start.listina!$K$7,"",INT((A163-1)/$M$2)+1)</f>
        <v/>
      </c>
      <c r="E163" s="160" t="str">
        <f>IF(A163&gt;Start.listina!$K$7,"",MIN(F163:L163))</f>
        <v/>
      </c>
      <c r="F163" s="160">
        <f ca="1">IF(TYPE(VLOOKUP(C163,Konečné_pořadí_1_16!$B$2:$D$17,3,0))&lt;4,VLOOKUP(C163,Konečné_pořadí_1_16!$B$2:$D$17,3,0),999)</f>
        <v>999</v>
      </c>
      <c r="G163" s="160">
        <f ca="1">IF(TYPE(VLOOKUP(C163,'KO64'!$D$4:$D$129,1,0))&lt;4,64,999)</f>
        <v>999</v>
      </c>
      <c r="H163" s="160">
        <f ca="1">IF(TYPE(VLOOKUP(C163,'KO32'!$D$4:$D$65,1,0))&lt;4,32,999)</f>
        <v>999</v>
      </c>
      <c r="I163" s="160">
        <f ca="1">IF(TYPE(VLOOKUP(C163,'KO16'!$D$4:$D$33,1,0))&lt;4,16,999)</f>
        <v>999</v>
      </c>
      <c r="J163" s="160">
        <f ca="1">IF(TYPE(VLOOKUP(C163,'KO8'!$D$4:$D$17,1,0))&lt;4,8,999)</f>
        <v>999</v>
      </c>
      <c r="K163" s="160">
        <f ca="1">IF(TYPE(VLOOKUP(C163,'KO4'!$D$4:$D$9,1,0))&lt;4,4,999)</f>
        <v>999</v>
      </c>
      <c r="L163" s="160">
        <f>Start.listina!$K$7</f>
        <v>45</v>
      </c>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row>
    <row r="164" spans="1:34" ht="12" customHeight="1">
      <c r="A164" s="6" t="str">
        <f>IF(OR(Start.listina!H172&gt;Start.listina!$K$7,Start.listina!G172=TRUE),"",Start.listina!H172)</f>
        <v/>
      </c>
      <c r="B164" s="160" t="str">
        <f>IF(A164&gt;Start.listina!$K$7,"",ADDRESS(INT((A164-1)/$M$2)+1,IF(MOD(A164,$M$2)=0,IF(MOD(INT((A164-1)/$M$2)+1,2)=1,$M$2,1),IF(MOD(INT((A164-1)/$M$2)+1,2)=1,MOD(A164,$M$2),$M$2-MOD(A164,$M$2)+1)),4,1))</f>
        <v/>
      </c>
      <c r="C164" s="162" t="str">
        <f>Start.listina!$AL172</f>
        <v/>
      </c>
      <c r="D164" s="160" t="str">
        <f>IF(A164&gt;Start.listina!$K$7,"",INT((A164-1)/$M$2)+1)</f>
        <v/>
      </c>
      <c r="E164" s="160" t="str">
        <f>IF(A164&gt;Start.listina!$K$7,"",MIN(F164:L164))</f>
        <v/>
      </c>
      <c r="F164" s="160">
        <f ca="1">IF(TYPE(VLOOKUP(C164,Konečné_pořadí_1_16!$B$2:$D$17,3,0))&lt;4,VLOOKUP(C164,Konečné_pořadí_1_16!$B$2:$D$17,3,0),999)</f>
        <v>999</v>
      </c>
      <c r="G164" s="160">
        <f ca="1">IF(TYPE(VLOOKUP(C164,'KO64'!$D$4:$D$129,1,0))&lt;4,64,999)</f>
        <v>999</v>
      </c>
      <c r="H164" s="160">
        <f ca="1">IF(TYPE(VLOOKUP(C164,'KO32'!$D$4:$D$65,1,0))&lt;4,32,999)</f>
        <v>999</v>
      </c>
      <c r="I164" s="160">
        <f ca="1">IF(TYPE(VLOOKUP(C164,'KO16'!$D$4:$D$33,1,0))&lt;4,16,999)</f>
        <v>999</v>
      </c>
      <c r="J164" s="160">
        <f ca="1">IF(TYPE(VLOOKUP(C164,'KO8'!$D$4:$D$17,1,0))&lt;4,8,999)</f>
        <v>999</v>
      </c>
      <c r="K164" s="160">
        <f ca="1">IF(TYPE(VLOOKUP(C164,'KO4'!$D$4:$D$9,1,0))&lt;4,4,999)</f>
        <v>999</v>
      </c>
      <c r="L164" s="160">
        <f>Start.listina!$K$7</f>
        <v>45</v>
      </c>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row>
    <row r="165" spans="1:34" ht="12" customHeight="1">
      <c r="A165" s="6" t="str">
        <f>IF(OR(Start.listina!H173&gt;Start.listina!$K$7,Start.listina!G173=TRUE),"",Start.listina!H173)</f>
        <v/>
      </c>
      <c r="B165" s="160" t="str">
        <f>IF(A165&gt;Start.listina!$K$7,"",ADDRESS(INT((A165-1)/$M$2)+1,IF(MOD(A165,$M$2)=0,IF(MOD(INT((A165-1)/$M$2)+1,2)=1,$M$2,1),IF(MOD(INT((A165-1)/$M$2)+1,2)=1,MOD(A165,$M$2),$M$2-MOD(A165,$M$2)+1)),4,1))</f>
        <v/>
      </c>
      <c r="C165" s="162" t="str">
        <f>Start.listina!$AL173</f>
        <v/>
      </c>
      <c r="D165" s="160" t="str">
        <f>IF(A165&gt;Start.listina!$K$7,"",INT((A165-1)/$M$2)+1)</f>
        <v/>
      </c>
      <c r="E165" s="160" t="str">
        <f>IF(A165&gt;Start.listina!$K$7,"",MIN(F165:L165))</f>
        <v/>
      </c>
      <c r="F165" s="160">
        <f ca="1">IF(TYPE(VLOOKUP(C165,Konečné_pořadí_1_16!$B$2:$D$17,3,0))&lt;4,VLOOKUP(C165,Konečné_pořadí_1_16!$B$2:$D$17,3,0),999)</f>
        <v>999</v>
      </c>
      <c r="G165" s="160">
        <f ca="1">IF(TYPE(VLOOKUP(C165,'KO64'!$D$4:$D$129,1,0))&lt;4,64,999)</f>
        <v>999</v>
      </c>
      <c r="H165" s="160">
        <f ca="1">IF(TYPE(VLOOKUP(C165,'KO32'!$D$4:$D$65,1,0))&lt;4,32,999)</f>
        <v>999</v>
      </c>
      <c r="I165" s="160">
        <f ca="1">IF(TYPE(VLOOKUP(C165,'KO16'!$D$4:$D$33,1,0))&lt;4,16,999)</f>
        <v>999</v>
      </c>
      <c r="J165" s="160">
        <f ca="1">IF(TYPE(VLOOKUP(C165,'KO8'!$D$4:$D$17,1,0))&lt;4,8,999)</f>
        <v>999</v>
      </c>
      <c r="K165" s="160">
        <f ca="1">IF(TYPE(VLOOKUP(C165,'KO4'!$D$4:$D$9,1,0))&lt;4,4,999)</f>
        <v>999</v>
      </c>
      <c r="L165" s="160">
        <f>Start.listina!$K$7</f>
        <v>45</v>
      </c>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row>
    <row r="166" spans="1:34" ht="12" customHeight="1">
      <c r="A166" s="6" t="str">
        <f>IF(OR(Start.listina!H174&gt;Start.listina!$K$7,Start.listina!G174=TRUE),"",Start.listina!H174)</f>
        <v/>
      </c>
      <c r="B166" s="160" t="str">
        <f>IF(A166&gt;Start.listina!$K$7,"",ADDRESS(INT((A166-1)/$M$2)+1,IF(MOD(A166,$M$2)=0,IF(MOD(INT((A166-1)/$M$2)+1,2)=1,$M$2,1),IF(MOD(INT((A166-1)/$M$2)+1,2)=1,MOD(A166,$M$2),$M$2-MOD(A166,$M$2)+1)),4,1))</f>
        <v/>
      </c>
      <c r="C166" s="162" t="str">
        <f>Start.listina!$AL174</f>
        <v/>
      </c>
      <c r="D166" s="160" t="str">
        <f>IF(A166&gt;Start.listina!$K$7,"",INT((A166-1)/$M$2)+1)</f>
        <v/>
      </c>
      <c r="E166" s="160" t="str">
        <f>IF(A166&gt;Start.listina!$K$7,"",MIN(F166:L166))</f>
        <v/>
      </c>
      <c r="F166" s="160">
        <f ca="1">IF(TYPE(VLOOKUP(C166,Konečné_pořadí_1_16!$B$2:$D$17,3,0))&lt;4,VLOOKUP(C166,Konečné_pořadí_1_16!$B$2:$D$17,3,0),999)</f>
        <v>999</v>
      </c>
      <c r="G166" s="160">
        <f ca="1">IF(TYPE(VLOOKUP(C166,'KO64'!$D$4:$D$129,1,0))&lt;4,64,999)</f>
        <v>999</v>
      </c>
      <c r="H166" s="160">
        <f ca="1">IF(TYPE(VLOOKUP(C166,'KO32'!$D$4:$D$65,1,0))&lt;4,32,999)</f>
        <v>999</v>
      </c>
      <c r="I166" s="160">
        <f ca="1">IF(TYPE(VLOOKUP(C166,'KO16'!$D$4:$D$33,1,0))&lt;4,16,999)</f>
        <v>999</v>
      </c>
      <c r="J166" s="160">
        <f ca="1">IF(TYPE(VLOOKUP(C166,'KO8'!$D$4:$D$17,1,0))&lt;4,8,999)</f>
        <v>999</v>
      </c>
      <c r="K166" s="160">
        <f ca="1">IF(TYPE(VLOOKUP(C166,'KO4'!$D$4:$D$9,1,0))&lt;4,4,999)</f>
        <v>999</v>
      </c>
      <c r="L166" s="160">
        <f>Start.listina!$K$7</f>
        <v>45</v>
      </c>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row>
    <row r="167" spans="1:34" ht="12" customHeight="1">
      <c r="A167" s="6" t="str">
        <f>IF(OR(Start.listina!H175&gt;Start.listina!$K$7,Start.listina!G175=TRUE),"",Start.listina!H175)</f>
        <v/>
      </c>
      <c r="B167" s="160" t="str">
        <f>IF(A167&gt;Start.listina!$K$7,"",ADDRESS(INT((A167-1)/$M$2)+1,IF(MOD(A167,$M$2)=0,IF(MOD(INT((A167-1)/$M$2)+1,2)=1,$M$2,1),IF(MOD(INT((A167-1)/$M$2)+1,2)=1,MOD(A167,$M$2),$M$2-MOD(A167,$M$2)+1)),4,1))</f>
        <v/>
      </c>
      <c r="C167" s="162" t="str">
        <f>Start.listina!$AL175</f>
        <v/>
      </c>
      <c r="D167" s="160" t="str">
        <f>IF(A167&gt;Start.listina!$K$7,"",INT((A167-1)/$M$2)+1)</f>
        <v/>
      </c>
      <c r="E167" s="160" t="str">
        <f>IF(A167&gt;Start.listina!$K$7,"",MIN(F167:L167))</f>
        <v/>
      </c>
      <c r="F167" s="160">
        <f ca="1">IF(TYPE(VLOOKUP(C167,Konečné_pořadí_1_16!$B$2:$D$17,3,0))&lt;4,VLOOKUP(C167,Konečné_pořadí_1_16!$B$2:$D$17,3,0),999)</f>
        <v>999</v>
      </c>
      <c r="G167" s="160">
        <f ca="1">IF(TYPE(VLOOKUP(C167,'KO64'!$D$4:$D$129,1,0))&lt;4,64,999)</f>
        <v>999</v>
      </c>
      <c r="H167" s="160">
        <f ca="1">IF(TYPE(VLOOKUP(C167,'KO32'!$D$4:$D$65,1,0))&lt;4,32,999)</f>
        <v>999</v>
      </c>
      <c r="I167" s="160">
        <f ca="1">IF(TYPE(VLOOKUP(C167,'KO16'!$D$4:$D$33,1,0))&lt;4,16,999)</f>
        <v>999</v>
      </c>
      <c r="J167" s="160">
        <f ca="1">IF(TYPE(VLOOKUP(C167,'KO8'!$D$4:$D$17,1,0))&lt;4,8,999)</f>
        <v>999</v>
      </c>
      <c r="K167" s="160">
        <f ca="1">IF(TYPE(VLOOKUP(C167,'KO4'!$D$4:$D$9,1,0))&lt;4,4,999)</f>
        <v>999</v>
      </c>
      <c r="L167" s="160">
        <f>Start.listina!$K$7</f>
        <v>45</v>
      </c>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row>
    <row r="168" spans="1:34" ht="12" customHeight="1">
      <c r="A168" s="6" t="str">
        <f>IF(OR(Start.listina!H176&gt;Start.listina!$K$7,Start.listina!G176=TRUE),"",Start.listina!H176)</f>
        <v/>
      </c>
      <c r="B168" s="160" t="str">
        <f>IF(A168&gt;Start.listina!$K$7,"",ADDRESS(INT((A168-1)/$M$2)+1,IF(MOD(A168,$M$2)=0,IF(MOD(INT((A168-1)/$M$2)+1,2)=1,$M$2,1),IF(MOD(INT((A168-1)/$M$2)+1,2)=1,MOD(A168,$M$2),$M$2-MOD(A168,$M$2)+1)),4,1))</f>
        <v/>
      </c>
      <c r="C168" s="162" t="str">
        <f>Start.listina!$AL176</f>
        <v/>
      </c>
      <c r="D168" s="160" t="str">
        <f>IF(A168&gt;Start.listina!$K$7,"",INT((A168-1)/$M$2)+1)</f>
        <v/>
      </c>
      <c r="E168" s="160" t="str">
        <f>IF(A168&gt;Start.listina!$K$7,"",MIN(F168:L168))</f>
        <v/>
      </c>
      <c r="F168" s="160">
        <f ca="1">IF(TYPE(VLOOKUP(C168,Konečné_pořadí_1_16!$B$2:$D$17,3,0))&lt;4,VLOOKUP(C168,Konečné_pořadí_1_16!$B$2:$D$17,3,0),999)</f>
        <v>999</v>
      </c>
      <c r="G168" s="160">
        <f ca="1">IF(TYPE(VLOOKUP(C168,'KO64'!$D$4:$D$129,1,0))&lt;4,64,999)</f>
        <v>999</v>
      </c>
      <c r="H168" s="160">
        <f ca="1">IF(TYPE(VLOOKUP(C168,'KO32'!$D$4:$D$65,1,0))&lt;4,32,999)</f>
        <v>999</v>
      </c>
      <c r="I168" s="160">
        <f ca="1">IF(TYPE(VLOOKUP(C168,'KO16'!$D$4:$D$33,1,0))&lt;4,16,999)</f>
        <v>999</v>
      </c>
      <c r="J168" s="160">
        <f ca="1">IF(TYPE(VLOOKUP(C168,'KO8'!$D$4:$D$17,1,0))&lt;4,8,999)</f>
        <v>999</v>
      </c>
      <c r="K168" s="160">
        <f ca="1">IF(TYPE(VLOOKUP(C168,'KO4'!$D$4:$D$9,1,0))&lt;4,4,999)</f>
        <v>999</v>
      </c>
      <c r="L168" s="160">
        <f>Start.listina!$K$7</f>
        <v>45</v>
      </c>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row>
    <row r="169" spans="1:34" ht="12" customHeight="1">
      <c r="A169" s="6" t="str">
        <f>IF(OR(Start.listina!H177&gt;Start.listina!$K$7,Start.listina!G177=TRUE),"",Start.listina!H177)</f>
        <v/>
      </c>
      <c r="B169" s="160" t="str">
        <f>IF(A169&gt;Start.listina!$K$7,"",ADDRESS(INT((A169-1)/$M$2)+1,IF(MOD(A169,$M$2)=0,IF(MOD(INT((A169-1)/$M$2)+1,2)=1,$M$2,1),IF(MOD(INT((A169-1)/$M$2)+1,2)=1,MOD(A169,$M$2),$M$2-MOD(A169,$M$2)+1)),4,1))</f>
        <v/>
      </c>
      <c r="C169" s="162" t="str">
        <f>Start.listina!$AL177</f>
        <v/>
      </c>
      <c r="D169" s="160" t="str">
        <f>IF(A169&gt;Start.listina!$K$7,"",INT((A169-1)/$M$2)+1)</f>
        <v/>
      </c>
      <c r="E169" s="160" t="str">
        <f>IF(A169&gt;Start.listina!$K$7,"",MIN(F169:L169))</f>
        <v/>
      </c>
      <c r="F169" s="160">
        <f ca="1">IF(TYPE(VLOOKUP(C169,Konečné_pořadí_1_16!$B$2:$D$17,3,0))&lt;4,VLOOKUP(C169,Konečné_pořadí_1_16!$B$2:$D$17,3,0),999)</f>
        <v>999</v>
      </c>
      <c r="G169" s="160">
        <f ca="1">IF(TYPE(VLOOKUP(C169,'KO64'!$D$4:$D$129,1,0))&lt;4,64,999)</f>
        <v>999</v>
      </c>
      <c r="H169" s="160">
        <f ca="1">IF(TYPE(VLOOKUP(C169,'KO32'!$D$4:$D$65,1,0))&lt;4,32,999)</f>
        <v>999</v>
      </c>
      <c r="I169" s="160">
        <f ca="1">IF(TYPE(VLOOKUP(C169,'KO16'!$D$4:$D$33,1,0))&lt;4,16,999)</f>
        <v>999</v>
      </c>
      <c r="J169" s="160">
        <f ca="1">IF(TYPE(VLOOKUP(C169,'KO8'!$D$4:$D$17,1,0))&lt;4,8,999)</f>
        <v>999</v>
      </c>
      <c r="K169" s="160">
        <f ca="1">IF(TYPE(VLOOKUP(C169,'KO4'!$D$4:$D$9,1,0))&lt;4,4,999)</f>
        <v>999</v>
      </c>
      <c r="L169" s="160">
        <f>Start.listina!$K$7</f>
        <v>45</v>
      </c>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row>
    <row r="170" spans="1:34" ht="12" customHeight="1">
      <c r="A170" s="6" t="str">
        <f>IF(OR(Start.listina!H178&gt;Start.listina!$K$7,Start.listina!G178=TRUE),"",Start.listina!H178)</f>
        <v/>
      </c>
      <c r="B170" s="160" t="str">
        <f>IF(A170&gt;Start.listina!$K$7,"",ADDRESS(INT((A170-1)/$M$2)+1,IF(MOD(A170,$M$2)=0,IF(MOD(INT((A170-1)/$M$2)+1,2)=1,$M$2,1),IF(MOD(INT((A170-1)/$M$2)+1,2)=1,MOD(A170,$M$2),$M$2-MOD(A170,$M$2)+1)),4,1))</f>
        <v/>
      </c>
      <c r="C170" s="162" t="str">
        <f>Start.listina!$AL178</f>
        <v/>
      </c>
      <c r="D170" s="160" t="str">
        <f>IF(A170&gt;Start.listina!$K$7,"",INT((A170-1)/$M$2)+1)</f>
        <v/>
      </c>
      <c r="E170" s="160" t="str">
        <f>IF(A170&gt;Start.listina!$K$7,"",MIN(F170:L170))</f>
        <v/>
      </c>
      <c r="F170" s="160">
        <f ca="1">IF(TYPE(VLOOKUP(C170,Konečné_pořadí_1_16!$B$2:$D$17,3,0))&lt;4,VLOOKUP(C170,Konečné_pořadí_1_16!$B$2:$D$17,3,0),999)</f>
        <v>999</v>
      </c>
      <c r="G170" s="160">
        <f ca="1">IF(TYPE(VLOOKUP(C170,'KO64'!$D$4:$D$129,1,0))&lt;4,64,999)</f>
        <v>999</v>
      </c>
      <c r="H170" s="160">
        <f ca="1">IF(TYPE(VLOOKUP(C170,'KO32'!$D$4:$D$65,1,0))&lt;4,32,999)</f>
        <v>999</v>
      </c>
      <c r="I170" s="160">
        <f ca="1">IF(TYPE(VLOOKUP(C170,'KO16'!$D$4:$D$33,1,0))&lt;4,16,999)</f>
        <v>999</v>
      </c>
      <c r="J170" s="160">
        <f ca="1">IF(TYPE(VLOOKUP(C170,'KO8'!$D$4:$D$17,1,0))&lt;4,8,999)</f>
        <v>999</v>
      </c>
      <c r="K170" s="160">
        <f ca="1">IF(TYPE(VLOOKUP(C170,'KO4'!$D$4:$D$9,1,0))&lt;4,4,999)</f>
        <v>999</v>
      </c>
      <c r="L170" s="160">
        <f>Start.listina!$K$7</f>
        <v>45</v>
      </c>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row>
    <row r="171" spans="1:34" ht="12" customHeight="1">
      <c r="A171" s="6" t="str">
        <f>IF(OR(Start.listina!H179&gt;Start.listina!$K$7,Start.listina!G179=TRUE),"",Start.listina!H179)</f>
        <v/>
      </c>
      <c r="B171" s="160" t="str">
        <f>IF(A171&gt;Start.listina!$K$7,"",ADDRESS(INT((A171-1)/$M$2)+1,IF(MOD(A171,$M$2)=0,IF(MOD(INT((A171-1)/$M$2)+1,2)=1,$M$2,1),IF(MOD(INT((A171-1)/$M$2)+1,2)=1,MOD(A171,$M$2),$M$2-MOD(A171,$M$2)+1)),4,1))</f>
        <v/>
      </c>
      <c r="C171" s="162" t="str">
        <f>Start.listina!$AL179</f>
        <v/>
      </c>
      <c r="D171" s="160" t="str">
        <f>IF(A171&gt;Start.listina!$K$7,"",INT((A171-1)/$M$2)+1)</f>
        <v/>
      </c>
      <c r="E171" s="160" t="str">
        <f>IF(A171&gt;Start.listina!$K$7,"",MIN(F171:L171))</f>
        <v/>
      </c>
      <c r="F171" s="160">
        <f ca="1">IF(TYPE(VLOOKUP(C171,Konečné_pořadí_1_16!$B$2:$D$17,3,0))&lt;4,VLOOKUP(C171,Konečné_pořadí_1_16!$B$2:$D$17,3,0),999)</f>
        <v>999</v>
      </c>
      <c r="G171" s="160">
        <f ca="1">IF(TYPE(VLOOKUP(C171,'KO64'!$D$4:$D$129,1,0))&lt;4,64,999)</f>
        <v>999</v>
      </c>
      <c r="H171" s="160">
        <f ca="1">IF(TYPE(VLOOKUP(C171,'KO32'!$D$4:$D$65,1,0))&lt;4,32,999)</f>
        <v>999</v>
      </c>
      <c r="I171" s="160">
        <f ca="1">IF(TYPE(VLOOKUP(C171,'KO16'!$D$4:$D$33,1,0))&lt;4,16,999)</f>
        <v>999</v>
      </c>
      <c r="J171" s="160">
        <f ca="1">IF(TYPE(VLOOKUP(C171,'KO8'!$D$4:$D$17,1,0))&lt;4,8,999)</f>
        <v>999</v>
      </c>
      <c r="K171" s="160">
        <f ca="1">IF(TYPE(VLOOKUP(C171,'KO4'!$D$4:$D$9,1,0))&lt;4,4,999)</f>
        <v>999</v>
      </c>
      <c r="L171" s="160">
        <f>Start.listina!$K$7</f>
        <v>45</v>
      </c>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row>
    <row r="172" spans="1:34" ht="12" customHeight="1">
      <c r="A172" s="6" t="str">
        <f>IF(OR(Start.listina!H180&gt;Start.listina!$K$7,Start.listina!G180=TRUE),"",Start.listina!H180)</f>
        <v/>
      </c>
      <c r="B172" s="160" t="str">
        <f>IF(A172&gt;Start.listina!$K$7,"",ADDRESS(INT((A172-1)/$M$2)+1,IF(MOD(A172,$M$2)=0,IF(MOD(INT((A172-1)/$M$2)+1,2)=1,$M$2,1),IF(MOD(INT((A172-1)/$M$2)+1,2)=1,MOD(A172,$M$2),$M$2-MOD(A172,$M$2)+1)),4,1))</f>
        <v/>
      </c>
      <c r="C172" s="162" t="str">
        <f>Start.listina!$AL180</f>
        <v/>
      </c>
      <c r="D172" s="160" t="str">
        <f>IF(A172&gt;Start.listina!$K$7,"",INT((A172-1)/$M$2)+1)</f>
        <v/>
      </c>
      <c r="E172" s="160" t="str">
        <f>IF(A172&gt;Start.listina!$K$7,"",MIN(F172:L172))</f>
        <v/>
      </c>
      <c r="F172" s="160">
        <f ca="1">IF(TYPE(VLOOKUP(C172,Konečné_pořadí_1_16!$B$2:$D$17,3,0))&lt;4,VLOOKUP(C172,Konečné_pořadí_1_16!$B$2:$D$17,3,0),999)</f>
        <v>999</v>
      </c>
      <c r="G172" s="160">
        <f ca="1">IF(TYPE(VLOOKUP(C172,'KO64'!$D$4:$D$129,1,0))&lt;4,64,999)</f>
        <v>999</v>
      </c>
      <c r="H172" s="160">
        <f ca="1">IF(TYPE(VLOOKUP(C172,'KO32'!$D$4:$D$65,1,0))&lt;4,32,999)</f>
        <v>999</v>
      </c>
      <c r="I172" s="160">
        <f ca="1">IF(TYPE(VLOOKUP(C172,'KO16'!$D$4:$D$33,1,0))&lt;4,16,999)</f>
        <v>999</v>
      </c>
      <c r="J172" s="160">
        <f ca="1">IF(TYPE(VLOOKUP(C172,'KO8'!$D$4:$D$17,1,0))&lt;4,8,999)</f>
        <v>999</v>
      </c>
      <c r="K172" s="160">
        <f ca="1">IF(TYPE(VLOOKUP(C172,'KO4'!$D$4:$D$9,1,0))&lt;4,4,999)</f>
        <v>999</v>
      </c>
      <c r="L172" s="160">
        <f>Start.listina!$K$7</f>
        <v>45</v>
      </c>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row>
    <row r="173" spans="1:34" ht="12" customHeight="1">
      <c r="A173" s="6" t="str">
        <f>IF(OR(Start.listina!H181&gt;Start.listina!$K$7,Start.listina!G181=TRUE),"",Start.listina!H181)</f>
        <v/>
      </c>
      <c r="B173" s="160" t="str">
        <f>IF(A173&gt;Start.listina!$K$7,"",ADDRESS(INT((A173-1)/$M$2)+1,IF(MOD(A173,$M$2)=0,IF(MOD(INT((A173-1)/$M$2)+1,2)=1,$M$2,1),IF(MOD(INT((A173-1)/$M$2)+1,2)=1,MOD(A173,$M$2),$M$2-MOD(A173,$M$2)+1)),4,1))</f>
        <v/>
      </c>
      <c r="C173" s="162" t="str">
        <f>Start.listina!$AL181</f>
        <v/>
      </c>
      <c r="D173" s="160" t="str">
        <f>IF(A173&gt;Start.listina!$K$7,"",INT((A173-1)/$M$2)+1)</f>
        <v/>
      </c>
      <c r="E173" s="160" t="str">
        <f>IF(A173&gt;Start.listina!$K$7,"",MIN(F173:L173))</f>
        <v/>
      </c>
      <c r="F173" s="160">
        <f ca="1">IF(TYPE(VLOOKUP(C173,Konečné_pořadí_1_16!$B$2:$D$17,3,0))&lt;4,VLOOKUP(C173,Konečné_pořadí_1_16!$B$2:$D$17,3,0),999)</f>
        <v>999</v>
      </c>
      <c r="G173" s="160">
        <f ca="1">IF(TYPE(VLOOKUP(C173,'KO64'!$D$4:$D$129,1,0))&lt;4,64,999)</f>
        <v>999</v>
      </c>
      <c r="H173" s="160">
        <f ca="1">IF(TYPE(VLOOKUP(C173,'KO32'!$D$4:$D$65,1,0))&lt;4,32,999)</f>
        <v>999</v>
      </c>
      <c r="I173" s="160">
        <f ca="1">IF(TYPE(VLOOKUP(C173,'KO16'!$D$4:$D$33,1,0))&lt;4,16,999)</f>
        <v>999</v>
      </c>
      <c r="J173" s="160">
        <f ca="1">IF(TYPE(VLOOKUP(C173,'KO8'!$D$4:$D$17,1,0))&lt;4,8,999)</f>
        <v>999</v>
      </c>
      <c r="K173" s="160">
        <f ca="1">IF(TYPE(VLOOKUP(C173,'KO4'!$D$4:$D$9,1,0))&lt;4,4,999)</f>
        <v>999</v>
      </c>
      <c r="L173" s="160">
        <f>Start.listina!$K$7</f>
        <v>45</v>
      </c>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row>
    <row r="174" spans="1:34" ht="12" customHeight="1">
      <c r="A174" s="6" t="str">
        <f>IF(OR(Start.listina!H182&gt;Start.listina!$K$7,Start.listina!G182=TRUE),"",Start.listina!H182)</f>
        <v/>
      </c>
      <c r="B174" s="160" t="str">
        <f>IF(A174&gt;Start.listina!$K$7,"",ADDRESS(INT((A174-1)/$M$2)+1,IF(MOD(A174,$M$2)=0,IF(MOD(INT((A174-1)/$M$2)+1,2)=1,$M$2,1),IF(MOD(INT((A174-1)/$M$2)+1,2)=1,MOD(A174,$M$2),$M$2-MOD(A174,$M$2)+1)),4,1))</f>
        <v/>
      </c>
      <c r="C174" s="162" t="str">
        <f>Start.listina!$AL182</f>
        <v/>
      </c>
      <c r="D174" s="160" t="str">
        <f>IF(A174&gt;Start.listina!$K$7,"",INT((A174-1)/$M$2)+1)</f>
        <v/>
      </c>
      <c r="E174" s="160" t="str">
        <f>IF(A174&gt;Start.listina!$K$7,"",MIN(F174:L174))</f>
        <v/>
      </c>
      <c r="F174" s="160">
        <f ca="1">IF(TYPE(VLOOKUP(C174,Konečné_pořadí_1_16!$B$2:$D$17,3,0))&lt;4,VLOOKUP(C174,Konečné_pořadí_1_16!$B$2:$D$17,3,0),999)</f>
        <v>999</v>
      </c>
      <c r="G174" s="160">
        <f ca="1">IF(TYPE(VLOOKUP(C174,'KO64'!$D$4:$D$129,1,0))&lt;4,64,999)</f>
        <v>999</v>
      </c>
      <c r="H174" s="160">
        <f ca="1">IF(TYPE(VLOOKUP(C174,'KO32'!$D$4:$D$65,1,0))&lt;4,32,999)</f>
        <v>999</v>
      </c>
      <c r="I174" s="160">
        <f ca="1">IF(TYPE(VLOOKUP(C174,'KO16'!$D$4:$D$33,1,0))&lt;4,16,999)</f>
        <v>999</v>
      </c>
      <c r="J174" s="160">
        <f ca="1">IF(TYPE(VLOOKUP(C174,'KO8'!$D$4:$D$17,1,0))&lt;4,8,999)</f>
        <v>999</v>
      </c>
      <c r="K174" s="160">
        <f ca="1">IF(TYPE(VLOOKUP(C174,'KO4'!$D$4:$D$9,1,0))&lt;4,4,999)</f>
        <v>999</v>
      </c>
      <c r="L174" s="160">
        <f>Start.listina!$K$7</f>
        <v>45</v>
      </c>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row>
    <row r="175" spans="1:34" ht="12" customHeight="1">
      <c r="A175" s="6" t="str">
        <f>IF(OR(Start.listina!H183&gt;Start.listina!$K$7,Start.listina!G183=TRUE),"",Start.listina!H183)</f>
        <v/>
      </c>
      <c r="B175" s="160" t="str">
        <f>IF(A175&gt;Start.listina!$K$7,"",ADDRESS(INT((A175-1)/$M$2)+1,IF(MOD(A175,$M$2)=0,IF(MOD(INT((A175-1)/$M$2)+1,2)=1,$M$2,1),IF(MOD(INT((A175-1)/$M$2)+1,2)=1,MOD(A175,$M$2),$M$2-MOD(A175,$M$2)+1)),4,1))</f>
        <v/>
      </c>
      <c r="C175" s="162" t="str">
        <f>Start.listina!$AL183</f>
        <v/>
      </c>
      <c r="D175" s="160" t="str">
        <f>IF(A175&gt;Start.listina!$K$7,"",INT((A175-1)/$M$2)+1)</f>
        <v/>
      </c>
      <c r="E175" s="160" t="str">
        <f>IF(A175&gt;Start.listina!$K$7,"",MIN(F175:L175))</f>
        <v/>
      </c>
      <c r="F175" s="160">
        <f ca="1">IF(TYPE(VLOOKUP(C175,Konečné_pořadí_1_16!$B$2:$D$17,3,0))&lt;4,VLOOKUP(C175,Konečné_pořadí_1_16!$B$2:$D$17,3,0),999)</f>
        <v>999</v>
      </c>
      <c r="G175" s="160">
        <f ca="1">IF(TYPE(VLOOKUP(C175,'KO64'!$D$4:$D$129,1,0))&lt;4,64,999)</f>
        <v>999</v>
      </c>
      <c r="H175" s="160">
        <f ca="1">IF(TYPE(VLOOKUP(C175,'KO32'!$D$4:$D$65,1,0))&lt;4,32,999)</f>
        <v>999</v>
      </c>
      <c r="I175" s="160">
        <f ca="1">IF(TYPE(VLOOKUP(C175,'KO16'!$D$4:$D$33,1,0))&lt;4,16,999)</f>
        <v>999</v>
      </c>
      <c r="J175" s="160">
        <f ca="1">IF(TYPE(VLOOKUP(C175,'KO8'!$D$4:$D$17,1,0))&lt;4,8,999)</f>
        <v>999</v>
      </c>
      <c r="K175" s="160">
        <f ca="1">IF(TYPE(VLOOKUP(C175,'KO4'!$D$4:$D$9,1,0))&lt;4,4,999)</f>
        <v>999</v>
      </c>
      <c r="L175" s="160">
        <f>Start.listina!$K$7</f>
        <v>45</v>
      </c>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row>
    <row r="176" spans="1:34" ht="12" customHeight="1">
      <c r="A176" s="6" t="str">
        <f>IF(OR(Start.listina!H184&gt;Start.listina!$K$7,Start.listina!G184=TRUE),"",Start.listina!H184)</f>
        <v/>
      </c>
      <c r="B176" s="160" t="str">
        <f>IF(A176&gt;Start.listina!$K$7,"",ADDRESS(INT((A176-1)/$M$2)+1,IF(MOD(A176,$M$2)=0,IF(MOD(INT((A176-1)/$M$2)+1,2)=1,$M$2,1),IF(MOD(INT((A176-1)/$M$2)+1,2)=1,MOD(A176,$M$2),$M$2-MOD(A176,$M$2)+1)),4,1))</f>
        <v/>
      </c>
      <c r="C176" s="162" t="str">
        <f>Start.listina!$AL184</f>
        <v/>
      </c>
      <c r="D176" s="160" t="str">
        <f>IF(A176&gt;Start.listina!$K$7,"",INT((A176-1)/$M$2)+1)</f>
        <v/>
      </c>
      <c r="E176" s="160" t="str">
        <f>IF(A176&gt;Start.listina!$K$7,"",MIN(F176:L176))</f>
        <v/>
      </c>
      <c r="F176" s="160">
        <f ca="1">IF(TYPE(VLOOKUP(C176,Konečné_pořadí_1_16!$B$2:$D$17,3,0))&lt;4,VLOOKUP(C176,Konečné_pořadí_1_16!$B$2:$D$17,3,0),999)</f>
        <v>999</v>
      </c>
      <c r="G176" s="160">
        <f ca="1">IF(TYPE(VLOOKUP(C176,'KO64'!$D$4:$D$129,1,0))&lt;4,64,999)</f>
        <v>999</v>
      </c>
      <c r="H176" s="160">
        <f ca="1">IF(TYPE(VLOOKUP(C176,'KO32'!$D$4:$D$65,1,0))&lt;4,32,999)</f>
        <v>999</v>
      </c>
      <c r="I176" s="160">
        <f ca="1">IF(TYPE(VLOOKUP(C176,'KO16'!$D$4:$D$33,1,0))&lt;4,16,999)</f>
        <v>999</v>
      </c>
      <c r="J176" s="160">
        <f ca="1">IF(TYPE(VLOOKUP(C176,'KO8'!$D$4:$D$17,1,0))&lt;4,8,999)</f>
        <v>999</v>
      </c>
      <c r="K176" s="160">
        <f ca="1">IF(TYPE(VLOOKUP(C176,'KO4'!$D$4:$D$9,1,0))&lt;4,4,999)</f>
        <v>999</v>
      </c>
      <c r="L176" s="160">
        <f>Start.listina!$K$7</f>
        <v>45</v>
      </c>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row>
    <row r="177" spans="1:34" ht="12" customHeight="1">
      <c r="A177" s="6" t="str">
        <f>IF(OR(Start.listina!H185&gt;Start.listina!$K$7,Start.listina!G185=TRUE),"",Start.listina!H185)</f>
        <v/>
      </c>
      <c r="B177" s="160" t="str">
        <f>IF(A177&gt;Start.listina!$K$7,"",ADDRESS(INT((A177-1)/$M$2)+1,IF(MOD(A177,$M$2)=0,IF(MOD(INT((A177-1)/$M$2)+1,2)=1,$M$2,1),IF(MOD(INT((A177-1)/$M$2)+1,2)=1,MOD(A177,$M$2),$M$2-MOD(A177,$M$2)+1)),4,1))</f>
        <v/>
      </c>
      <c r="C177" s="162" t="str">
        <f>Start.listina!$AL185</f>
        <v/>
      </c>
      <c r="D177" s="160" t="str">
        <f>IF(A177&gt;Start.listina!$K$7,"",INT((A177-1)/$M$2)+1)</f>
        <v/>
      </c>
      <c r="E177" s="160" t="str">
        <f>IF(A177&gt;Start.listina!$K$7,"",MIN(F177:L177))</f>
        <v/>
      </c>
      <c r="F177" s="160">
        <f ca="1">IF(TYPE(VLOOKUP(C177,Konečné_pořadí_1_16!$B$2:$D$17,3,0))&lt;4,VLOOKUP(C177,Konečné_pořadí_1_16!$B$2:$D$17,3,0),999)</f>
        <v>999</v>
      </c>
      <c r="G177" s="160">
        <f ca="1">IF(TYPE(VLOOKUP(C177,'KO64'!$D$4:$D$129,1,0))&lt;4,64,999)</f>
        <v>999</v>
      </c>
      <c r="H177" s="160">
        <f ca="1">IF(TYPE(VLOOKUP(C177,'KO32'!$D$4:$D$65,1,0))&lt;4,32,999)</f>
        <v>999</v>
      </c>
      <c r="I177" s="160">
        <f ca="1">IF(TYPE(VLOOKUP(C177,'KO16'!$D$4:$D$33,1,0))&lt;4,16,999)</f>
        <v>999</v>
      </c>
      <c r="J177" s="160">
        <f ca="1">IF(TYPE(VLOOKUP(C177,'KO8'!$D$4:$D$17,1,0))&lt;4,8,999)</f>
        <v>999</v>
      </c>
      <c r="K177" s="160">
        <f ca="1">IF(TYPE(VLOOKUP(C177,'KO4'!$D$4:$D$9,1,0))&lt;4,4,999)</f>
        <v>999</v>
      </c>
      <c r="L177" s="160">
        <f>Start.listina!$K$7</f>
        <v>45</v>
      </c>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row>
    <row r="178" spans="1:34" ht="12" customHeight="1">
      <c r="A178" s="6" t="str">
        <f>IF(OR(Start.listina!H186&gt;Start.listina!$K$7,Start.listina!G186=TRUE),"",Start.listina!H186)</f>
        <v/>
      </c>
      <c r="B178" s="160" t="str">
        <f>IF(A178&gt;Start.listina!$K$7,"",ADDRESS(INT((A178-1)/$M$2)+1,IF(MOD(A178,$M$2)=0,IF(MOD(INT((A178-1)/$M$2)+1,2)=1,$M$2,1),IF(MOD(INT((A178-1)/$M$2)+1,2)=1,MOD(A178,$M$2),$M$2-MOD(A178,$M$2)+1)),4,1))</f>
        <v/>
      </c>
      <c r="C178" s="162" t="str">
        <f>Start.listina!$AL186</f>
        <v/>
      </c>
      <c r="D178" s="160" t="str">
        <f>IF(A178&gt;Start.listina!$K$7,"",INT((A178-1)/$M$2)+1)</f>
        <v/>
      </c>
      <c r="E178" s="160" t="str">
        <f>IF(A178&gt;Start.listina!$K$7,"",MIN(F178:L178))</f>
        <v/>
      </c>
      <c r="F178" s="160">
        <f ca="1">IF(TYPE(VLOOKUP(C178,Konečné_pořadí_1_16!$B$2:$D$17,3,0))&lt;4,VLOOKUP(C178,Konečné_pořadí_1_16!$B$2:$D$17,3,0),999)</f>
        <v>999</v>
      </c>
      <c r="G178" s="160">
        <f ca="1">IF(TYPE(VLOOKUP(C178,'KO64'!$D$4:$D$129,1,0))&lt;4,64,999)</f>
        <v>999</v>
      </c>
      <c r="H178" s="160">
        <f ca="1">IF(TYPE(VLOOKUP(C178,'KO32'!$D$4:$D$65,1,0))&lt;4,32,999)</f>
        <v>999</v>
      </c>
      <c r="I178" s="160">
        <f ca="1">IF(TYPE(VLOOKUP(C178,'KO16'!$D$4:$D$33,1,0))&lt;4,16,999)</f>
        <v>999</v>
      </c>
      <c r="J178" s="160">
        <f ca="1">IF(TYPE(VLOOKUP(C178,'KO8'!$D$4:$D$17,1,0))&lt;4,8,999)</f>
        <v>999</v>
      </c>
      <c r="K178" s="160">
        <f ca="1">IF(TYPE(VLOOKUP(C178,'KO4'!$D$4:$D$9,1,0))&lt;4,4,999)</f>
        <v>999</v>
      </c>
      <c r="L178" s="160">
        <f>Start.listina!$K$7</f>
        <v>45</v>
      </c>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row>
    <row r="179" spans="1:34" ht="12" customHeight="1">
      <c r="A179" s="6" t="str">
        <f>IF(OR(Start.listina!H187&gt;Start.listina!$K$7,Start.listina!G187=TRUE),"",Start.listina!H187)</f>
        <v/>
      </c>
      <c r="B179" s="160" t="str">
        <f>IF(A179&gt;Start.listina!$K$7,"",ADDRESS(INT((A179-1)/$M$2)+1,IF(MOD(A179,$M$2)=0,IF(MOD(INT((A179-1)/$M$2)+1,2)=1,$M$2,1),IF(MOD(INT((A179-1)/$M$2)+1,2)=1,MOD(A179,$M$2),$M$2-MOD(A179,$M$2)+1)),4,1))</f>
        <v/>
      </c>
      <c r="C179" s="162" t="str">
        <f>Start.listina!$AL187</f>
        <v/>
      </c>
      <c r="D179" s="160" t="str">
        <f>IF(A179&gt;Start.listina!$K$7,"",INT((A179-1)/$M$2)+1)</f>
        <v/>
      </c>
      <c r="E179" s="160" t="str">
        <f>IF(A179&gt;Start.listina!$K$7,"",MIN(F179:L179))</f>
        <v/>
      </c>
      <c r="F179" s="160">
        <f ca="1">IF(TYPE(VLOOKUP(C179,Konečné_pořadí_1_16!$B$2:$D$17,3,0))&lt;4,VLOOKUP(C179,Konečné_pořadí_1_16!$B$2:$D$17,3,0),999)</f>
        <v>999</v>
      </c>
      <c r="G179" s="160">
        <f ca="1">IF(TYPE(VLOOKUP(C179,'KO64'!$D$4:$D$129,1,0))&lt;4,64,999)</f>
        <v>999</v>
      </c>
      <c r="H179" s="160">
        <f ca="1">IF(TYPE(VLOOKUP(C179,'KO32'!$D$4:$D$65,1,0))&lt;4,32,999)</f>
        <v>999</v>
      </c>
      <c r="I179" s="160">
        <f ca="1">IF(TYPE(VLOOKUP(C179,'KO16'!$D$4:$D$33,1,0))&lt;4,16,999)</f>
        <v>999</v>
      </c>
      <c r="J179" s="160">
        <f ca="1">IF(TYPE(VLOOKUP(C179,'KO8'!$D$4:$D$17,1,0))&lt;4,8,999)</f>
        <v>999</v>
      </c>
      <c r="K179" s="160">
        <f ca="1">IF(TYPE(VLOOKUP(C179,'KO4'!$D$4:$D$9,1,0))&lt;4,4,999)</f>
        <v>999</v>
      </c>
      <c r="L179" s="160">
        <f>Start.listina!$K$7</f>
        <v>45</v>
      </c>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row>
    <row r="180" spans="1:34" ht="12" customHeight="1">
      <c r="A180" s="6" t="str">
        <f>IF(OR(Start.listina!H188&gt;Start.listina!$K$7,Start.listina!G188=TRUE),"",Start.listina!H188)</f>
        <v/>
      </c>
      <c r="B180" s="160" t="str">
        <f>IF(A180&gt;Start.listina!$K$7,"",ADDRESS(INT((A180-1)/$M$2)+1,IF(MOD(A180,$M$2)=0,IF(MOD(INT((A180-1)/$M$2)+1,2)=1,$M$2,1),IF(MOD(INT((A180-1)/$M$2)+1,2)=1,MOD(A180,$M$2),$M$2-MOD(A180,$M$2)+1)),4,1))</f>
        <v/>
      </c>
      <c r="C180" s="162" t="str">
        <f>Start.listina!$AL188</f>
        <v/>
      </c>
      <c r="D180" s="160" t="str">
        <f>IF(A180&gt;Start.listina!$K$7,"",INT((A180-1)/$M$2)+1)</f>
        <v/>
      </c>
      <c r="E180" s="160" t="str">
        <f>IF(A180&gt;Start.listina!$K$7,"",MIN(F180:L180))</f>
        <v/>
      </c>
      <c r="F180" s="160">
        <f ca="1">IF(TYPE(VLOOKUP(C180,Konečné_pořadí_1_16!$B$2:$D$17,3,0))&lt;4,VLOOKUP(C180,Konečné_pořadí_1_16!$B$2:$D$17,3,0),999)</f>
        <v>999</v>
      </c>
      <c r="G180" s="160">
        <f ca="1">IF(TYPE(VLOOKUP(C180,'KO64'!$D$4:$D$129,1,0))&lt;4,64,999)</f>
        <v>999</v>
      </c>
      <c r="H180" s="160">
        <f ca="1">IF(TYPE(VLOOKUP(C180,'KO32'!$D$4:$D$65,1,0))&lt;4,32,999)</f>
        <v>999</v>
      </c>
      <c r="I180" s="160">
        <f ca="1">IF(TYPE(VLOOKUP(C180,'KO16'!$D$4:$D$33,1,0))&lt;4,16,999)</f>
        <v>999</v>
      </c>
      <c r="J180" s="160">
        <f ca="1">IF(TYPE(VLOOKUP(C180,'KO8'!$D$4:$D$17,1,0))&lt;4,8,999)</f>
        <v>999</v>
      </c>
      <c r="K180" s="160">
        <f ca="1">IF(TYPE(VLOOKUP(C180,'KO4'!$D$4:$D$9,1,0))&lt;4,4,999)</f>
        <v>999</v>
      </c>
      <c r="L180" s="160">
        <f>Start.listina!$K$7</f>
        <v>45</v>
      </c>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row>
    <row r="181" spans="1:34" ht="12" customHeight="1">
      <c r="A181" s="6" t="str">
        <f>IF(OR(Start.listina!H189&gt;Start.listina!$K$7,Start.listina!G189=TRUE),"",Start.listina!H189)</f>
        <v/>
      </c>
      <c r="B181" s="160" t="str">
        <f>IF(A181&gt;Start.listina!$K$7,"",ADDRESS(INT((A181-1)/$M$2)+1,IF(MOD(A181,$M$2)=0,IF(MOD(INT((A181-1)/$M$2)+1,2)=1,$M$2,1),IF(MOD(INT((A181-1)/$M$2)+1,2)=1,MOD(A181,$M$2),$M$2-MOD(A181,$M$2)+1)),4,1))</f>
        <v/>
      </c>
      <c r="C181" s="162" t="str">
        <f>Start.listina!$AL189</f>
        <v/>
      </c>
      <c r="D181" s="160" t="str">
        <f>IF(A181&gt;Start.listina!$K$7,"",INT((A181-1)/$M$2)+1)</f>
        <v/>
      </c>
      <c r="E181" s="160" t="str">
        <f>IF(A181&gt;Start.listina!$K$7,"",MIN(F181:L181))</f>
        <v/>
      </c>
      <c r="F181" s="160">
        <f ca="1">IF(TYPE(VLOOKUP(C181,Konečné_pořadí_1_16!$B$2:$D$17,3,0))&lt;4,VLOOKUP(C181,Konečné_pořadí_1_16!$B$2:$D$17,3,0),999)</f>
        <v>999</v>
      </c>
      <c r="G181" s="160">
        <f ca="1">IF(TYPE(VLOOKUP(C181,'KO64'!$D$4:$D$129,1,0))&lt;4,64,999)</f>
        <v>999</v>
      </c>
      <c r="H181" s="160">
        <f ca="1">IF(TYPE(VLOOKUP(C181,'KO32'!$D$4:$D$65,1,0))&lt;4,32,999)</f>
        <v>999</v>
      </c>
      <c r="I181" s="160">
        <f ca="1">IF(TYPE(VLOOKUP(C181,'KO16'!$D$4:$D$33,1,0))&lt;4,16,999)</f>
        <v>999</v>
      </c>
      <c r="J181" s="160">
        <f ca="1">IF(TYPE(VLOOKUP(C181,'KO8'!$D$4:$D$17,1,0))&lt;4,8,999)</f>
        <v>999</v>
      </c>
      <c r="K181" s="160">
        <f ca="1">IF(TYPE(VLOOKUP(C181,'KO4'!$D$4:$D$9,1,0))&lt;4,4,999)</f>
        <v>999</v>
      </c>
      <c r="L181" s="160">
        <f>Start.listina!$K$7</f>
        <v>45</v>
      </c>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row>
    <row r="182" spans="1:34" ht="12" customHeight="1">
      <c r="A182" s="6" t="str">
        <f>IF(OR(Start.listina!H190&gt;Start.listina!$K$7,Start.listina!G190=TRUE),"",Start.listina!H190)</f>
        <v/>
      </c>
      <c r="B182" s="160" t="str">
        <f>IF(A182&gt;Start.listina!$K$7,"",ADDRESS(INT((A182-1)/$M$2)+1,IF(MOD(A182,$M$2)=0,IF(MOD(INT((A182-1)/$M$2)+1,2)=1,$M$2,1),IF(MOD(INT((A182-1)/$M$2)+1,2)=1,MOD(A182,$M$2),$M$2-MOD(A182,$M$2)+1)),4,1))</f>
        <v/>
      </c>
      <c r="C182" s="162" t="str">
        <f>Start.listina!$AL190</f>
        <v/>
      </c>
      <c r="D182" s="160" t="str">
        <f>IF(A182&gt;Start.listina!$K$7,"",INT((A182-1)/$M$2)+1)</f>
        <v/>
      </c>
      <c r="E182" s="160" t="str">
        <f>IF(A182&gt;Start.listina!$K$7,"",MIN(F182:L182))</f>
        <v/>
      </c>
      <c r="F182" s="160">
        <f ca="1">IF(TYPE(VLOOKUP(C182,Konečné_pořadí_1_16!$B$2:$D$17,3,0))&lt;4,VLOOKUP(C182,Konečné_pořadí_1_16!$B$2:$D$17,3,0),999)</f>
        <v>999</v>
      </c>
      <c r="G182" s="160">
        <f ca="1">IF(TYPE(VLOOKUP(C182,'KO64'!$D$4:$D$129,1,0))&lt;4,64,999)</f>
        <v>999</v>
      </c>
      <c r="H182" s="160">
        <f ca="1">IF(TYPE(VLOOKUP(C182,'KO32'!$D$4:$D$65,1,0))&lt;4,32,999)</f>
        <v>999</v>
      </c>
      <c r="I182" s="160">
        <f ca="1">IF(TYPE(VLOOKUP(C182,'KO16'!$D$4:$D$33,1,0))&lt;4,16,999)</f>
        <v>999</v>
      </c>
      <c r="J182" s="160">
        <f ca="1">IF(TYPE(VLOOKUP(C182,'KO8'!$D$4:$D$17,1,0))&lt;4,8,999)</f>
        <v>999</v>
      </c>
      <c r="K182" s="160">
        <f ca="1">IF(TYPE(VLOOKUP(C182,'KO4'!$D$4:$D$9,1,0))&lt;4,4,999)</f>
        <v>999</v>
      </c>
      <c r="L182" s="160">
        <f>Start.listina!$K$7</f>
        <v>45</v>
      </c>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row>
    <row r="183" spans="1:34" ht="12" customHeight="1">
      <c r="A183" s="6" t="str">
        <f>IF(OR(Start.listina!H191&gt;Start.listina!$K$7,Start.listina!G191=TRUE),"",Start.listina!H191)</f>
        <v/>
      </c>
      <c r="B183" s="160" t="str">
        <f>IF(A183&gt;Start.listina!$K$7,"",ADDRESS(INT((A183-1)/$M$2)+1,IF(MOD(A183,$M$2)=0,IF(MOD(INT((A183-1)/$M$2)+1,2)=1,$M$2,1),IF(MOD(INT((A183-1)/$M$2)+1,2)=1,MOD(A183,$M$2),$M$2-MOD(A183,$M$2)+1)),4,1))</f>
        <v/>
      </c>
      <c r="C183" s="162" t="str">
        <f>Start.listina!$AL191</f>
        <v/>
      </c>
      <c r="D183" s="160" t="str">
        <f>IF(A183&gt;Start.listina!$K$7,"",INT((A183-1)/$M$2)+1)</f>
        <v/>
      </c>
      <c r="E183" s="160" t="str">
        <f>IF(A183&gt;Start.listina!$K$7,"",MIN(F183:L183))</f>
        <v/>
      </c>
      <c r="F183" s="160">
        <f ca="1">IF(TYPE(VLOOKUP(C183,Konečné_pořadí_1_16!$B$2:$D$17,3,0))&lt;4,VLOOKUP(C183,Konečné_pořadí_1_16!$B$2:$D$17,3,0),999)</f>
        <v>999</v>
      </c>
      <c r="G183" s="160">
        <f ca="1">IF(TYPE(VLOOKUP(C183,'KO64'!$D$4:$D$129,1,0))&lt;4,64,999)</f>
        <v>999</v>
      </c>
      <c r="H183" s="160">
        <f ca="1">IF(TYPE(VLOOKUP(C183,'KO32'!$D$4:$D$65,1,0))&lt;4,32,999)</f>
        <v>999</v>
      </c>
      <c r="I183" s="160">
        <f ca="1">IF(TYPE(VLOOKUP(C183,'KO16'!$D$4:$D$33,1,0))&lt;4,16,999)</f>
        <v>999</v>
      </c>
      <c r="J183" s="160">
        <f ca="1">IF(TYPE(VLOOKUP(C183,'KO8'!$D$4:$D$17,1,0))&lt;4,8,999)</f>
        <v>999</v>
      </c>
      <c r="K183" s="160">
        <f ca="1">IF(TYPE(VLOOKUP(C183,'KO4'!$D$4:$D$9,1,0))&lt;4,4,999)</f>
        <v>999</v>
      </c>
      <c r="L183" s="160">
        <f>Start.listina!$K$7</f>
        <v>45</v>
      </c>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row>
    <row r="184" spans="1:34" ht="12" customHeight="1">
      <c r="A184" s="6" t="str">
        <f>IF(OR(Start.listina!H192&gt;Start.listina!$K$7,Start.listina!G192=TRUE),"",Start.listina!H192)</f>
        <v/>
      </c>
      <c r="B184" s="160" t="str">
        <f>IF(A184&gt;Start.listina!$K$7,"",ADDRESS(INT((A184-1)/$M$2)+1,IF(MOD(A184,$M$2)=0,IF(MOD(INT((A184-1)/$M$2)+1,2)=1,$M$2,1),IF(MOD(INT((A184-1)/$M$2)+1,2)=1,MOD(A184,$M$2),$M$2-MOD(A184,$M$2)+1)),4,1))</f>
        <v/>
      </c>
      <c r="C184" s="162" t="str">
        <f>Start.listina!$AL192</f>
        <v/>
      </c>
      <c r="D184" s="160" t="str">
        <f>IF(A184&gt;Start.listina!$K$7,"",INT((A184-1)/$M$2)+1)</f>
        <v/>
      </c>
      <c r="E184" s="160" t="str">
        <f>IF(A184&gt;Start.listina!$K$7,"",MIN(F184:L184))</f>
        <v/>
      </c>
      <c r="F184" s="160">
        <f ca="1">IF(TYPE(VLOOKUP(C184,Konečné_pořadí_1_16!$B$2:$D$17,3,0))&lt;4,VLOOKUP(C184,Konečné_pořadí_1_16!$B$2:$D$17,3,0),999)</f>
        <v>999</v>
      </c>
      <c r="G184" s="160">
        <f ca="1">IF(TYPE(VLOOKUP(C184,'KO64'!$D$4:$D$129,1,0))&lt;4,64,999)</f>
        <v>999</v>
      </c>
      <c r="H184" s="160">
        <f ca="1">IF(TYPE(VLOOKUP(C184,'KO32'!$D$4:$D$65,1,0))&lt;4,32,999)</f>
        <v>999</v>
      </c>
      <c r="I184" s="160">
        <f ca="1">IF(TYPE(VLOOKUP(C184,'KO16'!$D$4:$D$33,1,0))&lt;4,16,999)</f>
        <v>999</v>
      </c>
      <c r="J184" s="160">
        <f ca="1">IF(TYPE(VLOOKUP(C184,'KO8'!$D$4:$D$17,1,0))&lt;4,8,999)</f>
        <v>999</v>
      </c>
      <c r="K184" s="160">
        <f ca="1">IF(TYPE(VLOOKUP(C184,'KO4'!$D$4:$D$9,1,0))&lt;4,4,999)</f>
        <v>999</v>
      </c>
      <c r="L184" s="160">
        <f>Start.listina!$K$7</f>
        <v>45</v>
      </c>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row>
    <row r="185" spans="1:34" ht="12" customHeight="1">
      <c r="A185" s="6" t="str">
        <f>IF(OR(Start.listina!H193&gt;Start.listina!$K$7,Start.listina!G193=TRUE),"",Start.listina!H193)</f>
        <v/>
      </c>
      <c r="B185" s="160" t="str">
        <f>IF(A185&gt;Start.listina!$K$7,"",ADDRESS(INT((A185-1)/$M$2)+1,IF(MOD(A185,$M$2)=0,IF(MOD(INT((A185-1)/$M$2)+1,2)=1,$M$2,1),IF(MOD(INT((A185-1)/$M$2)+1,2)=1,MOD(A185,$M$2),$M$2-MOD(A185,$M$2)+1)),4,1))</f>
        <v/>
      </c>
      <c r="C185" s="162" t="str">
        <f>Start.listina!$AL193</f>
        <v/>
      </c>
      <c r="D185" s="160" t="str">
        <f>IF(A185&gt;Start.listina!$K$7,"",INT((A185-1)/$M$2)+1)</f>
        <v/>
      </c>
      <c r="E185" s="160" t="str">
        <f>IF(A185&gt;Start.listina!$K$7,"",MIN(F185:L185))</f>
        <v/>
      </c>
      <c r="F185" s="160">
        <f ca="1">IF(TYPE(VLOOKUP(C185,Konečné_pořadí_1_16!$B$2:$D$17,3,0))&lt;4,VLOOKUP(C185,Konečné_pořadí_1_16!$B$2:$D$17,3,0),999)</f>
        <v>999</v>
      </c>
      <c r="G185" s="160">
        <f ca="1">IF(TYPE(VLOOKUP(C185,'KO64'!$D$4:$D$129,1,0))&lt;4,64,999)</f>
        <v>999</v>
      </c>
      <c r="H185" s="160">
        <f ca="1">IF(TYPE(VLOOKUP(C185,'KO32'!$D$4:$D$65,1,0))&lt;4,32,999)</f>
        <v>999</v>
      </c>
      <c r="I185" s="160">
        <f ca="1">IF(TYPE(VLOOKUP(C185,'KO16'!$D$4:$D$33,1,0))&lt;4,16,999)</f>
        <v>999</v>
      </c>
      <c r="J185" s="160">
        <f ca="1">IF(TYPE(VLOOKUP(C185,'KO8'!$D$4:$D$17,1,0))&lt;4,8,999)</f>
        <v>999</v>
      </c>
      <c r="K185" s="160">
        <f ca="1">IF(TYPE(VLOOKUP(C185,'KO4'!$D$4:$D$9,1,0))&lt;4,4,999)</f>
        <v>999</v>
      </c>
      <c r="L185" s="160">
        <f>Start.listina!$K$7</f>
        <v>45</v>
      </c>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row>
    <row r="186" spans="1:34" ht="12" customHeight="1">
      <c r="A186" s="6" t="str">
        <f>IF(OR(Start.listina!H194&gt;Start.listina!$K$7,Start.listina!G194=TRUE),"",Start.listina!H194)</f>
        <v/>
      </c>
      <c r="B186" s="160" t="str">
        <f>IF(A186&gt;Start.listina!$K$7,"",ADDRESS(INT((A186-1)/$M$2)+1,IF(MOD(A186,$M$2)=0,IF(MOD(INT((A186-1)/$M$2)+1,2)=1,$M$2,1),IF(MOD(INT((A186-1)/$M$2)+1,2)=1,MOD(A186,$M$2),$M$2-MOD(A186,$M$2)+1)),4,1))</f>
        <v/>
      </c>
      <c r="C186" s="162" t="str">
        <f>Start.listina!$AL194</f>
        <v/>
      </c>
      <c r="D186" s="160" t="str">
        <f>IF(A186&gt;Start.listina!$K$7,"",INT((A186-1)/$M$2)+1)</f>
        <v/>
      </c>
      <c r="E186" s="160" t="str">
        <f>IF(A186&gt;Start.listina!$K$7,"",MIN(F186:L186))</f>
        <v/>
      </c>
      <c r="F186" s="160">
        <f ca="1">IF(TYPE(VLOOKUP(C186,Konečné_pořadí_1_16!$B$2:$D$17,3,0))&lt;4,VLOOKUP(C186,Konečné_pořadí_1_16!$B$2:$D$17,3,0),999)</f>
        <v>999</v>
      </c>
      <c r="G186" s="160">
        <f ca="1">IF(TYPE(VLOOKUP(C186,'KO64'!$D$4:$D$129,1,0))&lt;4,64,999)</f>
        <v>999</v>
      </c>
      <c r="H186" s="160">
        <f ca="1">IF(TYPE(VLOOKUP(C186,'KO32'!$D$4:$D$65,1,0))&lt;4,32,999)</f>
        <v>999</v>
      </c>
      <c r="I186" s="160">
        <f ca="1">IF(TYPE(VLOOKUP(C186,'KO16'!$D$4:$D$33,1,0))&lt;4,16,999)</f>
        <v>999</v>
      </c>
      <c r="J186" s="160">
        <f ca="1">IF(TYPE(VLOOKUP(C186,'KO8'!$D$4:$D$17,1,0))&lt;4,8,999)</f>
        <v>999</v>
      </c>
      <c r="K186" s="160">
        <f ca="1">IF(TYPE(VLOOKUP(C186,'KO4'!$D$4:$D$9,1,0))&lt;4,4,999)</f>
        <v>999</v>
      </c>
      <c r="L186" s="160">
        <f>Start.listina!$K$7</f>
        <v>45</v>
      </c>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row>
    <row r="187" spans="1:34" ht="12" customHeight="1">
      <c r="A187" s="6" t="str">
        <f>IF(OR(Start.listina!H195&gt;Start.listina!$K$7,Start.listina!G195=TRUE),"",Start.listina!H195)</f>
        <v/>
      </c>
      <c r="B187" s="160" t="str">
        <f>IF(A187&gt;Start.listina!$K$7,"",ADDRESS(INT((A187-1)/$M$2)+1,IF(MOD(A187,$M$2)=0,IF(MOD(INT((A187-1)/$M$2)+1,2)=1,$M$2,1),IF(MOD(INT((A187-1)/$M$2)+1,2)=1,MOD(A187,$M$2),$M$2-MOD(A187,$M$2)+1)),4,1))</f>
        <v/>
      </c>
      <c r="C187" s="162" t="str">
        <f>Start.listina!$AL195</f>
        <v/>
      </c>
      <c r="D187" s="160" t="str">
        <f>IF(A187&gt;Start.listina!$K$7,"",INT((A187-1)/$M$2)+1)</f>
        <v/>
      </c>
      <c r="E187" s="160" t="str">
        <f>IF(A187&gt;Start.listina!$K$7,"",MIN(F187:L187))</f>
        <v/>
      </c>
      <c r="F187" s="160">
        <f ca="1">IF(TYPE(VLOOKUP(C187,Konečné_pořadí_1_16!$B$2:$D$17,3,0))&lt;4,VLOOKUP(C187,Konečné_pořadí_1_16!$B$2:$D$17,3,0),999)</f>
        <v>999</v>
      </c>
      <c r="G187" s="160">
        <f ca="1">IF(TYPE(VLOOKUP(C187,'KO64'!$D$4:$D$129,1,0))&lt;4,64,999)</f>
        <v>999</v>
      </c>
      <c r="H187" s="160">
        <f ca="1">IF(TYPE(VLOOKUP(C187,'KO32'!$D$4:$D$65,1,0))&lt;4,32,999)</f>
        <v>999</v>
      </c>
      <c r="I187" s="160">
        <f ca="1">IF(TYPE(VLOOKUP(C187,'KO16'!$D$4:$D$33,1,0))&lt;4,16,999)</f>
        <v>999</v>
      </c>
      <c r="J187" s="160">
        <f ca="1">IF(TYPE(VLOOKUP(C187,'KO8'!$D$4:$D$17,1,0))&lt;4,8,999)</f>
        <v>999</v>
      </c>
      <c r="K187" s="160">
        <f ca="1">IF(TYPE(VLOOKUP(C187,'KO4'!$D$4:$D$9,1,0))&lt;4,4,999)</f>
        <v>999</v>
      </c>
      <c r="L187" s="160">
        <f>Start.listina!$K$7</f>
        <v>45</v>
      </c>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row>
    <row r="188" spans="1:34" ht="12" customHeight="1">
      <c r="A188" s="6" t="str">
        <f>IF(OR(Start.listina!H196&gt;Start.listina!$K$7,Start.listina!G196=TRUE),"",Start.listina!H196)</f>
        <v/>
      </c>
      <c r="B188" s="160" t="str">
        <f>IF(A188&gt;Start.listina!$K$7,"",ADDRESS(INT((A188-1)/$M$2)+1,IF(MOD(A188,$M$2)=0,IF(MOD(INT((A188-1)/$M$2)+1,2)=1,$M$2,1),IF(MOD(INT((A188-1)/$M$2)+1,2)=1,MOD(A188,$M$2),$M$2-MOD(A188,$M$2)+1)),4,1))</f>
        <v/>
      </c>
      <c r="C188" s="162" t="str">
        <f>Start.listina!$AL196</f>
        <v/>
      </c>
      <c r="D188" s="160" t="str">
        <f>IF(A188&gt;Start.listina!$K$7,"",INT((A188-1)/$M$2)+1)</f>
        <v/>
      </c>
      <c r="E188" s="160" t="str">
        <f>IF(A188&gt;Start.listina!$K$7,"",MIN(F188:L188))</f>
        <v/>
      </c>
      <c r="F188" s="160">
        <f ca="1">IF(TYPE(VLOOKUP(C188,Konečné_pořadí_1_16!$B$2:$D$17,3,0))&lt;4,VLOOKUP(C188,Konečné_pořadí_1_16!$B$2:$D$17,3,0),999)</f>
        <v>999</v>
      </c>
      <c r="G188" s="160">
        <f ca="1">IF(TYPE(VLOOKUP(C188,'KO64'!$D$4:$D$129,1,0))&lt;4,64,999)</f>
        <v>999</v>
      </c>
      <c r="H188" s="160">
        <f ca="1">IF(TYPE(VLOOKUP(C188,'KO32'!$D$4:$D$65,1,0))&lt;4,32,999)</f>
        <v>999</v>
      </c>
      <c r="I188" s="160">
        <f ca="1">IF(TYPE(VLOOKUP(C188,'KO16'!$D$4:$D$33,1,0))&lt;4,16,999)</f>
        <v>999</v>
      </c>
      <c r="J188" s="160">
        <f ca="1">IF(TYPE(VLOOKUP(C188,'KO8'!$D$4:$D$17,1,0))&lt;4,8,999)</f>
        <v>999</v>
      </c>
      <c r="K188" s="160">
        <f ca="1">IF(TYPE(VLOOKUP(C188,'KO4'!$D$4:$D$9,1,0))&lt;4,4,999)</f>
        <v>999</v>
      </c>
      <c r="L188" s="160">
        <f>Start.listina!$K$7</f>
        <v>45</v>
      </c>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row>
    <row r="189" spans="1:34" ht="12" customHeight="1">
      <c r="A189" s="6" t="str">
        <f>IF(OR(Start.listina!H197&gt;Start.listina!$K$7,Start.listina!G197=TRUE),"",Start.listina!H197)</f>
        <v/>
      </c>
      <c r="B189" s="160" t="str">
        <f>IF(A189&gt;Start.listina!$K$7,"",ADDRESS(INT((A189-1)/$M$2)+1,IF(MOD(A189,$M$2)=0,IF(MOD(INT((A189-1)/$M$2)+1,2)=1,$M$2,1),IF(MOD(INT((A189-1)/$M$2)+1,2)=1,MOD(A189,$M$2),$M$2-MOD(A189,$M$2)+1)),4,1))</f>
        <v/>
      </c>
      <c r="C189" s="162" t="str">
        <f>Start.listina!$AL197</f>
        <v/>
      </c>
      <c r="D189" s="160" t="str">
        <f>IF(A189&gt;Start.listina!$K$7,"",INT((A189-1)/$M$2)+1)</f>
        <v/>
      </c>
      <c r="E189" s="160" t="str">
        <f>IF(A189&gt;Start.listina!$K$7,"",MIN(F189:L189))</f>
        <v/>
      </c>
      <c r="F189" s="160">
        <f ca="1">IF(TYPE(VLOOKUP(C189,Konečné_pořadí_1_16!$B$2:$D$17,3,0))&lt;4,VLOOKUP(C189,Konečné_pořadí_1_16!$B$2:$D$17,3,0),999)</f>
        <v>999</v>
      </c>
      <c r="G189" s="160">
        <f ca="1">IF(TYPE(VLOOKUP(C189,'KO64'!$D$4:$D$129,1,0))&lt;4,64,999)</f>
        <v>999</v>
      </c>
      <c r="H189" s="160">
        <f ca="1">IF(TYPE(VLOOKUP(C189,'KO32'!$D$4:$D$65,1,0))&lt;4,32,999)</f>
        <v>999</v>
      </c>
      <c r="I189" s="160">
        <f ca="1">IF(TYPE(VLOOKUP(C189,'KO16'!$D$4:$D$33,1,0))&lt;4,16,999)</f>
        <v>999</v>
      </c>
      <c r="J189" s="160">
        <f ca="1">IF(TYPE(VLOOKUP(C189,'KO8'!$D$4:$D$17,1,0))&lt;4,8,999)</f>
        <v>999</v>
      </c>
      <c r="K189" s="160">
        <f ca="1">IF(TYPE(VLOOKUP(C189,'KO4'!$D$4:$D$9,1,0))&lt;4,4,999)</f>
        <v>999</v>
      </c>
      <c r="L189" s="160">
        <f>Start.listina!$K$7</f>
        <v>45</v>
      </c>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row>
    <row r="190" spans="1:34" ht="12" customHeight="1">
      <c r="A190" s="6" t="str">
        <f>IF(OR(Start.listina!H198&gt;Start.listina!$K$7,Start.listina!G198=TRUE),"",Start.listina!H198)</f>
        <v/>
      </c>
      <c r="B190" s="160" t="str">
        <f>IF(A190&gt;Start.listina!$K$7,"",ADDRESS(INT((A190-1)/$M$2)+1,IF(MOD(A190,$M$2)=0,IF(MOD(INT((A190-1)/$M$2)+1,2)=1,$M$2,1),IF(MOD(INT((A190-1)/$M$2)+1,2)=1,MOD(A190,$M$2),$M$2-MOD(A190,$M$2)+1)),4,1))</f>
        <v/>
      </c>
      <c r="C190" s="162" t="str">
        <f>Start.listina!$AL198</f>
        <v/>
      </c>
      <c r="D190" s="160" t="str">
        <f>IF(A190&gt;Start.listina!$K$7,"",INT((A190-1)/$M$2)+1)</f>
        <v/>
      </c>
      <c r="E190" s="160" t="str">
        <f>IF(A190&gt;Start.listina!$K$7,"",MIN(F190:L190))</f>
        <v/>
      </c>
      <c r="F190" s="160">
        <f ca="1">IF(TYPE(VLOOKUP(C190,Konečné_pořadí_1_16!$B$2:$D$17,3,0))&lt;4,VLOOKUP(C190,Konečné_pořadí_1_16!$B$2:$D$17,3,0),999)</f>
        <v>999</v>
      </c>
      <c r="G190" s="160">
        <f ca="1">IF(TYPE(VLOOKUP(C190,'KO64'!$D$4:$D$129,1,0))&lt;4,64,999)</f>
        <v>999</v>
      </c>
      <c r="H190" s="160">
        <f ca="1">IF(TYPE(VLOOKUP(C190,'KO32'!$D$4:$D$65,1,0))&lt;4,32,999)</f>
        <v>999</v>
      </c>
      <c r="I190" s="160">
        <f ca="1">IF(TYPE(VLOOKUP(C190,'KO16'!$D$4:$D$33,1,0))&lt;4,16,999)</f>
        <v>999</v>
      </c>
      <c r="J190" s="160">
        <f ca="1">IF(TYPE(VLOOKUP(C190,'KO8'!$D$4:$D$17,1,0))&lt;4,8,999)</f>
        <v>999</v>
      </c>
      <c r="K190" s="160">
        <f ca="1">IF(TYPE(VLOOKUP(C190,'KO4'!$D$4:$D$9,1,0))&lt;4,4,999)</f>
        <v>999</v>
      </c>
      <c r="L190" s="160">
        <f>Start.listina!$K$7</f>
        <v>45</v>
      </c>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row>
    <row r="191" spans="1:34" ht="12" customHeight="1">
      <c r="A191" s="6" t="str">
        <f>IF(OR(Start.listina!H199&gt;Start.listina!$K$7,Start.listina!G199=TRUE),"",Start.listina!H199)</f>
        <v/>
      </c>
      <c r="B191" s="160" t="str">
        <f>IF(A191&gt;Start.listina!$K$7,"",ADDRESS(INT((A191-1)/$M$2)+1,IF(MOD(A191,$M$2)=0,IF(MOD(INT((A191-1)/$M$2)+1,2)=1,$M$2,1),IF(MOD(INT((A191-1)/$M$2)+1,2)=1,MOD(A191,$M$2),$M$2-MOD(A191,$M$2)+1)),4,1))</f>
        <v/>
      </c>
      <c r="C191" s="162" t="str">
        <f>Start.listina!$AL199</f>
        <v/>
      </c>
      <c r="D191" s="160" t="str">
        <f>IF(A191&gt;Start.listina!$K$7,"",INT((A191-1)/$M$2)+1)</f>
        <v/>
      </c>
      <c r="E191" s="160" t="str">
        <f>IF(A191&gt;Start.listina!$K$7,"",MIN(F191:L191))</f>
        <v/>
      </c>
      <c r="F191" s="160">
        <f ca="1">IF(TYPE(VLOOKUP(C191,Konečné_pořadí_1_16!$B$2:$D$17,3,0))&lt;4,VLOOKUP(C191,Konečné_pořadí_1_16!$B$2:$D$17,3,0),999)</f>
        <v>999</v>
      </c>
      <c r="G191" s="160">
        <f ca="1">IF(TYPE(VLOOKUP(C191,'KO64'!$D$4:$D$129,1,0))&lt;4,64,999)</f>
        <v>999</v>
      </c>
      <c r="H191" s="160">
        <f ca="1">IF(TYPE(VLOOKUP(C191,'KO32'!$D$4:$D$65,1,0))&lt;4,32,999)</f>
        <v>999</v>
      </c>
      <c r="I191" s="160">
        <f ca="1">IF(TYPE(VLOOKUP(C191,'KO16'!$D$4:$D$33,1,0))&lt;4,16,999)</f>
        <v>999</v>
      </c>
      <c r="J191" s="160">
        <f ca="1">IF(TYPE(VLOOKUP(C191,'KO8'!$D$4:$D$17,1,0))&lt;4,8,999)</f>
        <v>999</v>
      </c>
      <c r="K191" s="160">
        <f ca="1">IF(TYPE(VLOOKUP(C191,'KO4'!$D$4:$D$9,1,0))&lt;4,4,999)</f>
        <v>999</v>
      </c>
      <c r="L191" s="160">
        <f>Start.listina!$K$7</f>
        <v>45</v>
      </c>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row>
    <row r="192" spans="1:34" ht="12" customHeight="1">
      <c r="A192" s="6" t="str">
        <f>IF(OR(Start.listina!H200&gt;Start.listina!$K$7,Start.listina!G200=TRUE),"",Start.listina!H200)</f>
        <v/>
      </c>
      <c r="B192" s="160" t="str">
        <f>IF(A192&gt;Start.listina!$K$7,"",ADDRESS(INT((A192-1)/$M$2)+1,IF(MOD(A192,$M$2)=0,IF(MOD(INT((A192-1)/$M$2)+1,2)=1,$M$2,1),IF(MOD(INT((A192-1)/$M$2)+1,2)=1,MOD(A192,$M$2),$M$2-MOD(A192,$M$2)+1)),4,1))</f>
        <v/>
      </c>
      <c r="C192" s="162" t="str">
        <f>Start.listina!$AL200</f>
        <v/>
      </c>
      <c r="D192" s="160" t="str">
        <f>IF(A192&gt;Start.listina!$K$7,"",INT((A192-1)/$M$2)+1)</f>
        <v/>
      </c>
      <c r="E192" s="160" t="str">
        <f>IF(A192&gt;Start.listina!$K$7,"",MIN(F192:L192))</f>
        <v/>
      </c>
      <c r="F192" s="160">
        <f ca="1">IF(TYPE(VLOOKUP(C192,Konečné_pořadí_1_16!$B$2:$D$17,3,0))&lt;4,VLOOKUP(C192,Konečné_pořadí_1_16!$B$2:$D$17,3,0),999)</f>
        <v>999</v>
      </c>
      <c r="G192" s="160">
        <f ca="1">IF(TYPE(VLOOKUP(C192,'KO64'!$D$4:$D$129,1,0))&lt;4,64,999)</f>
        <v>999</v>
      </c>
      <c r="H192" s="160">
        <f ca="1">IF(TYPE(VLOOKUP(C192,'KO32'!$D$4:$D$65,1,0))&lt;4,32,999)</f>
        <v>999</v>
      </c>
      <c r="I192" s="160">
        <f ca="1">IF(TYPE(VLOOKUP(C192,'KO16'!$D$4:$D$33,1,0))&lt;4,16,999)</f>
        <v>999</v>
      </c>
      <c r="J192" s="160">
        <f ca="1">IF(TYPE(VLOOKUP(C192,'KO8'!$D$4:$D$17,1,0))&lt;4,8,999)</f>
        <v>999</v>
      </c>
      <c r="K192" s="160">
        <f ca="1">IF(TYPE(VLOOKUP(C192,'KO4'!$D$4:$D$9,1,0))&lt;4,4,999)</f>
        <v>999</v>
      </c>
      <c r="L192" s="160">
        <f>Start.listina!$K$7</f>
        <v>45</v>
      </c>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row>
    <row r="193" spans="1:34" ht="12" customHeight="1">
      <c r="A193" s="6" t="str">
        <f>IF(OR(Start.listina!H201&gt;Start.listina!$K$7,Start.listina!G201=TRUE),"",Start.listina!H201)</f>
        <v/>
      </c>
      <c r="B193" s="160" t="str">
        <f>IF(A193&gt;Start.listina!$K$7,"",ADDRESS(INT((A193-1)/$M$2)+1,IF(MOD(A193,$M$2)=0,IF(MOD(INT((A193-1)/$M$2)+1,2)=1,$M$2,1),IF(MOD(INT((A193-1)/$M$2)+1,2)=1,MOD(A193,$M$2),$M$2-MOD(A193,$M$2)+1)),4,1))</f>
        <v/>
      </c>
      <c r="C193" s="162" t="str">
        <f>Start.listina!$AL201</f>
        <v/>
      </c>
      <c r="D193" s="160" t="str">
        <f>IF(A193&gt;Start.listina!$K$7,"",INT((A193-1)/$M$2)+1)</f>
        <v/>
      </c>
      <c r="E193" s="160" t="str">
        <f>IF(A193&gt;Start.listina!$K$7,"",MIN(F193:L193))</f>
        <v/>
      </c>
      <c r="F193" s="160">
        <f ca="1">IF(TYPE(VLOOKUP(C193,Konečné_pořadí_1_16!$B$2:$D$17,3,0))&lt;4,VLOOKUP(C193,Konečné_pořadí_1_16!$B$2:$D$17,3,0),999)</f>
        <v>999</v>
      </c>
      <c r="G193" s="160">
        <f ca="1">IF(TYPE(VLOOKUP(C193,'KO64'!$D$4:$D$129,1,0))&lt;4,64,999)</f>
        <v>999</v>
      </c>
      <c r="H193" s="160">
        <f ca="1">IF(TYPE(VLOOKUP(C193,'KO32'!$D$4:$D$65,1,0))&lt;4,32,999)</f>
        <v>999</v>
      </c>
      <c r="I193" s="160">
        <f ca="1">IF(TYPE(VLOOKUP(C193,'KO16'!$D$4:$D$33,1,0))&lt;4,16,999)</f>
        <v>999</v>
      </c>
      <c r="J193" s="160">
        <f ca="1">IF(TYPE(VLOOKUP(C193,'KO8'!$D$4:$D$17,1,0))&lt;4,8,999)</f>
        <v>999</v>
      </c>
      <c r="K193" s="160">
        <f ca="1">IF(TYPE(VLOOKUP(C193,'KO4'!$D$4:$D$9,1,0))&lt;4,4,999)</f>
        <v>999</v>
      </c>
      <c r="L193" s="160">
        <f>Start.listina!$K$7</f>
        <v>45</v>
      </c>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row>
    <row r="194" spans="1:34" ht="12" customHeight="1">
      <c r="A194" s="6" t="str">
        <f>IF(OR(Start.listina!H202&gt;Start.listina!$K$7,Start.listina!G202=TRUE),"",Start.listina!H202)</f>
        <v/>
      </c>
      <c r="B194" s="160" t="str">
        <f>IF(A194&gt;Start.listina!$K$7,"",ADDRESS(INT((A194-1)/$M$2)+1,IF(MOD(A194,$M$2)=0,IF(MOD(INT((A194-1)/$M$2)+1,2)=1,$M$2,1),IF(MOD(INT((A194-1)/$M$2)+1,2)=1,MOD(A194,$M$2),$M$2-MOD(A194,$M$2)+1)),4,1))</f>
        <v/>
      </c>
      <c r="C194" s="162" t="str">
        <f>Start.listina!$AL202</f>
        <v/>
      </c>
      <c r="D194" s="160" t="str">
        <f>IF(A194&gt;Start.listina!$K$7,"",INT((A194-1)/$M$2)+1)</f>
        <v/>
      </c>
      <c r="E194" s="160" t="str">
        <f>IF(A194&gt;Start.listina!$K$7,"",MIN(F194:L194))</f>
        <v/>
      </c>
      <c r="F194" s="160">
        <f ca="1">IF(TYPE(VLOOKUP(C194,Konečné_pořadí_1_16!$B$2:$D$17,3,0))&lt;4,VLOOKUP(C194,Konečné_pořadí_1_16!$B$2:$D$17,3,0),999)</f>
        <v>999</v>
      </c>
      <c r="G194" s="160">
        <f ca="1">IF(TYPE(VLOOKUP(C194,'KO64'!$D$4:$D$129,1,0))&lt;4,64,999)</f>
        <v>999</v>
      </c>
      <c r="H194" s="160">
        <f ca="1">IF(TYPE(VLOOKUP(C194,'KO32'!$D$4:$D$65,1,0))&lt;4,32,999)</f>
        <v>999</v>
      </c>
      <c r="I194" s="160">
        <f ca="1">IF(TYPE(VLOOKUP(C194,'KO16'!$D$4:$D$33,1,0))&lt;4,16,999)</f>
        <v>999</v>
      </c>
      <c r="J194" s="160">
        <f ca="1">IF(TYPE(VLOOKUP(C194,'KO8'!$D$4:$D$17,1,0))&lt;4,8,999)</f>
        <v>999</v>
      </c>
      <c r="K194" s="160">
        <f ca="1">IF(TYPE(VLOOKUP(C194,'KO4'!$D$4:$D$9,1,0))&lt;4,4,999)</f>
        <v>999</v>
      </c>
      <c r="L194" s="160">
        <f>Start.listina!$K$7</f>
        <v>45</v>
      </c>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row>
    <row r="195" spans="1:34" ht="12" customHeight="1">
      <c r="M195" s="160"/>
    </row>
    <row r="196" spans="1:34" ht="12" customHeight="1">
      <c r="M196" s="160"/>
    </row>
    <row r="197" spans="1:34" ht="12" customHeight="1">
      <c r="M197" s="160"/>
    </row>
    <row r="198" spans="1:34" ht="12" customHeight="1">
      <c r="M198" s="160"/>
    </row>
    <row r="199" spans="1:34" ht="12" customHeight="1">
      <c r="M199" s="160"/>
    </row>
    <row r="200" spans="1:34" ht="12" customHeight="1">
      <c r="M200" s="160"/>
    </row>
    <row r="201" spans="1:34" ht="12" customHeight="1">
      <c r="M201" s="160"/>
    </row>
    <row r="202" spans="1:34" ht="12" customHeight="1">
      <c r="M202" s="160"/>
    </row>
    <row r="203" spans="1:34" ht="12" customHeight="1">
      <c r="M203" s="160"/>
    </row>
    <row r="204" spans="1:34" ht="12" customHeight="1">
      <c r="M204" s="160"/>
    </row>
    <row r="205" spans="1:34" ht="12" customHeight="1">
      <c r="M205" s="160"/>
    </row>
    <row r="206" spans="1:34" ht="12" customHeight="1">
      <c r="M206" s="160"/>
    </row>
    <row r="207" spans="1:34" ht="12" customHeight="1">
      <c r="M207" s="160"/>
    </row>
    <row r="208" spans="1:34" ht="12" customHeight="1">
      <c r="M208" s="160"/>
    </row>
    <row r="209" spans="13:13" ht="12" customHeight="1">
      <c r="M209" s="160"/>
    </row>
    <row r="210" spans="13:13" ht="12" customHeight="1">
      <c r="M210" s="160"/>
    </row>
    <row r="211" spans="13:13" ht="12" customHeight="1">
      <c r="M211" s="160"/>
    </row>
    <row r="212" spans="13:13" ht="12" customHeight="1">
      <c r="M212" s="160"/>
    </row>
    <row r="213" spans="13:13" ht="12" customHeight="1">
      <c r="M213" s="160"/>
    </row>
    <row r="214" spans="13:13" ht="12" customHeight="1">
      <c r="M214" s="160"/>
    </row>
    <row r="215" spans="13:13" ht="12" customHeight="1">
      <c r="M215" s="160"/>
    </row>
    <row r="216" spans="13:13" ht="12" customHeight="1">
      <c r="M216" s="160"/>
    </row>
    <row r="217" spans="13:13" ht="12" customHeight="1">
      <c r="M217" s="160"/>
    </row>
    <row r="218" spans="13:13" ht="12" customHeight="1">
      <c r="M218" s="160"/>
    </row>
    <row r="219" spans="13:13" ht="12" customHeight="1">
      <c r="M219" s="160"/>
    </row>
    <row r="220" spans="13:13" ht="12" customHeight="1">
      <c r="M220" s="160"/>
    </row>
    <row r="221" spans="13:13" ht="12" customHeight="1">
      <c r="M221" s="160"/>
    </row>
    <row r="222" spans="13:13" ht="12" customHeight="1">
      <c r="M222" s="160"/>
    </row>
    <row r="223" spans="13:13" ht="12" customHeight="1">
      <c r="M223" s="160"/>
    </row>
    <row r="224" spans="13:13" ht="12" customHeight="1">
      <c r="M224" s="160"/>
    </row>
    <row r="225" spans="13:13" ht="12" customHeight="1">
      <c r="M225" s="160"/>
    </row>
    <row r="226" spans="13:13" ht="12" customHeight="1">
      <c r="M226" s="160"/>
    </row>
    <row r="227" spans="13:13" ht="12" customHeight="1">
      <c r="M227" s="160"/>
    </row>
    <row r="228" spans="13:13" ht="12" customHeight="1">
      <c r="M228" s="160"/>
    </row>
    <row r="229" spans="13:13" ht="12" customHeight="1">
      <c r="M229" s="160"/>
    </row>
    <row r="230" spans="13:13" ht="12" customHeight="1">
      <c r="M230" s="160"/>
    </row>
    <row r="231" spans="13:13" ht="12" customHeight="1">
      <c r="M231" s="160"/>
    </row>
    <row r="232" spans="13:13" ht="12" customHeight="1">
      <c r="M232" s="160"/>
    </row>
    <row r="233" spans="13:13" ht="12" customHeight="1">
      <c r="M233" s="160"/>
    </row>
    <row r="234" spans="13:13" ht="12" customHeight="1">
      <c r="M234" s="160"/>
    </row>
    <row r="235" spans="13:13" ht="12" customHeight="1">
      <c r="M235" s="160"/>
    </row>
    <row r="236" spans="13:13" ht="12" customHeight="1">
      <c r="M236" s="160"/>
    </row>
    <row r="237" spans="13:13" ht="12" customHeight="1">
      <c r="M237" s="160"/>
    </row>
    <row r="238" spans="13:13" ht="12" customHeight="1">
      <c r="M238" s="160"/>
    </row>
    <row r="239" spans="13:13" ht="12" customHeight="1">
      <c r="M239" s="160"/>
    </row>
    <row r="240" spans="13:13" ht="12" customHeight="1">
      <c r="M240" s="160"/>
    </row>
    <row r="241" spans="13:13" ht="12" customHeight="1">
      <c r="M241" s="160"/>
    </row>
    <row r="242" spans="13:13" ht="12" customHeight="1">
      <c r="M242" s="160"/>
    </row>
    <row r="243" spans="13:13" ht="12" customHeight="1">
      <c r="M243" s="160"/>
    </row>
    <row r="244" spans="13:13" ht="12" customHeight="1">
      <c r="M244" s="160"/>
    </row>
    <row r="245" spans="13:13" ht="12" customHeight="1">
      <c r="M245" s="160"/>
    </row>
    <row r="246" spans="13:13" ht="12" customHeight="1">
      <c r="M246" s="160"/>
    </row>
    <row r="247" spans="13:13" ht="12" customHeight="1">
      <c r="M247" s="160"/>
    </row>
    <row r="248" spans="13:13" ht="12" customHeight="1">
      <c r="M248" s="160"/>
    </row>
    <row r="249" spans="13:13" ht="12" customHeight="1">
      <c r="M249" s="160"/>
    </row>
    <row r="250" spans="13:13" ht="12" customHeight="1">
      <c r="M250" s="160"/>
    </row>
    <row r="251" spans="13:13" ht="12" customHeight="1">
      <c r="M251" s="160"/>
    </row>
    <row r="252" spans="13:13" ht="12" customHeight="1">
      <c r="M252" s="160"/>
    </row>
    <row r="253" spans="13:13" ht="12" customHeight="1">
      <c r="M253" s="160"/>
    </row>
    <row r="254" spans="13:13" ht="12" customHeight="1">
      <c r="M254" s="160"/>
    </row>
    <row r="255" spans="13:13" ht="12" customHeight="1">
      <c r="M255" s="160"/>
    </row>
    <row r="256" spans="13:13" ht="12" customHeight="1">
      <c r="M256" s="160"/>
    </row>
    <row r="257" spans="13:13" ht="12" customHeight="1">
      <c r="M257" s="160"/>
    </row>
    <row r="258" spans="13:13" ht="12" customHeight="1">
      <c r="M258" s="160"/>
    </row>
    <row r="259" spans="13:13" ht="12" customHeight="1">
      <c r="M259" s="160"/>
    </row>
    <row r="260" spans="13:13" ht="12" customHeight="1">
      <c r="M260" s="160"/>
    </row>
    <row r="261" spans="13:13" ht="12" customHeight="1">
      <c r="M261" s="160"/>
    </row>
    <row r="262" spans="13:13" ht="12" customHeight="1">
      <c r="M262" s="160"/>
    </row>
    <row r="263" spans="13:13" ht="12" customHeight="1">
      <c r="M263" s="160"/>
    </row>
    <row r="264" spans="13:13" ht="12" customHeight="1">
      <c r="M264" s="160"/>
    </row>
    <row r="265" spans="13:13" ht="12" customHeight="1">
      <c r="M265" s="160"/>
    </row>
    <row r="266" spans="13:13" ht="12" customHeight="1">
      <c r="M266" s="160"/>
    </row>
    <row r="267" spans="13:13" ht="12" customHeight="1">
      <c r="M267" s="160"/>
    </row>
    <row r="268" spans="13:13" ht="12" customHeight="1">
      <c r="M268" s="160"/>
    </row>
    <row r="269" spans="13:13" ht="12" customHeight="1">
      <c r="M269" s="160"/>
    </row>
    <row r="270" spans="13:13" ht="12" customHeight="1">
      <c r="M270" s="160"/>
    </row>
    <row r="271" spans="13:13" ht="12" customHeight="1">
      <c r="M271" s="160"/>
    </row>
    <row r="272" spans="13:13" ht="12" customHeight="1">
      <c r="M272" s="160"/>
    </row>
    <row r="273" spans="13:13" ht="12" customHeight="1">
      <c r="M273" s="160"/>
    </row>
    <row r="274" spans="13:13" ht="12" customHeight="1">
      <c r="M274" s="160"/>
    </row>
    <row r="275" spans="13:13" ht="12" customHeight="1">
      <c r="M275" s="160"/>
    </row>
    <row r="276" spans="13:13" ht="12" customHeight="1">
      <c r="M276" s="160"/>
    </row>
    <row r="277" spans="13:13" ht="12" customHeight="1">
      <c r="M277" s="160"/>
    </row>
    <row r="278" spans="13:13" ht="12" customHeight="1">
      <c r="M278" s="160"/>
    </row>
    <row r="279" spans="13:13" ht="12" customHeight="1">
      <c r="M279" s="160"/>
    </row>
    <row r="280" spans="13:13" ht="12" customHeight="1">
      <c r="M280" s="160"/>
    </row>
    <row r="281" spans="13:13" ht="12" customHeight="1">
      <c r="M281" s="160"/>
    </row>
    <row r="282" spans="13:13" ht="12" customHeight="1">
      <c r="M282" s="160"/>
    </row>
    <row r="283" spans="13:13" ht="12" customHeight="1">
      <c r="M283" s="160"/>
    </row>
    <row r="284" spans="13:13" ht="12" customHeight="1">
      <c r="M284" s="160"/>
    </row>
    <row r="285" spans="13:13" ht="12" customHeight="1">
      <c r="M285" s="160"/>
    </row>
    <row r="286" spans="13:13" ht="12" customHeight="1">
      <c r="M286" s="160"/>
    </row>
    <row r="287" spans="13:13" ht="12" customHeight="1">
      <c r="M287" s="160"/>
    </row>
    <row r="288" spans="13:13" ht="12" customHeight="1">
      <c r="M288" s="160"/>
    </row>
    <row r="289" spans="13:13" ht="12" customHeight="1">
      <c r="M289" s="160"/>
    </row>
    <row r="290" spans="13:13" ht="12" customHeight="1">
      <c r="M290" s="160"/>
    </row>
    <row r="291" spans="13:13" ht="12" customHeight="1">
      <c r="M291" s="160"/>
    </row>
    <row r="292" spans="13:13" ht="12" customHeight="1">
      <c r="M292" s="160"/>
    </row>
    <row r="293" spans="13:13" ht="12" customHeight="1">
      <c r="M293" s="160"/>
    </row>
    <row r="294" spans="13:13" ht="12" customHeight="1">
      <c r="M294" s="160"/>
    </row>
    <row r="295" spans="13:13" ht="12" customHeight="1">
      <c r="M295" s="160"/>
    </row>
    <row r="296" spans="13:13" ht="12" customHeight="1">
      <c r="M296" s="160"/>
    </row>
    <row r="297" spans="13:13" ht="12" customHeight="1">
      <c r="M297" s="160"/>
    </row>
    <row r="298" spans="13:13" ht="12" customHeight="1">
      <c r="M298" s="160"/>
    </row>
    <row r="299" spans="13:13" ht="12" customHeight="1">
      <c r="M299" s="160"/>
    </row>
    <row r="300" spans="13:13" ht="12" customHeight="1">
      <c r="M300" s="160"/>
    </row>
    <row r="301" spans="13:13" ht="12" customHeight="1">
      <c r="M301" s="160"/>
    </row>
    <row r="302" spans="13:13" ht="12" customHeight="1">
      <c r="M302" s="160"/>
    </row>
    <row r="303" spans="13:13" ht="12" customHeight="1">
      <c r="M303" s="160"/>
    </row>
    <row r="304" spans="13:13" ht="12" customHeight="1">
      <c r="M304" s="160"/>
    </row>
    <row r="305" spans="13:13" ht="12" customHeight="1">
      <c r="M305" s="160"/>
    </row>
    <row r="306" spans="13:13" ht="12" customHeight="1">
      <c r="M306" s="160"/>
    </row>
    <row r="307" spans="13:13" ht="12" customHeight="1">
      <c r="M307" s="160"/>
    </row>
    <row r="308" spans="13:13" ht="12" customHeight="1">
      <c r="M308" s="160"/>
    </row>
    <row r="309" spans="13:13" ht="12" customHeight="1">
      <c r="M309" s="160"/>
    </row>
    <row r="310" spans="13:13" ht="12" customHeight="1">
      <c r="M310" s="160"/>
    </row>
    <row r="311" spans="13:13" ht="12" customHeight="1">
      <c r="M311" s="160"/>
    </row>
    <row r="312" spans="13:13" ht="12" customHeight="1">
      <c r="M312" s="160"/>
    </row>
    <row r="313" spans="13:13" ht="12" customHeight="1">
      <c r="M313" s="160"/>
    </row>
    <row r="314" spans="13:13" ht="12" customHeight="1">
      <c r="M314" s="160"/>
    </row>
    <row r="315" spans="13:13" ht="12" customHeight="1">
      <c r="M315" s="160"/>
    </row>
    <row r="316" spans="13:13" ht="12" customHeight="1">
      <c r="M316" s="160"/>
    </row>
    <row r="317" spans="13:13" ht="12" customHeight="1">
      <c r="M317" s="160"/>
    </row>
    <row r="318" spans="13:13" ht="12" customHeight="1">
      <c r="M318" s="160"/>
    </row>
    <row r="319" spans="13:13" ht="12" customHeight="1">
      <c r="M319" s="160"/>
    </row>
    <row r="320" spans="13:13" ht="12" customHeight="1">
      <c r="M320" s="160"/>
    </row>
    <row r="321" spans="13:13" ht="12" customHeight="1">
      <c r="M321" s="160"/>
    </row>
    <row r="322" spans="13:13" ht="12" customHeight="1">
      <c r="M322" s="160"/>
    </row>
    <row r="323" spans="13:13" ht="12" customHeight="1">
      <c r="M323" s="160"/>
    </row>
    <row r="324" spans="13:13" ht="12" customHeight="1">
      <c r="M324" s="160"/>
    </row>
    <row r="325" spans="13:13" ht="12" customHeight="1">
      <c r="M325" s="160"/>
    </row>
    <row r="326" spans="13:13" ht="12" customHeight="1">
      <c r="M326" s="160"/>
    </row>
    <row r="327" spans="13:13" ht="12" customHeight="1">
      <c r="M327" s="160"/>
    </row>
    <row r="328" spans="13:13" ht="12" customHeight="1">
      <c r="M328" s="160"/>
    </row>
    <row r="329" spans="13:13" ht="12" customHeight="1">
      <c r="M329" s="160"/>
    </row>
    <row r="330" spans="13:13" ht="12" customHeight="1">
      <c r="M330" s="160"/>
    </row>
    <row r="331" spans="13:13" ht="12" customHeight="1">
      <c r="M331" s="160"/>
    </row>
    <row r="332" spans="13:13" ht="12" customHeight="1">
      <c r="M332" s="160"/>
    </row>
    <row r="333" spans="13:13" ht="12" customHeight="1">
      <c r="M333" s="160"/>
    </row>
    <row r="334" spans="13:13" ht="12" customHeight="1">
      <c r="M334" s="160"/>
    </row>
    <row r="335" spans="13:13" ht="12" customHeight="1">
      <c r="M335" s="160"/>
    </row>
    <row r="336" spans="13:13" ht="12" customHeight="1">
      <c r="M336" s="160"/>
    </row>
    <row r="337" spans="13:13" ht="12" customHeight="1">
      <c r="M337" s="160"/>
    </row>
    <row r="338" spans="13:13" ht="12" customHeight="1">
      <c r="M338" s="160"/>
    </row>
    <row r="339" spans="13:13" ht="12" customHeight="1">
      <c r="M339" s="160"/>
    </row>
    <row r="340" spans="13:13" ht="12" customHeight="1">
      <c r="M340" s="160"/>
    </row>
    <row r="341" spans="13:13" ht="12" customHeight="1">
      <c r="M341" s="160"/>
    </row>
    <row r="342" spans="13:13" ht="12" customHeight="1">
      <c r="M342" s="160"/>
    </row>
    <row r="343" spans="13:13" ht="12" customHeight="1">
      <c r="M343" s="160"/>
    </row>
    <row r="344" spans="13:13" ht="12" customHeight="1">
      <c r="M344" s="160"/>
    </row>
    <row r="345" spans="13:13" ht="12" customHeight="1">
      <c r="M345" s="160"/>
    </row>
    <row r="346" spans="13:13" ht="12" customHeight="1">
      <c r="M346" s="160"/>
    </row>
    <row r="347" spans="13:13" ht="12" customHeight="1">
      <c r="M347" s="160"/>
    </row>
    <row r="348" spans="13:13" ht="12" customHeight="1">
      <c r="M348" s="160"/>
    </row>
    <row r="349" spans="13:13" ht="12" customHeight="1">
      <c r="M349" s="160"/>
    </row>
    <row r="350" spans="13:13" ht="12" customHeight="1">
      <c r="M350" s="160"/>
    </row>
    <row r="351" spans="13:13" ht="12" customHeight="1">
      <c r="M351" s="160"/>
    </row>
    <row r="352" spans="13:13" ht="12" customHeight="1">
      <c r="M352" s="160"/>
    </row>
    <row r="353" spans="13:13" ht="12" customHeight="1">
      <c r="M353" s="160"/>
    </row>
    <row r="354" spans="13:13" ht="12" customHeight="1">
      <c r="M354" s="160"/>
    </row>
    <row r="355" spans="13:13" ht="12" customHeight="1">
      <c r="M355" s="160"/>
    </row>
    <row r="356" spans="13:13" ht="12" customHeight="1">
      <c r="M356" s="160"/>
    </row>
    <row r="357" spans="13:13" ht="12" customHeight="1">
      <c r="M357" s="160"/>
    </row>
    <row r="358" spans="13:13" ht="12" customHeight="1">
      <c r="M358" s="160"/>
    </row>
    <row r="359" spans="13:13" ht="12" customHeight="1">
      <c r="M359" s="160"/>
    </row>
    <row r="360" spans="13:13" ht="12" customHeight="1">
      <c r="M360" s="160"/>
    </row>
    <row r="361" spans="13:13" ht="12" customHeight="1">
      <c r="M361" s="160"/>
    </row>
    <row r="362" spans="13:13" ht="12" customHeight="1">
      <c r="M362" s="160"/>
    </row>
    <row r="363" spans="13:13" ht="12" customHeight="1">
      <c r="M363" s="160"/>
    </row>
    <row r="364" spans="13:13" ht="12" customHeight="1">
      <c r="M364" s="160"/>
    </row>
    <row r="365" spans="13:13" ht="12" customHeight="1">
      <c r="M365" s="160"/>
    </row>
    <row r="366" spans="13:13" ht="12" customHeight="1">
      <c r="M366" s="160"/>
    </row>
    <row r="367" spans="13:13" ht="12" customHeight="1">
      <c r="M367" s="160"/>
    </row>
    <row r="368" spans="13:13" ht="12" customHeight="1">
      <c r="M368" s="160"/>
    </row>
    <row r="369" spans="13:13" ht="12" customHeight="1">
      <c r="M369" s="160"/>
    </row>
    <row r="370" spans="13:13" ht="12" customHeight="1">
      <c r="M370" s="160"/>
    </row>
    <row r="371" spans="13:13" ht="12" customHeight="1">
      <c r="M371" s="160"/>
    </row>
    <row r="372" spans="13:13" ht="12" customHeight="1">
      <c r="M372" s="160"/>
    </row>
    <row r="373" spans="13:13" ht="12" customHeight="1">
      <c r="M373" s="160"/>
    </row>
    <row r="374" spans="13:13" ht="12" customHeight="1">
      <c r="M374" s="160"/>
    </row>
    <row r="375" spans="13:13" ht="12" customHeight="1">
      <c r="M375" s="160"/>
    </row>
    <row r="376" spans="13:13" ht="12" customHeight="1">
      <c r="M376" s="160"/>
    </row>
    <row r="377" spans="13:13" ht="12" customHeight="1">
      <c r="M377" s="160"/>
    </row>
    <row r="378" spans="13:13" ht="12" customHeight="1">
      <c r="M378" s="160"/>
    </row>
    <row r="379" spans="13:13" ht="12" customHeight="1">
      <c r="M379" s="160"/>
    </row>
    <row r="380" spans="13:13" ht="12" customHeight="1">
      <c r="M380" s="160"/>
    </row>
    <row r="381" spans="13:13" ht="12" customHeight="1">
      <c r="M381" s="160"/>
    </row>
    <row r="382" spans="13:13" ht="12" customHeight="1">
      <c r="M382" s="160"/>
    </row>
    <row r="383" spans="13:13" ht="12" customHeight="1">
      <c r="M383" s="160"/>
    </row>
    <row r="384" spans="13:13" ht="12" customHeight="1">
      <c r="M384" s="160"/>
    </row>
    <row r="385" spans="13:13" ht="12" customHeight="1">
      <c r="M385" s="160"/>
    </row>
    <row r="386" spans="13:13" ht="12" customHeight="1">
      <c r="M386" s="160"/>
    </row>
    <row r="387" spans="13:13" ht="12" customHeight="1">
      <c r="M387" s="160"/>
    </row>
    <row r="388" spans="13:13" ht="12" customHeight="1">
      <c r="M388" s="160"/>
    </row>
    <row r="389" spans="13:13" ht="12" customHeight="1">
      <c r="M389" s="160"/>
    </row>
    <row r="390" spans="13:13" ht="12" customHeight="1">
      <c r="M390" s="160"/>
    </row>
    <row r="391" spans="13:13" ht="12" customHeight="1">
      <c r="M391" s="160"/>
    </row>
    <row r="392" spans="13:13" ht="12" customHeight="1">
      <c r="M392" s="160"/>
    </row>
    <row r="393" spans="13:13" ht="12" customHeight="1">
      <c r="M393" s="160"/>
    </row>
    <row r="394" spans="13:13" ht="12" customHeight="1">
      <c r="M394" s="160"/>
    </row>
    <row r="395" spans="13:13" ht="12" customHeight="1">
      <c r="M395" s="160"/>
    </row>
    <row r="396" spans="13:13" ht="12" customHeight="1">
      <c r="M396" s="160"/>
    </row>
    <row r="397" spans="13:13" ht="12" customHeight="1">
      <c r="M397" s="160"/>
    </row>
    <row r="398" spans="13:13" ht="12" customHeight="1">
      <c r="M398" s="160"/>
    </row>
    <row r="399" spans="13:13" ht="12" customHeight="1">
      <c r="M399" s="160"/>
    </row>
    <row r="400" spans="13:13" ht="12" customHeight="1">
      <c r="M400" s="160"/>
    </row>
    <row r="401" spans="13:13" ht="12" customHeight="1">
      <c r="M401" s="160"/>
    </row>
    <row r="402" spans="13:13" ht="12" customHeight="1">
      <c r="M402" s="160"/>
    </row>
    <row r="403" spans="13:13" ht="12" customHeight="1">
      <c r="M403" s="160"/>
    </row>
    <row r="404" spans="13:13" ht="12" customHeight="1">
      <c r="M404" s="160"/>
    </row>
    <row r="405" spans="13:13" ht="12" customHeight="1">
      <c r="M405" s="160"/>
    </row>
    <row r="406" spans="13:13" ht="12" customHeight="1">
      <c r="M406" s="160"/>
    </row>
    <row r="407" spans="13:13" ht="12" customHeight="1">
      <c r="M407" s="160"/>
    </row>
    <row r="408" spans="13:13" ht="12" customHeight="1">
      <c r="M408" s="160"/>
    </row>
    <row r="409" spans="13:13" ht="12" customHeight="1">
      <c r="M409" s="160"/>
    </row>
    <row r="410" spans="13:13" ht="12" customHeight="1">
      <c r="M410" s="160"/>
    </row>
    <row r="411" spans="13:13" ht="12" customHeight="1">
      <c r="M411" s="160"/>
    </row>
    <row r="412" spans="13:13" ht="12" customHeight="1">
      <c r="M412" s="160"/>
    </row>
    <row r="413" spans="13:13" ht="12" customHeight="1">
      <c r="M413" s="160"/>
    </row>
    <row r="414" spans="13:13" ht="12" customHeight="1">
      <c r="M414" s="160"/>
    </row>
    <row r="415" spans="13:13" ht="12" customHeight="1">
      <c r="M415" s="160"/>
    </row>
    <row r="416" spans="13:13" ht="12" customHeight="1">
      <c r="M416" s="160"/>
    </row>
    <row r="417" spans="13:13" ht="12" customHeight="1">
      <c r="M417" s="160"/>
    </row>
    <row r="418" spans="13:13" ht="12" customHeight="1">
      <c r="M418" s="160"/>
    </row>
    <row r="419" spans="13:13" ht="12" customHeight="1">
      <c r="M419" s="160"/>
    </row>
    <row r="420" spans="13:13" ht="12" customHeight="1">
      <c r="M420" s="160"/>
    </row>
    <row r="421" spans="13:13" ht="12" customHeight="1">
      <c r="M421" s="160"/>
    </row>
    <row r="422" spans="13:13" ht="12" customHeight="1">
      <c r="M422" s="160"/>
    </row>
    <row r="423" spans="13:13" ht="12" customHeight="1">
      <c r="M423" s="160"/>
    </row>
    <row r="424" spans="13:13" ht="12" customHeight="1">
      <c r="M424" s="160"/>
    </row>
    <row r="425" spans="13:13" ht="12" customHeight="1">
      <c r="M425" s="160"/>
    </row>
    <row r="426" spans="13:13" ht="12" customHeight="1">
      <c r="M426" s="160"/>
    </row>
    <row r="427" spans="13:13" ht="12" customHeight="1">
      <c r="M427" s="160"/>
    </row>
    <row r="428" spans="13:13" ht="12" customHeight="1">
      <c r="M428" s="160"/>
    </row>
    <row r="429" spans="13:13" ht="12" customHeight="1">
      <c r="M429" s="160"/>
    </row>
    <row r="430" spans="13:13" ht="12" customHeight="1">
      <c r="M430" s="160"/>
    </row>
    <row r="431" spans="13:13" ht="12" customHeight="1">
      <c r="M431" s="160"/>
    </row>
    <row r="432" spans="13:13" ht="12" customHeight="1">
      <c r="M432" s="160"/>
    </row>
    <row r="433" spans="13:13" ht="12" customHeight="1">
      <c r="M433" s="160"/>
    </row>
    <row r="434" spans="13:13" ht="12" customHeight="1">
      <c r="M434" s="160"/>
    </row>
    <row r="435" spans="13:13" ht="12" customHeight="1">
      <c r="M435" s="160"/>
    </row>
    <row r="436" spans="13:13" ht="12" customHeight="1">
      <c r="M436" s="160"/>
    </row>
    <row r="437" spans="13:13" ht="12" customHeight="1">
      <c r="M437" s="160"/>
    </row>
    <row r="438" spans="13:13" ht="12" customHeight="1">
      <c r="M438" s="160"/>
    </row>
    <row r="439" spans="13:13" ht="12" customHeight="1">
      <c r="M439" s="160"/>
    </row>
    <row r="440" spans="13:13" ht="12" customHeight="1">
      <c r="M440" s="160"/>
    </row>
    <row r="441" spans="13:13" ht="12" customHeight="1">
      <c r="M441" s="160"/>
    </row>
    <row r="442" spans="13:13" ht="12" customHeight="1">
      <c r="M442" s="160"/>
    </row>
    <row r="443" spans="13:13" ht="12" customHeight="1">
      <c r="M443" s="160"/>
    </row>
    <row r="444" spans="13:13" ht="12" customHeight="1">
      <c r="M444" s="160"/>
    </row>
    <row r="445" spans="13:13" ht="12" customHeight="1">
      <c r="M445" s="160"/>
    </row>
    <row r="446" spans="13:13" ht="12" customHeight="1">
      <c r="M446" s="160"/>
    </row>
    <row r="447" spans="13:13" ht="12" customHeight="1">
      <c r="M447" s="160"/>
    </row>
    <row r="448" spans="13:13" ht="12" customHeight="1">
      <c r="M448" s="160"/>
    </row>
    <row r="449" spans="13:13" ht="12" customHeight="1">
      <c r="M449" s="160"/>
    </row>
    <row r="450" spans="13:13" ht="12" customHeight="1">
      <c r="M450" s="160"/>
    </row>
    <row r="451" spans="13:13" ht="12" customHeight="1">
      <c r="M451" s="160"/>
    </row>
    <row r="452" spans="13:13" ht="12" customHeight="1">
      <c r="M452" s="160"/>
    </row>
    <row r="453" spans="13:13" ht="12" customHeight="1">
      <c r="M453" s="160"/>
    </row>
    <row r="454" spans="13:13" ht="12" customHeight="1">
      <c r="M454" s="160"/>
    </row>
    <row r="455" spans="13:13" ht="12" customHeight="1">
      <c r="M455" s="160"/>
    </row>
    <row r="456" spans="13:13" ht="12" customHeight="1">
      <c r="M456" s="160"/>
    </row>
    <row r="457" spans="13:13" ht="12" customHeight="1">
      <c r="M457" s="160"/>
    </row>
    <row r="458" spans="13:13" ht="12" customHeight="1">
      <c r="M458" s="160"/>
    </row>
    <row r="459" spans="13:13" ht="12" customHeight="1">
      <c r="M459" s="160"/>
    </row>
    <row r="460" spans="13:13" ht="12" customHeight="1">
      <c r="M460" s="160"/>
    </row>
    <row r="461" spans="13:13" ht="12" customHeight="1">
      <c r="M461" s="160"/>
    </row>
    <row r="462" spans="13:13" ht="12" customHeight="1">
      <c r="M462" s="160"/>
    </row>
    <row r="463" spans="13:13" ht="12" customHeight="1">
      <c r="M463" s="160"/>
    </row>
    <row r="464" spans="13:13" ht="12" customHeight="1">
      <c r="M464" s="160"/>
    </row>
    <row r="465" spans="13:13" ht="12" customHeight="1">
      <c r="M465" s="160"/>
    </row>
    <row r="466" spans="13:13" ht="12" customHeight="1">
      <c r="M466" s="160"/>
    </row>
    <row r="467" spans="13:13" ht="12" customHeight="1">
      <c r="M467" s="160"/>
    </row>
    <row r="468" spans="13:13" ht="12" customHeight="1">
      <c r="M468" s="160"/>
    </row>
    <row r="469" spans="13:13" ht="12" customHeight="1">
      <c r="M469" s="160"/>
    </row>
    <row r="470" spans="13:13" ht="12" customHeight="1">
      <c r="M470" s="160"/>
    </row>
    <row r="471" spans="13:13" ht="12" customHeight="1">
      <c r="M471" s="160"/>
    </row>
    <row r="472" spans="13:13" ht="12" customHeight="1">
      <c r="M472" s="160"/>
    </row>
    <row r="473" spans="13:13" ht="12" customHeight="1">
      <c r="M473" s="160"/>
    </row>
    <row r="474" spans="13:13" ht="12" customHeight="1">
      <c r="M474" s="160"/>
    </row>
    <row r="475" spans="13:13" ht="12" customHeight="1">
      <c r="M475" s="160"/>
    </row>
    <row r="476" spans="13:13" ht="12" customHeight="1">
      <c r="M476" s="160"/>
    </row>
    <row r="477" spans="13:13" ht="12" customHeight="1">
      <c r="M477" s="160"/>
    </row>
    <row r="478" spans="13:13" ht="12" customHeight="1">
      <c r="M478" s="160"/>
    </row>
    <row r="479" spans="13:13" ht="12" customHeight="1">
      <c r="M479" s="160"/>
    </row>
    <row r="480" spans="13:13" ht="12" customHeight="1">
      <c r="M480" s="160"/>
    </row>
    <row r="481" spans="13:13" ht="12" customHeight="1">
      <c r="M481" s="160"/>
    </row>
    <row r="482" spans="13:13" ht="12" customHeight="1">
      <c r="M482" s="160"/>
    </row>
    <row r="483" spans="13:13" ht="12" customHeight="1">
      <c r="M483" s="160"/>
    </row>
    <row r="484" spans="13:13" ht="12" customHeight="1">
      <c r="M484" s="160"/>
    </row>
    <row r="485" spans="13:13" ht="12" customHeight="1">
      <c r="M485" s="160"/>
    </row>
    <row r="486" spans="13:13" ht="12" customHeight="1">
      <c r="M486" s="160"/>
    </row>
    <row r="487" spans="13:13" ht="12" customHeight="1">
      <c r="M487" s="160"/>
    </row>
    <row r="488" spans="13:13" ht="12" customHeight="1">
      <c r="M488" s="160"/>
    </row>
    <row r="489" spans="13:13" ht="12" customHeight="1">
      <c r="M489" s="160"/>
    </row>
    <row r="490" spans="13:13" ht="12" customHeight="1">
      <c r="M490" s="160"/>
    </row>
    <row r="491" spans="13:13" ht="12" customHeight="1">
      <c r="M491" s="160"/>
    </row>
    <row r="492" spans="13:13" ht="12" customHeight="1">
      <c r="M492" s="160"/>
    </row>
    <row r="493" spans="13:13" ht="12" customHeight="1">
      <c r="M493" s="160"/>
    </row>
    <row r="494" spans="13:13" ht="12" customHeight="1">
      <c r="M494" s="160"/>
    </row>
    <row r="495" spans="13:13" ht="12" customHeight="1">
      <c r="M495" s="160"/>
    </row>
    <row r="496" spans="13:13" ht="12" customHeight="1">
      <c r="M496" s="160"/>
    </row>
    <row r="497" spans="13:13" ht="12" customHeight="1">
      <c r="M497" s="160"/>
    </row>
    <row r="498" spans="13:13" ht="12" customHeight="1">
      <c r="M498" s="160"/>
    </row>
    <row r="499" spans="13:13" ht="12" customHeight="1">
      <c r="M499" s="160"/>
    </row>
    <row r="500" spans="13:13" ht="12" customHeight="1">
      <c r="M500" s="160"/>
    </row>
    <row r="501" spans="13:13" ht="12" customHeight="1">
      <c r="M501" s="160"/>
    </row>
    <row r="502" spans="13:13" ht="12" customHeight="1">
      <c r="M502" s="160"/>
    </row>
    <row r="503" spans="13:13" ht="12" customHeight="1">
      <c r="M503" s="160"/>
    </row>
    <row r="504" spans="13:13" ht="12" customHeight="1">
      <c r="M504" s="160"/>
    </row>
    <row r="505" spans="13:13" ht="12" customHeight="1">
      <c r="M505" s="160"/>
    </row>
    <row r="506" spans="13:13" ht="12" customHeight="1">
      <c r="M506" s="160"/>
    </row>
    <row r="507" spans="13:13" ht="12" customHeight="1">
      <c r="M507" s="160"/>
    </row>
    <row r="508" spans="13:13" ht="12" customHeight="1">
      <c r="M508" s="160"/>
    </row>
    <row r="509" spans="13:13" ht="12" customHeight="1">
      <c r="M509" s="160"/>
    </row>
    <row r="510" spans="13:13" ht="12" customHeight="1">
      <c r="M510" s="160"/>
    </row>
    <row r="511" spans="13:13" ht="12" customHeight="1">
      <c r="M511" s="160"/>
    </row>
    <row r="512" spans="13:13" ht="12" customHeight="1">
      <c r="M512" s="160"/>
    </row>
    <row r="513" spans="13:13" ht="12" customHeight="1">
      <c r="M513" s="160"/>
    </row>
    <row r="514" spans="13:13" ht="12" customHeight="1">
      <c r="M514" s="160"/>
    </row>
    <row r="515" spans="13:13" ht="12" customHeight="1">
      <c r="M515" s="160"/>
    </row>
    <row r="516" spans="13:13" ht="12" customHeight="1">
      <c r="M516" s="160"/>
    </row>
    <row r="517" spans="13:13" ht="12" customHeight="1">
      <c r="M517" s="160"/>
    </row>
    <row r="518" spans="13:13" ht="12" customHeight="1">
      <c r="M518" s="160"/>
    </row>
    <row r="519" spans="13:13" ht="12" customHeight="1">
      <c r="M519" s="160"/>
    </row>
    <row r="520" spans="13:13" ht="12" customHeight="1">
      <c r="M520" s="160"/>
    </row>
    <row r="521" spans="13:13" ht="12" customHeight="1">
      <c r="M521" s="160"/>
    </row>
    <row r="522" spans="13:13" ht="12" customHeight="1">
      <c r="M522" s="160"/>
    </row>
    <row r="523" spans="13:13" ht="12" customHeight="1">
      <c r="M523" s="160"/>
    </row>
    <row r="524" spans="13:13" ht="12" customHeight="1">
      <c r="M524" s="160"/>
    </row>
    <row r="525" spans="13:13" ht="12" customHeight="1">
      <c r="M525" s="160"/>
    </row>
    <row r="526" spans="13:13" ht="12" customHeight="1">
      <c r="M526" s="160"/>
    </row>
    <row r="527" spans="13:13" ht="12" customHeight="1">
      <c r="M527" s="160"/>
    </row>
    <row r="528" spans="13:13" ht="12" customHeight="1">
      <c r="M528" s="160"/>
    </row>
    <row r="529" spans="13:13" ht="12" customHeight="1">
      <c r="M529" s="160"/>
    </row>
    <row r="530" spans="13:13" ht="12" customHeight="1">
      <c r="M530" s="160"/>
    </row>
    <row r="531" spans="13:13" ht="12" customHeight="1">
      <c r="M531" s="160"/>
    </row>
    <row r="532" spans="13:13" ht="12" customHeight="1">
      <c r="M532" s="160"/>
    </row>
    <row r="533" spans="13:13" ht="12" customHeight="1">
      <c r="M533" s="160"/>
    </row>
    <row r="534" spans="13:13" ht="12" customHeight="1">
      <c r="M534" s="160"/>
    </row>
    <row r="535" spans="13:13" ht="12" customHeight="1">
      <c r="M535" s="160"/>
    </row>
    <row r="536" spans="13:13" ht="12" customHeight="1">
      <c r="M536" s="160"/>
    </row>
    <row r="537" spans="13:13" ht="12" customHeight="1">
      <c r="M537" s="160"/>
    </row>
    <row r="538" spans="13:13" ht="12" customHeight="1">
      <c r="M538" s="160"/>
    </row>
    <row r="539" spans="13:13" ht="12" customHeight="1">
      <c r="M539" s="160"/>
    </row>
    <row r="540" spans="13:13" ht="12" customHeight="1">
      <c r="M540" s="160"/>
    </row>
    <row r="541" spans="13:13" ht="12" customHeight="1">
      <c r="M541" s="160"/>
    </row>
    <row r="542" spans="13:13" ht="12" customHeight="1">
      <c r="M542" s="160"/>
    </row>
    <row r="543" spans="13:13" ht="12" customHeight="1">
      <c r="M543" s="160"/>
    </row>
    <row r="544" spans="13:13" ht="12" customHeight="1">
      <c r="M544" s="160"/>
    </row>
    <row r="545" spans="13:13" ht="12" customHeight="1">
      <c r="M545" s="160"/>
    </row>
    <row r="546" spans="13:13" ht="12" customHeight="1">
      <c r="M546" s="160"/>
    </row>
    <row r="547" spans="13:13" ht="12" customHeight="1">
      <c r="M547" s="160"/>
    </row>
    <row r="548" spans="13:13" ht="12" customHeight="1">
      <c r="M548" s="160"/>
    </row>
    <row r="549" spans="13:13" ht="12" customHeight="1">
      <c r="M549" s="160"/>
    </row>
    <row r="550" spans="13:13" ht="12" customHeight="1">
      <c r="M550" s="160"/>
    </row>
    <row r="551" spans="13:13" ht="12" customHeight="1">
      <c r="M551" s="160"/>
    </row>
    <row r="552" spans="13:13" ht="12" customHeight="1">
      <c r="M552" s="160"/>
    </row>
    <row r="553" spans="13:13" ht="12" customHeight="1">
      <c r="M553" s="160"/>
    </row>
    <row r="554" spans="13:13" ht="12" customHeight="1">
      <c r="M554" s="160"/>
    </row>
    <row r="555" spans="13:13" ht="12" customHeight="1">
      <c r="M555" s="160"/>
    </row>
    <row r="556" spans="13:13" ht="12" customHeight="1">
      <c r="M556" s="160"/>
    </row>
    <row r="557" spans="13:13" ht="12" customHeight="1">
      <c r="M557" s="160"/>
    </row>
    <row r="558" spans="13:13" ht="12" customHeight="1">
      <c r="M558" s="160"/>
    </row>
    <row r="559" spans="13:13" ht="12" customHeight="1">
      <c r="M559" s="160"/>
    </row>
    <row r="560" spans="13:13" ht="12" customHeight="1">
      <c r="M560" s="160"/>
    </row>
    <row r="561" spans="13:13" ht="12" customHeight="1">
      <c r="M561" s="160"/>
    </row>
    <row r="562" spans="13:13" ht="12" customHeight="1">
      <c r="M562" s="160"/>
    </row>
    <row r="563" spans="13:13" ht="12" customHeight="1">
      <c r="M563" s="160"/>
    </row>
    <row r="564" spans="13:13" ht="12" customHeight="1">
      <c r="M564" s="160"/>
    </row>
    <row r="565" spans="13:13" ht="12" customHeight="1">
      <c r="M565" s="160"/>
    </row>
    <row r="566" spans="13:13" ht="12" customHeight="1">
      <c r="M566" s="160"/>
    </row>
    <row r="567" spans="13:13" ht="12" customHeight="1">
      <c r="M567" s="160"/>
    </row>
    <row r="568" spans="13:13" ht="12" customHeight="1">
      <c r="M568" s="160"/>
    </row>
    <row r="569" spans="13:13" ht="12" customHeight="1">
      <c r="M569" s="160"/>
    </row>
    <row r="570" spans="13:13" ht="12" customHeight="1">
      <c r="M570" s="160"/>
    </row>
    <row r="571" spans="13:13" ht="12" customHeight="1">
      <c r="M571" s="160"/>
    </row>
    <row r="572" spans="13:13" ht="12" customHeight="1">
      <c r="M572" s="160"/>
    </row>
    <row r="573" spans="13:13" ht="12" customHeight="1">
      <c r="M573" s="160"/>
    </row>
    <row r="574" spans="13:13" ht="12" customHeight="1">
      <c r="M574" s="160"/>
    </row>
    <row r="575" spans="13:13" ht="12" customHeight="1">
      <c r="M575" s="160"/>
    </row>
    <row r="576" spans="13:13" ht="12" customHeight="1">
      <c r="M576" s="160"/>
    </row>
    <row r="577" spans="13:13" ht="12" customHeight="1">
      <c r="M577" s="160"/>
    </row>
    <row r="578" spans="13:13" ht="12" customHeight="1">
      <c r="M578" s="160"/>
    </row>
    <row r="579" spans="13:13" ht="12" customHeight="1">
      <c r="M579" s="160"/>
    </row>
    <row r="580" spans="13:13" ht="12" customHeight="1">
      <c r="M580" s="160"/>
    </row>
    <row r="581" spans="13:13" ht="12" customHeight="1">
      <c r="M581" s="160"/>
    </row>
    <row r="582" spans="13:13" ht="12" customHeight="1">
      <c r="M582" s="160"/>
    </row>
    <row r="583" spans="13:13" ht="12" customHeight="1">
      <c r="M583" s="160"/>
    </row>
    <row r="584" spans="13:13" ht="12" customHeight="1">
      <c r="M584" s="160"/>
    </row>
    <row r="585" spans="13:13" ht="12" customHeight="1">
      <c r="M585" s="160"/>
    </row>
    <row r="586" spans="13:13" ht="12" customHeight="1">
      <c r="M586" s="160"/>
    </row>
    <row r="587" spans="13:13" ht="12" customHeight="1">
      <c r="M587" s="160"/>
    </row>
    <row r="588" spans="13:13" ht="12" customHeight="1">
      <c r="M588" s="160"/>
    </row>
    <row r="589" spans="13:13" ht="12" customHeight="1">
      <c r="M589" s="160"/>
    </row>
    <row r="590" spans="13:13" ht="12" customHeight="1">
      <c r="M590" s="160"/>
    </row>
    <row r="591" spans="13:13" ht="12" customHeight="1">
      <c r="M591" s="160"/>
    </row>
    <row r="592" spans="13:13" ht="12" customHeight="1">
      <c r="M592" s="160"/>
    </row>
    <row r="593" spans="13:13" ht="12" customHeight="1">
      <c r="M593" s="160"/>
    </row>
    <row r="594" spans="13:13" ht="12" customHeight="1">
      <c r="M594" s="160"/>
    </row>
    <row r="595" spans="13:13" ht="12" customHeight="1">
      <c r="M595" s="160"/>
    </row>
    <row r="596" spans="13:13" ht="12" customHeight="1">
      <c r="M596" s="160"/>
    </row>
    <row r="597" spans="13:13" ht="12" customHeight="1">
      <c r="M597" s="160"/>
    </row>
    <row r="598" spans="13:13" ht="12" customHeight="1">
      <c r="M598" s="160"/>
    </row>
    <row r="599" spans="13:13" ht="12" customHeight="1">
      <c r="M599" s="160"/>
    </row>
    <row r="600" spans="13:13" ht="12" customHeight="1">
      <c r="M600" s="160"/>
    </row>
    <row r="601" spans="13:13" ht="12" customHeight="1">
      <c r="M601" s="160"/>
    </row>
    <row r="602" spans="13:13" ht="12" customHeight="1">
      <c r="M602" s="160"/>
    </row>
    <row r="603" spans="13:13" ht="12" customHeight="1">
      <c r="M603" s="160"/>
    </row>
    <row r="604" spans="13:13" ht="12" customHeight="1">
      <c r="M604" s="160"/>
    </row>
    <row r="605" spans="13:13" ht="12" customHeight="1">
      <c r="M605" s="160"/>
    </row>
    <row r="606" spans="13:13" ht="12" customHeight="1">
      <c r="M606" s="160"/>
    </row>
    <row r="607" spans="13:13" ht="12" customHeight="1">
      <c r="M607" s="160"/>
    </row>
    <row r="608" spans="13:13" ht="12" customHeight="1">
      <c r="M608" s="160"/>
    </row>
    <row r="609" spans="13:13" ht="12" customHeight="1">
      <c r="M609" s="160"/>
    </row>
    <row r="610" spans="13:13" ht="12" customHeight="1">
      <c r="M610" s="160"/>
    </row>
    <row r="611" spans="13:13" ht="12" customHeight="1">
      <c r="M611" s="160"/>
    </row>
    <row r="612" spans="13:13" ht="12" customHeight="1">
      <c r="M612" s="160"/>
    </row>
    <row r="613" spans="13:13" ht="12" customHeight="1">
      <c r="M613" s="160"/>
    </row>
    <row r="614" spans="13:13" ht="12" customHeight="1">
      <c r="M614" s="160"/>
    </row>
    <row r="615" spans="13:13" ht="12" customHeight="1">
      <c r="M615" s="160"/>
    </row>
    <row r="616" spans="13:13" ht="12" customHeight="1">
      <c r="M616" s="160"/>
    </row>
    <row r="617" spans="13:13" ht="12" customHeight="1">
      <c r="M617" s="160"/>
    </row>
    <row r="618" spans="13:13" ht="12" customHeight="1">
      <c r="M618" s="160"/>
    </row>
    <row r="619" spans="13:13" ht="12" customHeight="1">
      <c r="M619" s="160"/>
    </row>
    <row r="620" spans="13:13" ht="12" customHeight="1">
      <c r="M620" s="160"/>
    </row>
    <row r="621" spans="13:13" ht="12" customHeight="1">
      <c r="M621" s="160"/>
    </row>
    <row r="622" spans="13:13" ht="12" customHeight="1">
      <c r="M622" s="160"/>
    </row>
    <row r="623" spans="13:13" ht="12" customHeight="1">
      <c r="M623" s="160"/>
    </row>
    <row r="624" spans="13:13" ht="12" customHeight="1">
      <c r="M624" s="160"/>
    </row>
    <row r="625" spans="13:13" ht="12" customHeight="1">
      <c r="M625" s="160"/>
    </row>
    <row r="626" spans="13:13" ht="12" customHeight="1">
      <c r="M626" s="160"/>
    </row>
    <row r="627" spans="13:13" ht="12" customHeight="1">
      <c r="M627" s="160"/>
    </row>
    <row r="628" spans="13:13" ht="12" customHeight="1">
      <c r="M628" s="160"/>
    </row>
    <row r="629" spans="13:13" ht="12" customHeight="1">
      <c r="M629" s="160"/>
    </row>
    <row r="630" spans="13:13" ht="12" customHeight="1">
      <c r="M630" s="160"/>
    </row>
    <row r="631" spans="13:13" ht="12" customHeight="1">
      <c r="M631" s="160"/>
    </row>
    <row r="632" spans="13:13" ht="12" customHeight="1">
      <c r="M632" s="160"/>
    </row>
    <row r="633" spans="13:13" ht="12" customHeight="1">
      <c r="M633" s="160"/>
    </row>
    <row r="634" spans="13:13" ht="12" customHeight="1">
      <c r="M634" s="160"/>
    </row>
    <row r="635" spans="13:13" ht="12" customHeight="1">
      <c r="M635" s="160"/>
    </row>
    <row r="636" spans="13:13" ht="12" customHeight="1">
      <c r="M636" s="160"/>
    </row>
    <row r="637" spans="13:13" ht="12" customHeight="1">
      <c r="M637" s="160"/>
    </row>
    <row r="638" spans="13:13" ht="12" customHeight="1">
      <c r="M638" s="160"/>
    </row>
    <row r="639" spans="13:13" ht="12" customHeight="1">
      <c r="M639" s="160"/>
    </row>
    <row r="640" spans="13:13" ht="12" customHeight="1">
      <c r="M640" s="160"/>
    </row>
    <row r="641" spans="13:13" ht="12" customHeight="1">
      <c r="M641" s="160"/>
    </row>
    <row r="642" spans="13:13" ht="12" customHeight="1">
      <c r="M642" s="160"/>
    </row>
    <row r="643" spans="13:13" ht="12" customHeight="1">
      <c r="M643" s="160"/>
    </row>
    <row r="644" spans="13:13" ht="12" customHeight="1">
      <c r="M644" s="160"/>
    </row>
    <row r="645" spans="13:13" ht="12" customHeight="1">
      <c r="M645" s="160"/>
    </row>
    <row r="646" spans="13:13" ht="12" customHeight="1">
      <c r="M646" s="160"/>
    </row>
    <row r="647" spans="13:13" ht="12" customHeight="1">
      <c r="M647" s="160"/>
    </row>
    <row r="648" spans="13:13" ht="12" customHeight="1">
      <c r="M648" s="160"/>
    </row>
    <row r="649" spans="13:13" ht="12" customHeight="1">
      <c r="M649" s="160"/>
    </row>
    <row r="650" spans="13:13" ht="12" customHeight="1">
      <c r="M650" s="160"/>
    </row>
    <row r="651" spans="13:13" ht="12" customHeight="1">
      <c r="M651" s="160"/>
    </row>
    <row r="652" spans="13:13" ht="12" customHeight="1">
      <c r="M652" s="160"/>
    </row>
    <row r="653" spans="13:13" ht="12" customHeight="1">
      <c r="M653" s="160"/>
    </row>
    <row r="654" spans="13:13" ht="12" customHeight="1">
      <c r="M654" s="160"/>
    </row>
    <row r="655" spans="13:13" ht="12" customHeight="1">
      <c r="M655" s="160"/>
    </row>
    <row r="656" spans="13:13" ht="12" customHeight="1">
      <c r="M656" s="160"/>
    </row>
    <row r="657" spans="13:13" ht="12" customHeight="1">
      <c r="M657" s="160"/>
    </row>
    <row r="658" spans="13:13" ht="12" customHeight="1">
      <c r="M658" s="160"/>
    </row>
    <row r="659" spans="13:13" ht="12" customHeight="1">
      <c r="M659" s="160"/>
    </row>
    <row r="660" spans="13:13" ht="12" customHeight="1">
      <c r="M660" s="160"/>
    </row>
    <row r="661" spans="13:13" ht="12" customHeight="1">
      <c r="M661" s="160"/>
    </row>
    <row r="662" spans="13:13" ht="12" customHeight="1">
      <c r="M662" s="160"/>
    </row>
    <row r="663" spans="13:13" ht="12" customHeight="1">
      <c r="M663" s="160"/>
    </row>
    <row r="664" spans="13:13" ht="12" customHeight="1">
      <c r="M664" s="160"/>
    </row>
    <row r="665" spans="13:13" ht="12" customHeight="1">
      <c r="M665" s="160"/>
    </row>
    <row r="666" spans="13:13" ht="12" customHeight="1">
      <c r="M666" s="160"/>
    </row>
    <row r="667" spans="13:13" ht="12" customHeight="1">
      <c r="M667" s="160"/>
    </row>
    <row r="668" spans="13:13" ht="12" customHeight="1">
      <c r="M668" s="160"/>
    </row>
    <row r="669" spans="13:13" ht="12" customHeight="1">
      <c r="M669" s="160"/>
    </row>
    <row r="670" spans="13:13" ht="12" customHeight="1">
      <c r="M670" s="160"/>
    </row>
    <row r="671" spans="13:13" ht="12" customHeight="1">
      <c r="M671" s="160"/>
    </row>
    <row r="672" spans="13:13" ht="12" customHeight="1">
      <c r="M672" s="160"/>
    </row>
    <row r="673" spans="13:13" ht="12" customHeight="1">
      <c r="M673" s="160"/>
    </row>
    <row r="674" spans="13:13" ht="12" customHeight="1">
      <c r="M674" s="160"/>
    </row>
    <row r="675" spans="13:13" ht="12" customHeight="1">
      <c r="M675" s="160"/>
    </row>
    <row r="676" spans="13:13" ht="12" customHeight="1">
      <c r="M676" s="160"/>
    </row>
    <row r="677" spans="13:13" ht="12" customHeight="1">
      <c r="M677" s="160"/>
    </row>
    <row r="678" spans="13:13" ht="12" customHeight="1">
      <c r="M678" s="160"/>
    </row>
    <row r="679" spans="13:13" ht="12" customHeight="1">
      <c r="M679" s="160"/>
    </row>
    <row r="680" spans="13:13" ht="12" customHeight="1">
      <c r="M680" s="160"/>
    </row>
    <row r="681" spans="13:13" ht="12" customHeight="1">
      <c r="M681" s="160"/>
    </row>
    <row r="682" spans="13:13" ht="12" customHeight="1">
      <c r="M682" s="160"/>
    </row>
    <row r="683" spans="13:13" ht="12" customHeight="1">
      <c r="M683" s="160"/>
    </row>
    <row r="684" spans="13:13" ht="12" customHeight="1">
      <c r="M684" s="160"/>
    </row>
    <row r="685" spans="13:13" ht="12" customHeight="1">
      <c r="M685" s="160"/>
    </row>
    <row r="686" spans="13:13" ht="12" customHeight="1">
      <c r="M686" s="160"/>
    </row>
    <row r="687" spans="13:13" ht="12" customHeight="1">
      <c r="M687" s="160"/>
    </row>
    <row r="688" spans="13:13" ht="12" customHeight="1">
      <c r="M688" s="160"/>
    </row>
    <row r="689" spans="13:13" ht="12" customHeight="1">
      <c r="M689" s="160"/>
    </row>
    <row r="690" spans="13:13" ht="12" customHeight="1">
      <c r="M690" s="160"/>
    </row>
    <row r="691" spans="13:13" ht="12" customHeight="1">
      <c r="M691" s="160"/>
    </row>
    <row r="692" spans="13:13" ht="12" customHeight="1">
      <c r="M692" s="160"/>
    </row>
    <row r="693" spans="13:13" ht="12" customHeight="1">
      <c r="M693" s="160"/>
    </row>
    <row r="694" spans="13:13" ht="12" customHeight="1">
      <c r="M694" s="160"/>
    </row>
    <row r="695" spans="13:13" ht="12" customHeight="1">
      <c r="M695" s="160"/>
    </row>
    <row r="696" spans="13:13" ht="12" customHeight="1">
      <c r="M696" s="160"/>
    </row>
    <row r="697" spans="13:13" ht="12" customHeight="1">
      <c r="M697" s="160"/>
    </row>
    <row r="698" spans="13:13" ht="12" customHeight="1">
      <c r="M698" s="160"/>
    </row>
    <row r="699" spans="13:13" ht="12" customHeight="1">
      <c r="M699" s="160"/>
    </row>
    <row r="700" spans="13:13" ht="12" customHeight="1">
      <c r="M700" s="160"/>
    </row>
    <row r="701" spans="13:13" ht="12" customHeight="1">
      <c r="M701" s="160"/>
    </row>
    <row r="702" spans="13:13" ht="12" customHeight="1">
      <c r="M702" s="160"/>
    </row>
    <row r="703" spans="13:13" ht="12" customHeight="1">
      <c r="M703" s="160"/>
    </row>
    <row r="704" spans="13:13" ht="12" customHeight="1">
      <c r="M704" s="160"/>
    </row>
    <row r="705" spans="13:13" ht="12" customHeight="1">
      <c r="M705" s="160"/>
    </row>
    <row r="706" spans="13:13" ht="12" customHeight="1">
      <c r="M706" s="160"/>
    </row>
    <row r="707" spans="13:13" ht="12" customHeight="1">
      <c r="M707" s="160"/>
    </row>
    <row r="708" spans="13:13" ht="12" customHeight="1">
      <c r="M708" s="160"/>
    </row>
    <row r="709" spans="13:13" ht="12" customHeight="1">
      <c r="M709" s="160"/>
    </row>
    <row r="710" spans="13:13" ht="12" customHeight="1">
      <c r="M710" s="160"/>
    </row>
    <row r="711" spans="13:13" ht="12" customHeight="1">
      <c r="M711" s="160"/>
    </row>
    <row r="712" spans="13:13" ht="12" customHeight="1">
      <c r="M712" s="160"/>
    </row>
    <row r="713" spans="13:13" ht="12" customHeight="1">
      <c r="M713" s="160"/>
    </row>
    <row r="714" spans="13:13" ht="12" customHeight="1">
      <c r="M714" s="160"/>
    </row>
    <row r="715" spans="13:13" ht="12" customHeight="1">
      <c r="M715" s="160"/>
    </row>
    <row r="716" spans="13:13" ht="12" customHeight="1">
      <c r="M716" s="160"/>
    </row>
    <row r="717" spans="13:13" ht="12" customHeight="1">
      <c r="M717" s="160"/>
    </row>
    <row r="718" spans="13:13" ht="12" customHeight="1">
      <c r="M718" s="160"/>
    </row>
    <row r="719" spans="13:13" ht="12" customHeight="1">
      <c r="M719" s="160"/>
    </row>
    <row r="720" spans="13:13" ht="12" customHeight="1">
      <c r="M720" s="160"/>
    </row>
    <row r="721" spans="13:13" ht="12" customHeight="1">
      <c r="M721" s="160"/>
    </row>
    <row r="722" spans="13:13" ht="12" customHeight="1">
      <c r="M722" s="160"/>
    </row>
    <row r="723" spans="13:13" ht="12" customHeight="1">
      <c r="M723" s="160"/>
    </row>
    <row r="724" spans="13:13" ht="12" customHeight="1">
      <c r="M724" s="160"/>
    </row>
    <row r="725" spans="13:13" ht="12" customHeight="1">
      <c r="M725" s="160"/>
    </row>
    <row r="726" spans="13:13" ht="12" customHeight="1">
      <c r="M726" s="160"/>
    </row>
    <row r="727" spans="13:13" ht="12" customHeight="1">
      <c r="M727" s="160"/>
    </row>
    <row r="728" spans="13:13" ht="12" customHeight="1">
      <c r="M728" s="160"/>
    </row>
    <row r="729" spans="13:13" ht="12" customHeight="1">
      <c r="M729" s="160"/>
    </row>
    <row r="730" spans="13:13" ht="12" customHeight="1">
      <c r="M730" s="160"/>
    </row>
    <row r="731" spans="13:13" ht="12" customHeight="1">
      <c r="M731" s="160"/>
    </row>
    <row r="732" spans="13:13" ht="12" customHeight="1">
      <c r="M732" s="160"/>
    </row>
    <row r="733" spans="13:13" ht="12" customHeight="1">
      <c r="M733" s="160"/>
    </row>
    <row r="734" spans="13:13" ht="12" customHeight="1">
      <c r="M734" s="160"/>
    </row>
    <row r="735" spans="13:13" ht="12" customHeight="1">
      <c r="M735" s="160"/>
    </row>
    <row r="736" spans="13:13" ht="12" customHeight="1">
      <c r="M736" s="160"/>
    </row>
    <row r="737" spans="13:13" ht="12" customHeight="1">
      <c r="M737" s="160"/>
    </row>
    <row r="738" spans="13:13" ht="12" customHeight="1">
      <c r="M738" s="160"/>
    </row>
    <row r="739" spans="13:13" ht="12" customHeight="1">
      <c r="M739" s="160"/>
    </row>
    <row r="740" spans="13:13" ht="12" customHeight="1">
      <c r="M740" s="160"/>
    </row>
    <row r="741" spans="13:13" ht="12" customHeight="1">
      <c r="M741" s="160"/>
    </row>
    <row r="742" spans="13:13" ht="12" customHeight="1">
      <c r="M742" s="160"/>
    </row>
    <row r="743" spans="13:13" ht="12" customHeight="1">
      <c r="M743" s="160"/>
    </row>
    <row r="744" spans="13:13" ht="12" customHeight="1">
      <c r="M744" s="160"/>
    </row>
    <row r="745" spans="13:13" ht="12" customHeight="1">
      <c r="M745" s="160"/>
    </row>
    <row r="746" spans="13:13" ht="12" customHeight="1">
      <c r="M746" s="160"/>
    </row>
    <row r="747" spans="13:13" ht="12" customHeight="1">
      <c r="M747" s="160"/>
    </row>
    <row r="748" spans="13:13" ht="12" customHeight="1">
      <c r="M748" s="160"/>
    </row>
    <row r="749" spans="13:13" ht="12" customHeight="1">
      <c r="M749" s="160"/>
    </row>
    <row r="750" spans="13:13" ht="12" customHeight="1">
      <c r="M750" s="160"/>
    </row>
    <row r="751" spans="13:13" ht="12" customHeight="1">
      <c r="M751" s="160"/>
    </row>
    <row r="752" spans="13:13" ht="12" customHeight="1">
      <c r="M752" s="160"/>
    </row>
    <row r="753" spans="13:13" ht="12" customHeight="1">
      <c r="M753" s="160"/>
    </row>
    <row r="754" spans="13:13" ht="12" customHeight="1">
      <c r="M754" s="160"/>
    </row>
    <row r="755" spans="13:13" ht="12" customHeight="1">
      <c r="M755" s="160"/>
    </row>
    <row r="756" spans="13:13" ht="12" customHeight="1">
      <c r="M756" s="160"/>
    </row>
    <row r="757" spans="13:13" ht="12" customHeight="1">
      <c r="M757" s="160"/>
    </row>
    <row r="758" spans="13:13" ht="12" customHeight="1">
      <c r="M758" s="160"/>
    </row>
    <row r="759" spans="13:13" ht="12" customHeight="1">
      <c r="M759" s="160"/>
    </row>
    <row r="760" spans="13:13" ht="12" customHeight="1">
      <c r="M760" s="160"/>
    </row>
    <row r="761" spans="13:13" ht="12" customHeight="1">
      <c r="M761" s="160"/>
    </row>
    <row r="762" spans="13:13" ht="12" customHeight="1">
      <c r="M762" s="160"/>
    </row>
    <row r="763" spans="13:13" ht="12" customHeight="1">
      <c r="M763" s="160"/>
    </row>
    <row r="764" spans="13:13" ht="12" customHeight="1">
      <c r="M764" s="160"/>
    </row>
    <row r="765" spans="13:13" ht="12" customHeight="1">
      <c r="M765" s="160"/>
    </row>
    <row r="766" spans="13:13" ht="12" customHeight="1">
      <c r="M766" s="160"/>
    </row>
    <row r="767" spans="13:13" ht="12" customHeight="1">
      <c r="M767" s="160"/>
    </row>
    <row r="768" spans="13:13" ht="12" customHeight="1">
      <c r="M768" s="160"/>
    </row>
    <row r="769" spans="13:13" ht="12" customHeight="1">
      <c r="M769" s="160"/>
    </row>
    <row r="770" spans="13:13" ht="12" customHeight="1">
      <c r="M770" s="160"/>
    </row>
    <row r="771" spans="13:13" ht="12" customHeight="1">
      <c r="M771" s="160"/>
    </row>
    <row r="772" spans="13:13" ht="12" customHeight="1">
      <c r="M772" s="160"/>
    </row>
    <row r="773" spans="13:13" ht="12" customHeight="1">
      <c r="M773" s="160"/>
    </row>
    <row r="774" spans="13:13" ht="12" customHeight="1">
      <c r="M774" s="160"/>
    </row>
    <row r="775" spans="13:13" ht="12" customHeight="1">
      <c r="M775" s="160"/>
    </row>
    <row r="776" spans="13:13" ht="12" customHeight="1">
      <c r="M776" s="160"/>
    </row>
    <row r="777" spans="13:13" ht="12" customHeight="1">
      <c r="M777" s="160"/>
    </row>
    <row r="778" spans="13:13" ht="12" customHeight="1">
      <c r="M778" s="160"/>
    </row>
    <row r="779" spans="13:13" ht="12" customHeight="1">
      <c r="M779" s="160"/>
    </row>
    <row r="780" spans="13:13" ht="12" customHeight="1">
      <c r="M780" s="160"/>
    </row>
    <row r="781" spans="13:13" ht="12" customHeight="1">
      <c r="M781" s="160"/>
    </row>
    <row r="782" spans="13:13" ht="12" customHeight="1">
      <c r="M782" s="160"/>
    </row>
    <row r="783" spans="13:13" ht="12" customHeight="1">
      <c r="M783" s="160"/>
    </row>
    <row r="784" spans="13:13" ht="12" customHeight="1">
      <c r="M784" s="160"/>
    </row>
    <row r="785" spans="13:13" ht="12" customHeight="1">
      <c r="M785" s="160"/>
    </row>
    <row r="786" spans="13:13" ht="12" customHeight="1">
      <c r="M786" s="160"/>
    </row>
    <row r="787" spans="13:13" ht="12" customHeight="1">
      <c r="M787" s="160"/>
    </row>
    <row r="788" spans="13:13" ht="12" customHeight="1">
      <c r="M788" s="160"/>
    </row>
    <row r="789" spans="13:13" ht="12" customHeight="1">
      <c r="M789" s="160"/>
    </row>
    <row r="790" spans="13:13" ht="12" customHeight="1">
      <c r="M790" s="160"/>
    </row>
    <row r="791" spans="13:13" ht="12" customHeight="1">
      <c r="M791" s="160"/>
    </row>
    <row r="792" spans="13:13" ht="12" customHeight="1">
      <c r="M792" s="160"/>
    </row>
    <row r="793" spans="13:13" ht="12" customHeight="1">
      <c r="M793" s="160"/>
    </row>
    <row r="794" spans="13:13" ht="12" customHeight="1">
      <c r="M794" s="160"/>
    </row>
    <row r="795" spans="13:13" ht="12" customHeight="1">
      <c r="M795" s="160"/>
    </row>
    <row r="796" spans="13:13" ht="12" customHeight="1">
      <c r="M796" s="160"/>
    </row>
    <row r="797" spans="13:13" ht="12" customHeight="1">
      <c r="M797" s="160"/>
    </row>
    <row r="798" spans="13:13" ht="12" customHeight="1">
      <c r="M798" s="160"/>
    </row>
    <row r="799" spans="13:13" ht="12" customHeight="1">
      <c r="M799" s="160"/>
    </row>
    <row r="800" spans="13:13" ht="12" customHeight="1">
      <c r="M800" s="160"/>
    </row>
    <row r="801" spans="13:13" ht="12" customHeight="1">
      <c r="M801" s="160"/>
    </row>
    <row r="802" spans="13:13" ht="12" customHeight="1">
      <c r="M802" s="160"/>
    </row>
    <row r="803" spans="13:13" ht="12" customHeight="1">
      <c r="M803" s="160"/>
    </row>
    <row r="804" spans="13:13" ht="12" customHeight="1">
      <c r="M804" s="160"/>
    </row>
    <row r="805" spans="13:13" ht="12" customHeight="1">
      <c r="M805" s="160"/>
    </row>
    <row r="806" spans="13:13" ht="12" customHeight="1">
      <c r="M806" s="160"/>
    </row>
    <row r="807" spans="13:13" ht="12" customHeight="1">
      <c r="M807" s="160"/>
    </row>
    <row r="808" spans="13:13" ht="12" customHeight="1">
      <c r="M808" s="160"/>
    </row>
    <row r="809" spans="13:13" ht="12" customHeight="1">
      <c r="M809" s="160"/>
    </row>
    <row r="810" spans="13:13" ht="12" customHeight="1">
      <c r="M810" s="160"/>
    </row>
    <row r="811" spans="13:13" ht="12" customHeight="1">
      <c r="M811" s="160"/>
    </row>
    <row r="812" spans="13:13" ht="12" customHeight="1">
      <c r="M812" s="160"/>
    </row>
    <row r="813" spans="13:13" ht="12" customHeight="1">
      <c r="M813" s="160"/>
    </row>
    <row r="814" spans="13:13" ht="12" customHeight="1">
      <c r="M814" s="160"/>
    </row>
    <row r="815" spans="13:13" ht="12" customHeight="1">
      <c r="M815" s="160"/>
    </row>
    <row r="816" spans="13:13" ht="12" customHeight="1">
      <c r="M816" s="160"/>
    </row>
    <row r="817" spans="13:13" ht="12" customHeight="1">
      <c r="M817" s="160"/>
    </row>
    <row r="818" spans="13:13" ht="12" customHeight="1">
      <c r="M818" s="160"/>
    </row>
    <row r="819" spans="13:13" ht="12" customHeight="1">
      <c r="M819" s="160"/>
    </row>
    <row r="820" spans="13:13" ht="12" customHeight="1">
      <c r="M820" s="160"/>
    </row>
    <row r="821" spans="13:13" ht="12" customHeight="1">
      <c r="M821" s="160"/>
    </row>
    <row r="822" spans="13:13" ht="12" customHeight="1">
      <c r="M822" s="160"/>
    </row>
    <row r="823" spans="13:13" ht="12" customHeight="1">
      <c r="M823" s="160"/>
    </row>
    <row r="824" spans="13:13" ht="12" customHeight="1">
      <c r="M824" s="160"/>
    </row>
    <row r="825" spans="13:13" ht="12" customHeight="1">
      <c r="M825" s="160"/>
    </row>
    <row r="826" spans="13:13" ht="12" customHeight="1">
      <c r="M826" s="160"/>
    </row>
    <row r="827" spans="13:13" ht="12" customHeight="1">
      <c r="M827" s="160"/>
    </row>
    <row r="828" spans="13:13" ht="12" customHeight="1">
      <c r="M828" s="160"/>
    </row>
    <row r="829" spans="13:13" ht="12" customHeight="1">
      <c r="M829" s="160"/>
    </row>
    <row r="830" spans="13:13" ht="12" customHeight="1">
      <c r="M830" s="160"/>
    </row>
    <row r="831" spans="13:13" ht="12" customHeight="1">
      <c r="M831" s="160"/>
    </row>
    <row r="832" spans="13:13" ht="12" customHeight="1">
      <c r="M832" s="160"/>
    </row>
    <row r="833" spans="13:13" ht="12" customHeight="1">
      <c r="M833" s="160"/>
    </row>
    <row r="834" spans="13:13" ht="12" customHeight="1">
      <c r="M834" s="160"/>
    </row>
    <row r="835" spans="13:13" ht="12" customHeight="1">
      <c r="M835" s="160"/>
    </row>
    <row r="836" spans="13:13" ht="12" customHeight="1">
      <c r="M836" s="160"/>
    </row>
    <row r="837" spans="13:13" ht="12" customHeight="1">
      <c r="M837" s="160"/>
    </row>
    <row r="838" spans="13:13" ht="12" customHeight="1">
      <c r="M838" s="160"/>
    </row>
    <row r="839" spans="13:13" ht="12" customHeight="1">
      <c r="M839" s="160"/>
    </row>
    <row r="840" spans="13:13" ht="12" customHeight="1">
      <c r="M840" s="160"/>
    </row>
    <row r="841" spans="13:13" ht="12" customHeight="1">
      <c r="M841" s="160"/>
    </row>
    <row r="842" spans="13:13" ht="12" customHeight="1">
      <c r="M842" s="160"/>
    </row>
    <row r="843" spans="13:13" ht="12" customHeight="1">
      <c r="M843" s="160"/>
    </row>
    <row r="844" spans="13:13" ht="12" customHeight="1">
      <c r="M844" s="160"/>
    </row>
    <row r="845" spans="13:13" ht="12" customHeight="1">
      <c r="M845" s="160"/>
    </row>
    <row r="846" spans="13:13" ht="12" customHeight="1">
      <c r="M846" s="160"/>
    </row>
    <row r="847" spans="13:13" ht="12" customHeight="1">
      <c r="M847" s="160"/>
    </row>
    <row r="848" spans="13:13" ht="12" customHeight="1">
      <c r="M848" s="160"/>
    </row>
    <row r="849" spans="13:13" ht="12" customHeight="1">
      <c r="M849" s="160"/>
    </row>
    <row r="850" spans="13:13" ht="12" customHeight="1">
      <c r="M850" s="160"/>
    </row>
    <row r="851" spans="13:13" ht="12" customHeight="1">
      <c r="M851" s="160"/>
    </row>
    <row r="852" spans="13:13" ht="12" customHeight="1">
      <c r="M852" s="160"/>
    </row>
    <row r="853" spans="13:13" ht="12" customHeight="1">
      <c r="M853" s="160"/>
    </row>
    <row r="854" spans="13:13" ht="12" customHeight="1">
      <c r="M854" s="160"/>
    </row>
    <row r="855" spans="13:13" ht="12" customHeight="1">
      <c r="M855" s="160"/>
    </row>
    <row r="856" spans="13:13" ht="12" customHeight="1">
      <c r="M856" s="160"/>
    </row>
    <row r="857" spans="13:13" ht="12" customHeight="1">
      <c r="M857" s="160"/>
    </row>
    <row r="858" spans="13:13" ht="12" customHeight="1">
      <c r="M858" s="160"/>
    </row>
    <row r="859" spans="13:13" ht="12" customHeight="1">
      <c r="M859" s="160"/>
    </row>
    <row r="860" spans="13:13" ht="12" customHeight="1">
      <c r="M860" s="160"/>
    </row>
    <row r="861" spans="13:13" ht="12" customHeight="1">
      <c r="M861" s="160"/>
    </row>
    <row r="862" spans="13:13" ht="12" customHeight="1">
      <c r="M862" s="160"/>
    </row>
    <row r="863" spans="13:13" ht="12" customHeight="1">
      <c r="M863" s="160"/>
    </row>
    <row r="864" spans="13:13" ht="12" customHeight="1">
      <c r="M864" s="160"/>
    </row>
    <row r="865" spans="13:13" ht="12" customHeight="1">
      <c r="M865" s="160"/>
    </row>
    <row r="866" spans="13:13" ht="12" customHeight="1">
      <c r="M866" s="160"/>
    </row>
    <row r="867" spans="13:13" ht="12" customHeight="1">
      <c r="M867" s="160"/>
    </row>
    <row r="868" spans="13:13" ht="12" customHeight="1">
      <c r="M868" s="160"/>
    </row>
    <row r="869" spans="13:13" ht="12" customHeight="1">
      <c r="M869" s="160"/>
    </row>
    <row r="870" spans="13:13" ht="12" customHeight="1">
      <c r="M870" s="160"/>
    </row>
    <row r="871" spans="13:13" ht="12" customHeight="1">
      <c r="M871" s="160"/>
    </row>
    <row r="872" spans="13:13" ht="12" customHeight="1">
      <c r="M872" s="160"/>
    </row>
    <row r="873" spans="13:13" ht="12" customHeight="1">
      <c r="M873" s="160"/>
    </row>
    <row r="874" spans="13:13" ht="12" customHeight="1">
      <c r="M874" s="160"/>
    </row>
    <row r="875" spans="13:13" ht="12" customHeight="1">
      <c r="M875" s="160"/>
    </row>
    <row r="876" spans="13:13" ht="12" customHeight="1">
      <c r="M876" s="160"/>
    </row>
    <row r="877" spans="13:13" ht="12" customHeight="1">
      <c r="M877" s="160"/>
    </row>
    <row r="878" spans="13:13" ht="12" customHeight="1">
      <c r="M878" s="160"/>
    </row>
    <row r="879" spans="13:13" ht="12" customHeight="1">
      <c r="M879" s="160"/>
    </row>
    <row r="880" spans="13:13" ht="12" customHeight="1">
      <c r="M880" s="160"/>
    </row>
    <row r="881" spans="13:13" ht="12" customHeight="1">
      <c r="M881" s="160"/>
    </row>
    <row r="882" spans="13:13" ht="12" customHeight="1">
      <c r="M882" s="160"/>
    </row>
    <row r="883" spans="13:13" ht="12" customHeight="1">
      <c r="M883" s="160"/>
    </row>
    <row r="884" spans="13:13" ht="12" customHeight="1">
      <c r="M884" s="160"/>
    </row>
    <row r="885" spans="13:13" ht="12" customHeight="1">
      <c r="M885" s="160"/>
    </row>
    <row r="886" spans="13:13" ht="12" customHeight="1">
      <c r="M886" s="160"/>
    </row>
    <row r="887" spans="13:13" ht="12" customHeight="1">
      <c r="M887" s="160"/>
    </row>
    <row r="888" spans="13:13" ht="12" customHeight="1">
      <c r="M888" s="160"/>
    </row>
    <row r="889" spans="13:13" ht="12" customHeight="1">
      <c r="M889" s="160"/>
    </row>
    <row r="890" spans="13:13" ht="12" customHeight="1">
      <c r="M890" s="160"/>
    </row>
    <row r="891" spans="13:13" ht="12" customHeight="1">
      <c r="M891" s="160"/>
    </row>
    <row r="892" spans="13:13" ht="12" customHeight="1">
      <c r="M892" s="160"/>
    </row>
    <row r="893" spans="13:13" ht="12" customHeight="1">
      <c r="M893" s="160"/>
    </row>
    <row r="894" spans="13:13" ht="12" customHeight="1">
      <c r="M894" s="160"/>
    </row>
    <row r="895" spans="13:13" ht="12" customHeight="1">
      <c r="M895" s="160"/>
    </row>
    <row r="896" spans="13:13" ht="12" customHeight="1">
      <c r="M896" s="160"/>
    </row>
    <row r="897" spans="13:13" ht="12" customHeight="1">
      <c r="M897" s="160"/>
    </row>
    <row r="898" spans="13:13" ht="12" customHeight="1">
      <c r="M898" s="160"/>
    </row>
    <row r="899" spans="13:13" ht="12" customHeight="1">
      <c r="M899" s="160"/>
    </row>
    <row r="900" spans="13:13" ht="12" customHeight="1">
      <c r="M900" s="160"/>
    </row>
    <row r="901" spans="13:13" ht="12" customHeight="1">
      <c r="M901" s="160"/>
    </row>
    <row r="902" spans="13:13" ht="12" customHeight="1">
      <c r="M902" s="160"/>
    </row>
    <row r="903" spans="13:13" ht="12" customHeight="1">
      <c r="M903" s="160"/>
    </row>
    <row r="904" spans="13:13" ht="12" customHeight="1">
      <c r="M904" s="160"/>
    </row>
    <row r="905" spans="13:13" ht="12" customHeight="1">
      <c r="M905" s="160"/>
    </row>
    <row r="906" spans="13:13" ht="12" customHeight="1">
      <c r="M906" s="160"/>
    </row>
    <row r="907" spans="13:13" ht="12" customHeight="1">
      <c r="M907" s="160"/>
    </row>
    <row r="908" spans="13:13" ht="12" customHeight="1">
      <c r="M908" s="160"/>
    </row>
    <row r="909" spans="13:13" ht="12" customHeight="1">
      <c r="M909" s="160"/>
    </row>
    <row r="910" spans="13:13" ht="12" customHeight="1">
      <c r="M910" s="160"/>
    </row>
    <row r="911" spans="13:13" ht="12" customHeight="1">
      <c r="M911" s="160"/>
    </row>
    <row r="912" spans="13:13" ht="12" customHeight="1">
      <c r="M912" s="160"/>
    </row>
    <row r="913" spans="13:13" ht="12" customHeight="1">
      <c r="M913" s="160"/>
    </row>
    <row r="914" spans="13:13" ht="12" customHeight="1">
      <c r="M914" s="160"/>
    </row>
    <row r="915" spans="13:13" ht="12" customHeight="1">
      <c r="M915" s="160"/>
    </row>
    <row r="916" spans="13:13" ht="12" customHeight="1">
      <c r="M916" s="160"/>
    </row>
    <row r="917" spans="13:13" ht="12" customHeight="1">
      <c r="M917" s="160"/>
    </row>
    <row r="918" spans="13:13" ht="12" customHeight="1">
      <c r="M918" s="160"/>
    </row>
    <row r="919" spans="13:13" ht="12" customHeight="1">
      <c r="M919" s="160"/>
    </row>
    <row r="920" spans="13:13" ht="12" customHeight="1">
      <c r="M920" s="160"/>
    </row>
    <row r="921" spans="13:13" ht="12" customHeight="1">
      <c r="M921" s="160"/>
    </row>
    <row r="922" spans="13:13" ht="12" customHeight="1">
      <c r="M922" s="160"/>
    </row>
    <row r="923" spans="13:13" ht="12" customHeight="1">
      <c r="M923" s="160"/>
    </row>
    <row r="924" spans="13:13" ht="12" customHeight="1">
      <c r="M924" s="160"/>
    </row>
    <row r="925" spans="13:13" ht="12" customHeight="1">
      <c r="M925" s="160"/>
    </row>
    <row r="926" spans="13:13" ht="12" customHeight="1">
      <c r="M926" s="160"/>
    </row>
    <row r="927" spans="13:13" ht="12" customHeight="1">
      <c r="M927" s="160"/>
    </row>
    <row r="928" spans="13:13" ht="12" customHeight="1">
      <c r="M928" s="160"/>
    </row>
    <row r="929" spans="13:13" ht="12" customHeight="1">
      <c r="M929" s="160"/>
    </row>
    <row r="930" spans="13:13" ht="12" customHeight="1">
      <c r="M930" s="160"/>
    </row>
    <row r="931" spans="13:13" ht="12" customHeight="1">
      <c r="M931" s="160"/>
    </row>
    <row r="932" spans="13:13" ht="12" customHeight="1">
      <c r="M932" s="160"/>
    </row>
    <row r="933" spans="13:13" ht="12" customHeight="1">
      <c r="M933" s="160"/>
    </row>
    <row r="934" spans="13:13" ht="12" customHeight="1">
      <c r="M934" s="160"/>
    </row>
    <row r="935" spans="13:13" ht="12" customHeight="1">
      <c r="M935" s="160"/>
    </row>
    <row r="936" spans="13:13" ht="12" customHeight="1">
      <c r="M936" s="160"/>
    </row>
    <row r="937" spans="13:13" ht="12" customHeight="1">
      <c r="M937" s="160"/>
    </row>
    <row r="938" spans="13:13" ht="12" customHeight="1">
      <c r="M938" s="160"/>
    </row>
    <row r="939" spans="13:13" ht="12" customHeight="1">
      <c r="M939" s="160"/>
    </row>
    <row r="940" spans="13:13" ht="12" customHeight="1">
      <c r="M940" s="160"/>
    </row>
    <row r="941" spans="13:13" ht="12" customHeight="1">
      <c r="M941" s="160"/>
    </row>
    <row r="942" spans="13:13" ht="12" customHeight="1">
      <c r="M942" s="160"/>
    </row>
    <row r="943" spans="13:13" ht="12" customHeight="1">
      <c r="M943" s="160"/>
    </row>
    <row r="944" spans="13:13" ht="12" customHeight="1">
      <c r="M944" s="160"/>
    </row>
    <row r="945" spans="13:13" ht="12" customHeight="1">
      <c r="M945" s="160"/>
    </row>
    <row r="946" spans="13:13" ht="12" customHeight="1">
      <c r="M946" s="160"/>
    </row>
    <row r="947" spans="13:13" ht="12" customHeight="1">
      <c r="M947" s="160"/>
    </row>
    <row r="948" spans="13:13" ht="12" customHeight="1">
      <c r="M948" s="160"/>
    </row>
    <row r="949" spans="13:13" ht="12" customHeight="1">
      <c r="M949" s="160"/>
    </row>
    <row r="950" spans="13:13" ht="12" customHeight="1">
      <c r="M950" s="160"/>
    </row>
    <row r="951" spans="13:13" ht="12" customHeight="1">
      <c r="M951" s="160"/>
    </row>
    <row r="952" spans="13:13" ht="12" customHeight="1">
      <c r="M952" s="160"/>
    </row>
    <row r="953" spans="13:13" ht="12" customHeight="1">
      <c r="M953" s="160"/>
    </row>
    <row r="954" spans="13:13" ht="12" customHeight="1">
      <c r="M954" s="160"/>
    </row>
    <row r="955" spans="13:13" ht="12" customHeight="1">
      <c r="M955" s="160"/>
    </row>
    <row r="956" spans="13:13" ht="12" customHeight="1">
      <c r="M956" s="160"/>
    </row>
    <row r="957" spans="13:13" ht="12" customHeight="1">
      <c r="M957" s="160"/>
    </row>
    <row r="958" spans="13:13" ht="12" customHeight="1">
      <c r="M958" s="160"/>
    </row>
    <row r="959" spans="13:13" ht="12" customHeight="1">
      <c r="M959" s="160"/>
    </row>
    <row r="960" spans="13:13" ht="12" customHeight="1">
      <c r="M960" s="160"/>
    </row>
    <row r="961" spans="13:13" ht="12" customHeight="1">
      <c r="M961" s="160"/>
    </row>
    <row r="962" spans="13:13" ht="12" customHeight="1">
      <c r="M962" s="160"/>
    </row>
    <row r="963" spans="13:13" ht="12" customHeight="1">
      <c r="M963" s="160"/>
    </row>
    <row r="964" spans="13:13" ht="12" customHeight="1">
      <c r="M964" s="160"/>
    </row>
    <row r="965" spans="13:13" ht="12" customHeight="1">
      <c r="M965" s="160"/>
    </row>
    <row r="966" spans="13:13" ht="12" customHeight="1">
      <c r="M966" s="160"/>
    </row>
    <row r="967" spans="13:13" ht="12" customHeight="1">
      <c r="M967" s="160"/>
    </row>
    <row r="968" spans="13:13" ht="12" customHeight="1">
      <c r="M968" s="160"/>
    </row>
    <row r="969" spans="13:13" ht="12" customHeight="1">
      <c r="M969" s="160"/>
    </row>
    <row r="970" spans="13:13" ht="12" customHeight="1">
      <c r="M970" s="160"/>
    </row>
    <row r="971" spans="13:13" ht="12" customHeight="1">
      <c r="M971" s="160"/>
    </row>
    <row r="972" spans="13:13" ht="12" customHeight="1">
      <c r="M972" s="160"/>
    </row>
    <row r="973" spans="13:13" ht="12" customHeight="1">
      <c r="M973" s="160"/>
    </row>
    <row r="974" spans="13:13" ht="12" customHeight="1">
      <c r="M974" s="160"/>
    </row>
    <row r="975" spans="13:13" ht="12" customHeight="1">
      <c r="M975" s="160"/>
    </row>
    <row r="976" spans="13:13" ht="12" customHeight="1">
      <c r="M976" s="160"/>
    </row>
    <row r="977" spans="13:13" ht="12" customHeight="1">
      <c r="M977" s="160"/>
    </row>
    <row r="978" spans="13:13" ht="12" customHeight="1">
      <c r="M978" s="160"/>
    </row>
    <row r="979" spans="13:13" ht="12" customHeight="1">
      <c r="M979" s="160"/>
    </row>
    <row r="980" spans="13:13" ht="12" customHeight="1">
      <c r="M980" s="160"/>
    </row>
    <row r="981" spans="13:13" ht="12" customHeight="1">
      <c r="M981" s="160"/>
    </row>
    <row r="982" spans="13:13" ht="12" customHeight="1">
      <c r="M982" s="160"/>
    </row>
    <row r="983" spans="13:13" ht="12" customHeight="1">
      <c r="M983" s="160"/>
    </row>
    <row r="984" spans="13:13" ht="12" customHeight="1">
      <c r="M984" s="160"/>
    </row>
    <row r="985" spans="13:13" ht="12" customHeight="1">
      <c r="M985" s="160"/>
    </row>
    <row r="986" spans="13:13" ht="12" customHeight="1">
      <c r="M986" s="160"/>
    </row>
    <row r="987" spans="13:13" ht="12" customHeight="1">
      <c r="M987" s="160"/>
    </row>
    <row r="988" spans="13:13" ht="12" customHeight="1">
      <c r="M988" s="160"/>
    </row>
    <row r="989" spans="13:13" ht="12" customHeight="1">
      <c r="M989" s="160"/>
    </row>
    <row r="990" spans="13:13" ht="12" customHeight="1">
      <c r="M990" s="160"/>
    </row>
    <row r="991" spans="13:13" ht="12" customHeight="1">
      <c r="M991" s="160"/>
    </row>
    <row r="992" spans="13:13" ht="12" customHeight="1">
      <c r="M992" s="160"/>
    </row>
    <row r="993" spans="13:13" ht="12" customHeight="1">
      <c r="M993" s="160"/>
    </row>
    <row r="994" spans="13:13" ht="12" customHeight="1">
      <c r="M994" s="160"/>
    </row>
    <row r="995" spans="13:13" ht="12" customHeight="1">
      <c r="M995" s="160"/>
    </row>
    <row r="996" spans="13:13" ht="12" customHeight="1">
      <c r="M996" s="160"/>
    </row>
    <row r="997" spans="13:13" ht="12" customHeight="1">
      <c r="M997" s="160"/>
    </row>
    <row r="998" spans="13:13" ht="12" customHeight="1">
      <c r="M998" s="160"/>
    </row>
    <row r="999" spans="13:13" ht="12" customHeight="1">
      <c r="M999" s="160"/>
    </row>
    <row r="1000" spans="13:13" ht="12" customHeight="1">
      <c r="M1000" s="160"/>
    </row>
  </sheetData>
  <pageMargins left="0.7" right="0.7" top="0.75" bottom="0.75" header="0" footer="0"/>
  <pageSetup orientation="landscape"/>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P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375" defaultRowHeight="15" customHeight="1"/>
  <cols>
    <col min="1" max="1" width="3.375" customWidth="1"/>
    <col min="2" max="2" width="6.625" customWidth="1"/>
    <col min="3" max="3" width="6.375" customWidth="1"/>
    <col min="4" max="4" width="7.375" customWidth="1"/>
    <col min="5" max="5" width="10.625" customWidth="1"/>
    <col min="6" max="6" width="7.375" customWidth="1"/>
    <col min="7" max="7" width="7.375" hidden="1" customWidth="1"/>
    <col min="8" max="8" width="11" customWidth="1"/>
    <col min="9" max="9" width="9.125" customWidth="1"/>
    <col min="10" max="10" width="11" customWidth="1"/>
    <col min="11" max="11" width="7.125" customWidth="1"/>
    <col min="12" max="12" width="9.125" customWidth="1"/>
    <col min="13" max="13" width="15" customWidth="1"/>
    <col min="14" max="14" width="22.25" customWidth="1"/>
    <col min="15" max="16" width="11" customWidth="1"/>
    <col min="17" max="26" width="8" customWidth="1"/>
  </cols>
  <sheetData>
    <row r="1" spans="2:16" ht="21" customHeight="1">
      <c r="B1" s="427" t="s">
        <v>1907</v>
      </c>
      <c r="N1" s="162"/>
      <c r="O1" s="160"/>
      <c r="P1" s="160"/>
    </row>
    <row r="2" spans="2:16" ht="12" customHeight="1"/>
    <row r="3" spans="2:16" ht="12" customHeight="1">
      <c r="B3" s="160"/>
      <c r="C3" s="428" t="s">
        <v>1908</v>
      </c>
      <c r="D3" s="429"/>
      <c r="E3" s="429"/>
      <c r="F3" s="429"/>
      <c r="G3" s="429"/>
      <c r="H3" s="429"/>
      <c r="I3" s="430"/>
      <c r="J3" s="431"/>
    </row>
    <row r="4" spans="2:16" ht="51" customHeight="1">
      <c r="B4" s="432" t="s">
        <v>1909</v>
      </c>
      <c r="C4" s="433" t="s">
        <v>1910</v>
      </c>
      <c r="D4" s="434" t="s">
        <v>1911</v>
      </c>
      <c r="E4" s="434" t="s">
        <v>1912</v>
      </c>
      <c r="F4" s="434" t="s">
        <v>1913</v>
      </c>
      <c r="G4" s="434" t="s">
        <v>1914</v>
      </c>
      <c r="H4" s="435" t="s">
        <v>1798</v>
      </c>
      <c r="I4" s="436" t="s">
        <v>1915</v>
      </c>
      <c r="J4" s="431"/>
    </row>
    <row r="5" spans="2:16" ht="13.5" customHeight="1">
      <c r="B5" s="437">
        <v>12</v>
      </c>
      <c r="C5" s="438">
        <v>4</v>
      </c>
      <c r="D5" s="438">
        <v>3</v>
      </c>
      <c r="E5" s="438">
        <v>4</v>
      </c>
      <c r="F5" s="160">
        <f t="shared" ref="F5:F121" si="0">C5-E5</f>
        <v>0</v>
      </c>
      <c r="G5" s="160">
        <f t="shared" ref="G5:G121" si="1">E5*D5+F5*(D5-1)</f>
        <v>12</v>
      </c>
      <c r="H5" s="160">
        <f t="shared" ref="H5:H121" si="2">INT(D5/2)*E5+INT((D5-1)/2)*F5</f>
        <v>4</v>
      </c>
      <c r="I5" s="439">
        <f>C5*Start.listina!$U$7</f>
        <v>8</v>
      </c>
    </row>
    <row r="6" spans="2:16" ht="13.5" customHeight="1">
      <c r="B6" s="437">
        <v>13</v>
      </c>
      <c r="C6" s="438">
        <v>4</v>
      </c>
      <c r="D6" s="438">
        <v>4</v>
      </c>
      <c r="E6" s="438">
        <v>1</v>
      </c>
      <c r="F6" s="160">
        <f t="shared" si="0"/>
        <v>3</v>
      </c>
      <c r="G6" s="160">
        <f t="shared" si="1"/>
        <v>13</v>
      </c>
      <c r="H6" s="160">
        <f t="shared" si="2"/>
        <v>5</v>
      </c>
      <c r="I6" s="439">
        <f>C6*Start.listina!$U$7</f>
        <v>8</v>
      </c>
    </row>
    <row r="7" spans="2:16" ht="13.5" customHeight="1">
      <c r="B7" s="437">
        <v>14</v>
      </c>
      <c r="C7" s="438">
        <v>4</v>
      </c>
      <c r="D7" s="438">
        <v>4</v>
      </c>
      <c r="E7" s="438">
        <v>2</v>
      </c>
      <c r="F7" s="160">
        <f t="shared" si="0"/>
        <v>2</v>
      </c>
      <c r="G7" s="160">
        <f t="shared" si="1"/>
        <v>14</v>
      </c>
      <c r="H7" s="160">
        <f t="shared" si="2"/>
        <v>6</v>
      </c>
      <c r="I7" s="439">
        <f>C7*Start.listina!$U$7</f>
        <v>8</v>
      </c>
    </row>
    <row r="8" spans="2:16" ht="13.5" customHeight="1">
      <c r="B8" s="437">
        <v>15</v>
      </c>
      <c r="C8" s="438">
        <v>4</v>
      </c>
      <c r="D8" s="438">
        <v>4</v>
      </c>
      <c r="E8" s="438">
        <v>3</v>
      </c>
      <c r="F8" s="160">
        <f t="shared" si="0"/>
        <v>1</v>
      </c>
      <c r="G8" s="160">
        <f t="shared" si="1"/>
        <v>15</v>
      </c>
      <c r="H8" s="160">
        <f t="shared" si="2"/>
        <v>7</v>
      </c>
      <c r="I8" s="439">
        <f>C8*Start.listina!$U$7</f>
        <v>8</v>
      </c>
    </row>
    <row r="9" spans="2:16" ht="13.5" customHeight="1">
      <c r="B9" s="437">
        <v>16</v>
      </c>
      <c r="C9" s="438">
        <v>4</v>
      </c>
      <c r="D9" s="438">
        <v>4</v>
      </c>
      <c r="E9" s="438">
        <v>4</v>
      </c>
      <c r="F9" s="160">
        <f t="shared" si="0"/>
        <v>0</v>
      </c>
      <c r="G9" s="160">
        <f t="shared" si="1"/>
        <v>16</v>
      </c>
      <c r="H9" s="160">
        <f t="shared" si="2"/>
        <v>8</v>
      </c>
      <c r="I9" s="439">
        <f>C9*Start.listina!$U$7</f>
        <v>8</v>
      </c>
    </row>
    <row r="10" spans="2:16" ht="13.5" customHeight="1">
      <c r="B10" s="437">
        <v>17</v>
      </c>
      <c r="C10" s="438">
        <v>4</v>
      </c>
      <c r="D10" s="438">
        <v>5</v>
      </c>
      <c r="E10" s="438">
        <v>1</v>
      </c>
      <c r="F10" s="160">
        <f t="shared" si="0"/>
        <v>3</v>
      </c>
      <c r="G10" s="160">
        <f t="shared" si="1"/>
        <v>17</v>
      </c>
      <c r="H10" s="160">
        <f t="shared" si="2"/>
        <v>8</v>
      </c>
      <c r="I10" s="439">
        <f>C10*Start.listina!$U$7</f>
        <v>8</v>
      </c>
    </row>
    <row r="11" spans="2:16" ht="13.5" customHeight="1">
      <c r="B11" s="437">
        <v>18</v>
      </c>
      <c r="C11" s="438">
        <v>4</v>
      </c>
      <c r="D11" s="438">
        <v>5</v>
      </c>
      <c r="E11" s="438">
        <v>2</v>
      </c>
      <c r="F11" s="160">
        <f t="shared" si="0"/>
        <v>2</v>
      </c>
      <c r="G11" s="160">
        <f t="shared" si="1"/>
        <v>18</v>
      </c>
      <c r="H11" s="160">
        <f t="shared" si="2"/>
        <v>8</v>
      </c>
      <c r="I11" s="439">
        <f>C11*Start.listina!$U$7</f>
        <v>8</v>
      </c>
    </row>
    <row r="12" spans="2:16" ht="13.5" customHeight="1">
      <c r="B12" s="437">
        <v>19</v>
      </c>
      <c r="C12" s="438">
        <v>4</v>
      </c>
      <c r="D12" s="438">
        <v>5</v>
      </c>
      <c r="E12" s="438">
        <v>3</v>
      </c>
      <c r="F12" s="160">
        <f t="shared" si="0"/>
        <v>1</v>
      </c>
      <c r="G12" s="160">
        <f t="shared" si="1"/>
        <v>19</v>
      </c>
      <c r="H12" s="160">
        <f t="shared" si="2"/>
        <v>8</v>
      </c>
      <c r="I12" s="439">
        <f>C12*Start.listina!$U$7</f>
        <v>8</v>
      </c>
    </row>
    <row r="13" spans="2:16" ht="13.5" customHeight="1">
      <c r="B13" s="437">
        <v>20</v>
      </c>
      <c r="C13" s="438">
        <v>4</v>
      </c>
      <c r="D13" s="438">
        <v>5</v>
      </c>
      <c r="E13" s="438">
        <v>4</v>
      </c>
      <c r="F13" s="160">
        <f t="shared" si="0"/>
        <v>0</v>
      </c>
      <c r="G13" s="160">
        <f t="shared" si="1"/>
        <v>20</v>
      </c>
      <c r="H13" s="160">
        <f t="shared" si="2"/>
        <v>8</v>
      </c>
      <c r="I13" s="439">
        <f>C13*Start.listina!$U$7</f>
        <v>8</v>
      </c>
    </row>
    <row r="14" spans="2:16" ht="13.5" customHeight="1">
      <c r="B14" s="437">
        <v>21</v>
      </c>
      <c r="C14" s="438">
        <v>4</v>
      </c>
      <c r="D14" s="438">
        <v>6</v>
      </c>
      <c r="E14" s="438">
        <v>1</v>
      </c>
      <c r="F14" s="160">
        <f t="shared" si="0"/>
        <v>3</v>
      </c>
      <c r="G14" s="160">
        <f t="shared" si="1"/>
        <v>21</v>
      </c>
      <c r="H14" s="160">
        <f t="shared" si="2"/>
        <v>9</v>
      </c>
      <c r="I14" s="439">
        <f>C14*Start.listina!$U$7</f>
        <v>8</v>
      </c>
    </row>
    <row r="15" spans="2:16" ht="13.5" customHeight="1">
      <c r="B15" s="437">
        <v>22</v>
      </c>
      <c r="C15" s="438">
        <v>4</v>
      </c>
      <c r="D15" s="438">
        <v>6</v>
      </c>
      <c r="E15" s="438">
        <v>2</v>
      </c>
      <c r="F15" s="160">
        <f t="shared" si="0"/>
        <v>2</v>
      </c>
      <c r="G15" s="160">
        <f t="shared" si="1"/>
        <v>22</v>
      </c>
      <c r="H15" s="160">
        <f t="shared" si="2"/>
        <v>10</v>
      </c>
      <c r="I15" s="439">
        <f>C15*Start.listina!$U$7</f>
        <v>8</v>
      </c>
    </row>
    <row r="16" spans="2:16" ht="13.5" customHeight="1">
      <c r="B16" s="437">
        <v>23</v>
      </c>
      <c r="C16" s="438">
        <v>4</v>
      </c>
      <c r="D16" s="438">
        <v>6</v>
      </c>
      <c r="E16" s="438">
        <v>3</v>
      </c>
      <c r="F16" s="160">
        <f t="shared" si="0"/>
        <v>1</v>
      </c>
      <c r="G16" s="160">
        <f t="shared" si="1"/>
        <v>23</v>
      </c>
      <c r="H16" s="160">
        <f t="shared" si="2"/>
        <v>11</v>
      </c>
      <c r="I16" s="439">
        <f>C16*Start.listina!$U$7</f>
        <v>8</v>
      </c>
    </row>
    <row r="17" spans="2:9" ht="13.5" customHeight="1">
      <c r="B17" s="437">
        <v>24</v>
      </c>
      <c r="C17" s="438">
        <v>8</v>
      </c>
      <c r="D17" s="438">
        <v>3</v>
      </c>
      <c r="E17" s="438">
        <v>8</v>
      </c>
      <c r="F17" s="160">
        <f t="shared" si="0"/>
        <v>0</v>
      </c>
      <c r="G17" s="160">
        <f t="shared" si="1"/>
        <v>24</v>
      </c>
      <c r="H17" s="160">
        <f t="shared" si="2"/>
        <v>8</v>
      </c>
      <c r="I17" s="439">
        <f>C17*Start.listina!$U$7</f>
        <v>16</v>
      </c>
    </row>
    <row r="18" spans="2:9" ht="13.5" customHeight="1">
      <c r="B18" s="437">
        <v>25</v>
      </c>
      <c r="C18" s="438">
        <v>8</v>
      </c>
      <c r="D18" s="438">
        <v>4</v>
      </c>
      <c r="E18" s="438">
        <v>1</v>
      </c>
      <c r="F18" s="160">
        <f t="shared" si="0"/>
        <v>7</v>
      </c>
      <c r="G18" s="160">
        <f t="shared" si="1"/>
        <v>25</v>
      </c>
      <c r="H18" s="160">
        <f t="shared" si="2"/>
        <v>9</v>
      </c>
      <c r="I18" s="439">
        <f>C18*Start.listina!$U$7</f>
        <v>16</v>
      </c>
    </row>
    <row r="19" spans="2:9" ht="13.5" customHeight="1">
      <c r="B19" s="437">
        <v>26</v>
      </c>
      <c r="C19" s="438">
        <v>8</v>
      </c>
      <c r="D19" s="438">
        <v>4</v>
      </c>
      <c r="E19" s="438">
        <v>2</v>
      </c>
      <c r="F19" s="160">
        <f t="shared" si="0"/>
        <v>6</v>
      </c>
      <c r="G19" s="160">
        <f t="shared" si="1"/>
        <v>26</v>
      </c>
      <c r="H19" s="160">
        <f t="shared" si="2"/>
        <v>10</v>
      </c>
      <c r="I19" s="439">
        <f>C19*Start.listina!$U$7</f>
        <v>16</v>
      </c>
    </row>
    <row r="20" spans="2:9" ht="13.5" customHeight="1">
      <c r="B20" s="437">
        <v>27</v>
      </c>
      <c r="C20" s="438">
        <v>8</v>
      </c>
      <c r="D20" s="438">
        <v>4</v>
      </c>
      <c r="E20" s="438">
        <v>3</v>
      </c>
      <c r="F20" s="160">
        <f t="shared" si="0"/>
        <v>5</v>
      </c>
      <c r="G20" s="160">
        <f t="shared" si="1"/>
        <v>27</v>
      </c>
      <c r="H20" s="160">
        <f t="shared" si="2"/>
        <v>11</v>
      </c>
      <c r="I20" s="439">
        <f>C20*Start.listina!$U$7</f>
        <v>16</v>
      </c>
    </row>
    <row r="21" spans="2:9" ht="13.5" customHeight="1">
      <c r="B21" s="437">
        <v>28</v>
      </c>
      <c r="C21" s="438">
        <v>8</v>
      </c>
      <c r="D21" s="438">
        <v>4</v>
      </c>
      <c r="E21" s="438">
        <v>4</v>
      </c>
      <c r="F21" s="160">
        <f t="shared" si="0"/>
        <v>4</v>
      </c>
      <c r="G21" s="160">
        <f t="shared" si="1"/>
        <v>28</v>
      </c>
      <c r="H21" s="160">
        <f t="shared" si="2"/>
        <v>12</v>
      </c>
      <c r="I21" s="439">
        <f>C21*Start.listina!$U$7</f>
        <v>16</v>
      </c>
    </row>
    <row r="22" spans="2:9" ht="13.5" customHeight="1">
      <c r="B22" s="437">
        <v>29</v>
      </c>
      <c r="C22" s="438">
        <v>8</v>
      </c>
      <c r="D22" s="438">
        <v>4</v>
      </c>
      <c r="E22" s="438">
        <v>5</v>
      </c>
      <c r="F22" s="160">
        <f t="shared" si="0"/>
        <v>3</v>
      </c>
      <c r="G22" s="160">
        <f t="shared" si="1"/>
        <v>29</v>
      </c>
      <c r="H22" s="160">
        <f t="shared" si="2"/>
        <v>13</v>
      </c>
      <c r="I22" s="439">
        <f>C22*Start.listina!$U$7</f>
        <v>16</v>
      </c>
    </row>
    <row r="23" spans="2:9" ht="13.5" customHeight="1">
      <c r="B23" s="437">
        <v>30</v>
      </c>
      <c r="C23" s="438">
        <v>8</v>
      </c>
      <c r="D23" s="438">
        <v>4</v>
      </c>
      <c r="E23" s="438">
        <v>6</v>
      </c>
      <c r="F23" s="160">
        <f t="shared" si="0"/>
        <v>2</v>
      </c>
      <c r="G23" s="160">
        <f t="shared" si="1"/>
        <v>30</v>
      </c>
      <c r="H23" s="160">
        <f t="shared" si="2"/>
        <v>14</v>
      </c>
      <c r="I23" s="439">
        <f>C23*Start.listina!$U$7</f>
        <v>16</v>
      </c>
    </row>
    <row r="24" spans="2:9" ht="13.5" customHeight="1">
      <c r="B24" s="437">
        <v>31</v>
      </c>
      <c r="C24" s="438">
        <v>8</v>
      </c>
      <c r="D24" s="438">
        <v>4</v>
      </c>
      <c r="E24" s="438">
        <v>7</v>
      </c>
      <c r="F24" s="160">
        <f t="shared" si="0"/>
        <v>1</v>
      </c>
      <c r="G24" s="160">
        <f t="shared" si="1"/>
        <v>31</v>
      </c>
      <c r="H24" s="160">
        <f t="shared" si="2"/>
        <v>15</v>
      </c>
      <c r="I24" s="439">
        <f>C24*Start.listina!$U$7</f>
        <v>16</v>
      </c>
    </row>
    <row r="25" spans="2:9" ht="13.5" customHeight="1">
      <c r="B25" s="437">
        <v>32</v>
      </c>
      <c r="C25" s="438">
        <v>8</v>
      </c>
      <c r="D25" s="438">
        <v>4</v>
      </c>
      <c r="E25" s="438">
        <v>8</v>
      </c>
      <c r="F25" s="160">
        <f t="shared" si="0"/>
        <v>0</v>
      </c>
      <c r="G25" s="160">
        <f t="shared" si="1"/>
        <v>32</v>
      </c>
      <c r="H25" s="160">
        <f t="shared" si="2"/>
        <v>16</v>
      </c>
      <c r="I25" s="439">
        <f>C25*Start.listina!$U$7</f>
        <v>16</v>
      </c>
    </row>
    <row r="26" spans="2:9" ht="13.5" customHeight="1">
      <c r="B26" s="437">
        <v>33</v>
      </c>
      <c r="C26" s="438">
        <v>8</v>
      </c>
      <c r="D26" s="438">
        <v>5</v>
      </c>
      <c r="E26" s="438">
        <v>1</v>
      </c>
      <c r="F26" s="160">
        <f t="shared" si="0"/>
        <v>7</v>
      </c>
      <c r="G26" s="160">
        <f t="shared" si="1"/>
        <v>33</v>
      </c>
      <c r="H26" s="160">
        <f t="shared" si="2"/>
        <v>16</v>
      </c>
      <c r="I26" s="439">
        <f>C26*Start.listina!$U$7</f>
        <v>16</v>
      </c>
    </row>
    <row r="27" spans="2:9" ht="13.5" customHeight="1">
      <c r="B27" s="437">
        <v>34</v>
      </c>
      <c r="C27" s="438">
        <v>8</v>
      </c>
      <c r="D27" s="438">
        <v>5</v>
      </c>
      <c r="E27" s="438">
        <v>2</v>
      </c>
      <c r="F27" s="160">
        <f t="shared" si="0"/>
        <v>6</v>
      </c>
      <c r="G27" s="160">
        <f t="shared" si="1"/>
        <v>34</v>
      </c>
      <c r="H27" s="160">
        <f t="shared" si="2"/>
        <v>16</v>
      </c>
      <c r="I27" s="439">
        <f>C27*Start.listina!$U$7</f>
        <v>16</v>
      </c>
    </row>
    <row r="28" spans="2:9" ht="13.5" customHeight="1">
      <c r="B28" s="437">
        <v>35</v>
      </c>
      <c r="C28" s="438">
        <v>8</v>
      </c>
      <c r="D28" s="438">
        <v>5</v>
      </c>
      <c r="E28" s="438">
        <v>3</v>
      </c>
      <c r="F28" s="160">
        <f t="shared" si="0"/>
        <v>5</v>
      </c>
      <c r="G28" s="160">
        <f t="shared" si="1"/>
        <v>35</v>
      </c>
      <c r="H28" s="160">
        <f t="shared" si="2"/>
        <v>16</v>
      </c>
      <c r="I28" s="439">
        <f>C28*Start.listina!$U$7</f>
        <v>16</v>
      </c>
    </row>
    <row r="29" spans="2:9" ht="13.5" customHeight="1">
      <c r="B29" s="437">
        <v>36</v>
      </c>
      <c r="C29" s="438">
        <v>8</v>
      </c>
      <c r="D29" s="438">
        <v>5</v>
      </c>
      <c r="E29" s="438">
        <v>4</v>
      </c>
      <c r="F29" s="160">
        <f t="shared" si="0"/>
        <v>4</v>
      </c>
      <c r="G29" s="160">
        <f t="shared" si="1"/>
        <v>36</v>
      </c>
      <c r="H29" s="160">
        <f t="shared" si="2"/>
        <v>16</v>
      </c>
      <c r="I29" s="439">
        <f>C29*Start.listina!$U$7</f>
        <v>16</v>
      </c>
    </row>
    <row r="30" spans="2:9" ht="13.5" customHeight="1">
      <c r="B30" s="437">
        <v>37</v>
      </c>
      <c r="C30" s="438">
        <v>8</v>
      </c>
      <c r="D30" s="438">
        <v>5</v>
      </c>
      <c r="E30" s="438">
        <v>5</v>
      </c>
      <c r="F30" s="160">
        <f t="shared" si="0"/>
        <v>3</v>
      </c>
      <c r="G30" s="160">
        <f t="shared" si="1"/>
        <v>37</v>
      </c>
      <c r="H30" s="160">
        <f t="shared" si="2"/>
        <v>16</v>
      </c>
      <c r="I30" s="439">
        <f>C30*Start.listina!$U$7</f>
        <v>16</v>
      </c>
    </row>
    <row r="31" spans="2:9" ht="13.5" customHeight="1">
      <c r="B31" s="437">
        <v>38</v>
      </c>
      <c r="C31" s="438">
        <v>8</v>
      </c>
      <c r="D31" s="438">
        <v>5</v>
      </c>
      <c r="E31" s="438">
        <v>6</v>
      </c>
      <c r="F31" s="160">
        <f t="shared" si="0"/>
        <v>2</v>
      </c>
      <c r="G31" s="160">
        <f t="shared" si="1"/>
        <v>38</v>
      </c>
      <c r="H31" s="160">
        <f t="shared" si="2"/>
        <v>16</v>
      </c>
      <c r="I31" s="439">
        <f>C31*Start.listina!$U$7</f>
        <v>16</v>
      </c>
    </row>
    <row r="32" spans="2:9" ht="13.5" customHeight="1">
      <c r="B32" s="437">
        <v>39</v>
      </c>
      <c r="C32" s="438">
        <v>8</v>
      </c>
      <c r="D32" s="438">
        <v>5</v>
      </c>
      <c r="E32" s="438">
        <v>7</v>
      </c>
      <c r="F32" s="160">
        <f t="shared" si="0"/>
        <v>1</v>
      </c>
      <c r="G32" s="160">
        <f t="shared" si="1"/>
        <v>39</v>
      </c>
      <c r="H32" s="160">
        <f t="shared" si="2"/>
        <v>16</v>
      </c>
      <c r="I32" s="439">
        <f>C32*Start.listina!$U$7</f>
        <v>16</v>
      </c>
    </row>
    <row r="33" spans="2:9" ht="13.5" customHeight="1">
      <c r="B33" s="437">
        <v>40</v>
      </c>
      <c r="C33" s="438">
        <v>8</v>
      </c>
      <c r="D33" s="438">
        <v>5</v>
      </c>
      <c r="E33" s="438">
        <v>8</v>
      </c>
      <c r="F33" s="160">
        <f t="shared" si="0"/>
        <v>0</v>
      </c>
      <c r="G33" s="160">
        <f t="shared" si="1"/>
        <v>40</v>
      </c>
      <c r="H33" s="160">
        <f t="shared" si="2"/>
        <v>16</v>
      </c>
      <c r="I33" s="439">
        <f>C33*Start.listina!$U$7</f>
        <v>16</v>
      </c>
    </row>
    <row r="34" spans="2:9" ht="13.5" customHeight="1">
      <c r="B34" s="437">
        <v>41</v>
      </c>
      <c r="C34" s="438">
        <v>8</v>
      </c>
      <c r="D34" s="438">
        <v>6</v>
      </c>
      <c r="E34" s="438">
        <v>1</v>
      </c>
      <c r="F34" s="160">
        <f t="shared" si="0"/>
        <v>7</v>
      </c>
      <c r="G34" s="160">
        <f t="shared" si="1"/>
        <v>41</v>
      </c>
      <c r="H34" s="160">
        <f t="shared" si="2"/>
        <v>17</v>
      </c>
      <c r="I34" s="439">
        <f>C34*Start.listina!$U$7</f>
        <v>16</v>
      </c>
    </row>
    <row r="35" spans="2:9" ht="13.5" customHeight="1">
      <c r="B35" s="437">
        <v>42</v>
      </c>
      <c r="C35" s="438">
        <v>8</v>
      </c>
      <c r="D35" s="438">
        <v>6</v>
      </c>
      <c r="E35" s="438">
        <v>2</v>
      </c>
      <c r="F35" s="160">
        <f t="shared" si="0"/>
        <v>6</v>
      </c>
      <c r="G35" s="160">
        <f t="shared" si="1"/>
        <v>42</v>
      </c>
      <c r="H35" s="160">
        <f t="shared" si="2"/>
        <v>18</v>
      </c>
      <c r="I35" s="439">
        <f>C35*Start.listina!$U$7</f>
        <v>16</v>
      </c>
    </row>
    <row r="36" spans="2:9" ht="13.5" customHeight="1">
      <c r="B36" s="437">
        <v>43</v>
      </c>
      <c r="C36" s="438">
        <v>8</v>
      </c>
      <c r="D36" s="438">
        <v>6</v>
      </c>
      <c r="E36" s="438">
        <v>3</v>
      </c>
      <c r="F36" s="160">
        <f t="shared" si="0"/>
        <v>5</v>
      </c>
      <c r="G36" s="160">
        <f t="shared" si="1"/>
        <v>43</v>
      </c>
      <c r="H36" s="160">
        <f t="shared" si="2"/>
        <v>19</v>
      </c>
      <c r="I36" s="439">
        <f>C36*Start.listina!$U$7</f>
        <v>16</v>
      </c>
    </row>
    <row r="37" spans="2:9" ht="13.5" customHeight="1">
      <c r="B37" s="437">
        <v>44</v>
      </c>
      <c r="C37" s="438">
        <v>8</v>
      </c>
      <c r="D37" s="438">
        <v>6</v>
      </c>
      <c r="E37" s="438">
        <v>4</v>
      </c>
      <c r="F37" s="160">
        <f t="shared" si="0"/>
        <v>4</v>
      </c>
      <c r="G37" s="160">
        <f t="shared" si="1"/>
        <v>44</v>
      </c>
      <c r="H37" s="160">
        <f t="shared" si="2"/>
        <v>20</v>
      </c>
      <c r="I37" s="439">
        <f>C37*Start.listina!$U$7</f>
        <v>16</v>
      </c>
    </row>
    <row r="38" spans="2:9" ht="13.5" customHeight="1">
      <c r="B38" s="437">
        <v>45</v>
      </c>
      <c r="C38" s="438">
        <v>8</v>
      </c>
      <c r="D38" s="438">
        <v>6</v>
      </c>
      <c r="E38" s="438">
        <v>5</v>
      </c>
      <c r="F38" s="160">
        <f t="shared" si="0"/>
        <v>3</v>
      </c>
      <c r="G38" s="160">
        <f t="shared" si="1"/>
        <v>45</v>
      </c>
      <c r="H38" s="160">
        <f t="shared" si="2"/>
        <v>21</v>
      </c>
      <c r="I38" s="439">
        <f>C38*Start.listina!$U$7</f>
        <v>16</v>
      </c>
    </row>
    <row r="39" spans="2:9" ht="13.5" customHeight="1">
      <c r="B39" s="437">
        <v>46</v>
      </c>
      <c r="C39" s="438">
        <v>8</v>
      </c>
      <c r="D39" s="438">
        <v>6</v>
      </c>
      <c r="E39" s="438">
        <v>6</v>
      </c>
      <c r="F39" s="160">
        <f t="shared" si="0"/>
        <v>2</v>
      </c>
      <c r="G39" s="160">
        <f t="shared" si="1"/>
        <v>46</v>
      </c>
      <c r="H39" s="160">
        <f t="shared" si="2"/>
        <v>22</v>
      </c>
      <c r="I39" s="439">
        <f>C39*Start.listina!$U$7</f>
        <v>16</v>
      </c>
    </row>
    <row r="40" spans="2:9" ht="13.5" customHeight="1">
      <c r="B40" s="437">
        <v>47</v>
      </c>
      <c r="C40" s="438">
        <v>8</v>
      </c>
      <c r="D40" s="438">
        <v>6</v>
      </c>
      <c r="E40" s="438">
        <v>7</v>
      </c>
      <c r="F40" s="160">
        <f t="shared" si="0"/>
        <v>1</v>
      </c>
      <c r="G40" s="160">
        <f t="shared" si="1"/>
        <v>47</v>
      </c>
      <c r="H40" s="160">
        <f t="shared" si="2"/>
        <v>23</v>
      </c>
      <c r="I40" s="439">
        <f>C40*Start.listina!$U$7</f>
        <v>16</v>
      </c>
    </row>
    <row r="41" spans="2:9" ht="13.5" customHeight="1">
      <c r="B41" s="437">
        <v>48</v>
      </c>
      <c r="C41" s="438">
        <v>16</v>
      </c>
      <c r="D41" s="438">
        <v>3</v>
      </c>
      <c r="E41" s="438">
        <v>16</v>
      </c>
      <c r="F41" s="160">
        <f t="shared" si="0"/>
        <v>0</v>
      </c>
      <c r="G41" s="160">
        <f t="shared" si="1"/>
        <v>48</v>
      </c>
      <c r="H41" s="160">
        <f t="shared" si="2"/>
        <v>16</v>
      </c>
      <c r="I41" s="439">
        <f>C41*Start.listina!$U$7</f>
        <v>32</v>
      </c>
    </row>
    <row r="42" spans="2:9" ht="13.5" customHeight="1">
      <c r="B42" s="437">
        <v>49</v>
      </c>
      <c r="C42" s="438">
        <v>16</v>
      </c>
      <c r="D42" s="438">
        <v>4</v>
      </c>
      <c r="E42" s="438">
        <v>1</v>
      </c>
      <c r="F42" s="160">
        <f t="shared" si="0"/>
        <v>15</v>
      </c>
      <c r="G42" s="160">
        <f t="shared" si="1"/>
        <v>49</v>
      </c>
      <c r="H42" s="160">
        <f t="shared" si="2"/>
        <v>17</v>
      </c>
      <c r="I42" s="439">
        <f>C42*Start.listina!$U$7</f>
        <v>32</v>
      </c>
    </row>
    <row r="43" spans="2:9" ht="13.5" customHeight="1">
      <c r="B43" s="437">
        <v>50</v>
      </c>
      <c r="C43" s="438">
        <v>16</v>
      </c>
      <c r="D43" s="438">
        <v>4</v>
      </c>
      <c r="E43" s="438">
        <v>2</v>
      </c>
      <c r="F43" s="160">
        <f t="shared" si="0"/>
        <v>14</v>
      </c>
      <c r="G43" s="160">
        <f t="shared" si="1"/>
        <v>50</v>
      </c>
      <c r="H43" s="160">
        <f t="shared" si="2"/>
        <v>18</v>
      </c>
      <c r="I43" s="439">
        <f>C43*Start.listina!$U$7</f>
        <v>32</v>
      </c>
    </row>
    <row r="44" spans="2:9" ht="13.5" customHeight="1">
      <c r="B44" s="437">
        <v>51</v>
      </c>
      <c r="C44" s="438">
        <v>16</v>
      </c>
      <c r="D44" s="438">
        <v>4</v>
      </c>
      <c r="E44" s="438">
        <v>3</v>
      </c>
      <c r="F44" s="160">
        <f t="shared" si="0"/>
        <v>13</v>
      </c>
      <c r="G44" s="160">
        <f t="shared" si="1"/>
        <v>51</v>
      </c>
      <c r="H44" s="160">
        <f t="shared" si="2"/>
        <v>19</v>
      </c>
      <c r="I44" s="439">
        <f>C44*Start.listina!$U$7</f>
        <v>32</v>
      </c>
    </row>
    <row r="45" spans="2:9" ht="13.5" customHeight="1">
      <c r="B45" s="437">
        <v>52</v>
      </c>
      <c r="C45" s="438">
        <v>16</v>
      </c>
      <c r="D45" s="438">
        <v>4</v>
      </c>
      <c r="E45" s="438">
        <v>4</v>
      </c>
      <c r="F45" s="160">
        <f t="shared" si="0"/>
        <v>12</v>
      </c>
      <c r="G45" s="160">
        <f t="shared" si="1"/>
        <v>52</v>
      </c>
      <c r="H45" s="160">
        <f t="shared" si="2"/>
        <v>20</v>
      </c>
      <c r="I45" s="439">
        <f>C45*Start.listina!$U$7</f>
        <v>32</v>
      </c>
    </row>
    <row r="46" spans="2:9" ht="13.5" customHeight="1">
      <c r="B46" s="437">
        <v>53</v>
      </c>
      <c r="C46" s="438">
        <v>16</v>
      </c>
      <c r="D46" s="438">
        <v>4</v>
      </c>
      <c r="E46" s="438">
        <v>5</v>
      </c>
      <c r="F46" s="160">
        <f t="shared" si="0"/>
        <v>11</v>
      </c>
      <c r="G46" s="160">
        <f t="shared" si="1"/>
        <v>53</v>
      </c>
      <c r="H46" s="160">
        <f t="shared" si="2"/>
        <v>21</v>
      </c>
      <c r="I46" s="439">
        <f>C46*Start.listina!$U$7</f>
        <v>32</v>
      </c>
    </row>
    <row r="47" spans="2:9" ht="13.5" customHeight="1">
      <c r="B47" s="437">
        <v>54</v>
      </c>
      <c r="C47" s="438">
        <v>16</v>
      </c>
      <c r="D47" s="438">
        <v>4</v>
      </c>
      <c r="E47" s="438">
        <v>6</v>
      </c>
      <c r="F47" s="160">
        <f t="shared" si="0"/>
        <v>10</v>
      </c>
      <c r="G47" s="160">
        <f t="shared" si="1"/>
        <v>54</v>
      </c>
      <c r="H47" s="160">
        <f t="shared" si="2"/>
        <v>22</v>
      </c>
      <c r="I47" s="439">
        <f>C47*Start.listina!$U$7</f>
        <v>32</v>
      </c>
    </row>
    <row r="48" spans="2:9" ht="13.5" customHeight="1">
      <c r="B48" s="437">
        <v>55</v>
      </c>
      <c r="C48" s="438">
        <v>16</v>
      </c>
      <c r="D48" s="438">
        <v>4</v>
      </c>
      <c r="E48" s="438">
        <v>7</v>
      </c>
      <c r="F48" s="160">
        <f t="shared" si="0"/>
        <v>9</v>
      </c>
      <c r="G48" s="160">
        <f t="shared" si="1"/>
        <v>55</v>
      </c>
      <c r="H48" s="160">
        <f t="shared" si="2"/>
        <v>23</v>
      </c>
      <c r="I48" s="439">
        <f>C48*Start.listina!$U$7</f>
        <v>32</v>
      </c>
    </row>
    <row r="49" spans="2:9" ht="13.5" customHeight="1">
      <c r="B49" s="437">
        <v>56</v>
      </c>
      <c r="C49" s="438">
        <v>16</v>
      </c>
      <c r="D49" s="438">
        <v>4</v>
      </c>
      <c r="E49" s="438">
        <v>8</v>
      </c>
      <c r="F49" s="160">
        <f t="shared" si="0"/>
        <v>8</v>
      </c>
      <c r="G49" s="160">
        <f t="shared" si="1"/>
        <v>56</v>
      </c>
      <c r="H49" s="160">
        <f t="shared" si="2"/>
        <v>24</v>
      </c>
      <c r="I49" s="439">
        <f>C49*Start.listina!$U$7</f>
        <v>32</v>
      </c>
    </row>
    <row r="50" spans="2:9" ht="13.5" customHeight="1">
      <c r="B50" s="437">
        <v>57</v>
      </c>
      <c r="C50" s="438">
        <v>16</v>
      </c>
      <c r="D50" s="438">
        <v>4</v>
      </c>
      <c r="E50" s="438">
        <v>9</v>
      </c>
      <c r="F50" s="160">
        <f t="shared" si="0"/>
        <v>7</v>
      </c>
      <c r="G50" s="160">
        <f t="shared" si="1"/>
        <v>57</v>
      </c>
      <c r="H50" s="160">
        <f t="shared" si="2"/>
        <v>25</v>
      </c>
      <c r="I50" s="439">
        <f>C50*Start.listina!$U$7</f>
        <v>32</v>
      </c>
    </row>
    <row r="51" spans="2:9" ht="13.5" customHeight="1">
      <c r="B51" s="437">
        <v>58</v>
      </c>
      <c r="C51" s="438">
        <v>16</v>
      </c>
      <c r="D51" s="438">
        <v>4</v>
      </c>
      <c r="E51" s="438">
        <v>10</v>
      </c>
      <c r="F51" s="160">
        <f t="shared" si="0"/>
        <v>6</v>
      </c>
      <c r="G51" s="160">
        <f t="shared" si="1"/>
        <v>58</v>
      </c>
      <c r="H51" s="160">
        <f t="shared" si="2"/>
        <v>26</v>
      </c>
      <c r="I51" s="439">
        <f>C51*Start.listina!$U$7</f>
        <v>32</v>
      </c>
    </row>
    <row r="52" spans="2:9" ht="13.5" customHeight="1">
      <c r="B52" s="437">
        <v>59</v>
      </c>
      <c r="C52" s="438">
        <v>16</v>
      </c>
      <c r="D52" s="438">
        <v>4</v>
      </c>
      <c r="E52" s="438">
        <v>11</v>
      </c>
      <c r="F52" s="160">
        <f t="shared" si="0"/>
        <v>5</v>
      </c>
      <c r="G52" s="160">
        <f t="shared" si="1"/>
        <v>59</v>
      </c>
      <c r="H52" s="160">
        <f t="shared" si="2"/>
        <v>27</v>
      </c>
      <c r="I52" s="439">
        <f>C52*Start.listina!$U$7</f>
        <v>32</v>
      </c>
    </row>
    <row r="53" spans="2:9" ht="13.5" customHeight="1">
      <c r="B53" s="437">
        <v>60</v>
      </c>
      <c r="C53" s="438">
        <v>16</v>
      </c>
      <c r="D53" s="438">
        <v>4</v>
      </c>
      <c r="E53" s="438">
        <v>12</v>
      </c>
      <c r="F53" s="160">
        <f t="shared" si="0"/>
        <v>4</v>
      </c>
      <c r="G53" s="160">
        <f t="shared" si="1"/>
        <v>60</v>
      </c>
      <c r="H53" s="160">
        <f t="shared" si="2"/>
        <v>28</v>
      </c>
      <c r="I53" s="439">
        <f>C53*Start.listina!$U$7</f>
        <v>32</v>
      </c>
    </row>
    <row r="54" spans="2:9" ht="13.5" customHeight="1">
      <c r="B54" s="437">
        <v>61</v>
      </c>
      <c r="C54" s="438">
        <v>16</v>
      </c>
      <c r="D54" s="438">
        <v>4</v>
      </c>
      <c r="E54" s="438">
        <v>13</v>
      </c>
      <c r="F54" s="160">
        <f t="shared" si="0"/>
        <v>3</v>
      </c>
      <c r="G54" s="160">
        <f t="shared" si="1"/>
        <v>61</v>
      </c>
      <c r="H54" s="160">
        <f t="shared" si="2"/>
        <v>29</v>
      </c>
      <c r="I54" s="439">
        <f>C54*Start.listina!$U$7</f>
        <v>32</v>
      </c>
    </row>
    <row r="55" spans="2:9" ht="13.5" customHeight="1">
      <c r="B55" s="437">
        <v>62</v>
      </c>
      <c r="C55" s="438">
        <v>16</v>
      </c>
      <c r="D55" s="438">
        <v>4</v>
      </c>
      <c r="E55" s="438">
        <v>14</v>
      </c>
      <c r="F55" s="160">
        <f t="shared" si="0"/>
        <v>2</v>
      </c>
      <c r="G55" s="160">
        <f t="shared" si="1"/>
        <v>62</v>
      </c>
      <c r="H55" s="160">
        <f t="shared" si="2"/>
        <v>30</v>
      </c>
      <c r="I55" s="439">
        <f>C55*Start.listina!$U$7</f>
        <v>32</v>
      </c>
    </row>
    <row r="56" spans="2:9" ht="13.5" customHeight="1">
      <c r="B56" s="437">
        <v>63</v>
      </c>
      <c r="C56" s="438">
        <v>16</v>
      </c>
      <c r="D56" s="438">
        <v>4</v>
      </c>
      <c r="E56" s="438">
        <v>15</v>
      </c>
      <c r="F56" s="160">
        <f t="shared" si="0"/>
        <v>1</v>
      </c>
      <c r="G56" s="160">
        <f t="shared" si="1"/>
        <v>63</v>
      </c>
      <c r="H56" s="160">
        <f t="shared" si="2"/>
        <v>31</v>
      </c>
      <c r="I56" s="439">
        <f>C56*Start.listina!$U$7</f>
        <v>32</v>
      </c>
    </row>
    <row r="57" spans="2:9" ht="13.5" customHeight="1">
      <c r="B57" s="437">
        <v>64</v>
      </c>
      <c r="C57" s="438">
        <v>16</v>
      </c>
      <c r="D57" s="438">
        <v>4</v>
      </c>
      <c r="E57" s="438">
        <v>16</v>
      </c>
      <c r="F57" s="160">
        <f t="shared" si="0"/>
        <v>0</v>
      </c>
      <c r="G57" s="160">
        <f t="shared" si="1"/>
        <v>64</v>
      </c>
      <c r="H57" s="160">
        <f t="shared" si="2"/>
        <v>32</v>
      </c>
      <c r="I57" s="439">
        <f>C57*Start.listina!$U$7</f>
        <v>32</v>
      </c>
    </row>
    <row r="58" spans="2:9" ht="13.5" customHeight="1">
      <c r="B58" s="437">
        <v>65</v>
      </c>
      <c r="C58" s="438">
        <v>16</v>
      </c>
      <c r="D58" s="438">
        <v>5</v>
      </c>
      <c r="E58" s="438">
        <v>1</v>
      </c>
      <c r="F58" s="160">
        <f t="shared" si="0"/>
        <v>15</v>
      </c>
      <c r="G58" s="160">
        <f t="shared" si="1"/>
        <v>65</v>
      </c>
      <c r="H58" s="160">
        <f t="shared" si="2"/>
        <v>32</v>
      </c>
      <c r="I58" s="439">
        <f>C58*Start.listina!$U$7</f>
        <v>32</v>
      </c>
    </row>
    <row r="59" spans="2:9" ht="13.5" customHeight="1">
      <c r="B59" s="437">
        <v>66</v>
      </c>
      <c r="C59" s="438">
        <v>16</v>
      </c>
      <c r="D59" s="438">
        <v>5</v>
      </c>
      <c r="E59" s="438">
        <v>2</v>
      </c>
      <c r="F59" s="160">
        <f t="shared" si="0"/>
        <v>14</v>
      </c>
      <c r="G59" s="160">
        <f t="shared" si="1"/>
        <v>66</v>
      </c>
      <c r="H59" s="160">
        <f t="shared" si="2"/>
        <v>32</v>
      </c>
      <c r="I59" s="439">
        <f>C59*Start.listina!$U$7</f>
        <v>32</v>
      </c>
    </row>
    <row r="60" spans="2:9" ht="13.5" customHeight="1">
      <c r="B60" s="437">
        <v>67</v>
      </c>
      <c r="C60" s="438">
        <v>16</v>
      </c>
      <c r="D60" s="438">
        <v>5</v>
      </c>
      <c r="E60" s="438">
        <v>3</v>
      </c>
      <c r="F60" s="160">
        <f t="shared" si="0"/>
        <v>13</v>
      </c>
      <c r="G60" s="160">
        <f t="shared" si="1"/>
        <v>67</v>
      </c>
      <c r="H60" s="160">
        <f t="shared" si="2"/>
        <v>32</v>
      </c>
      <c r="I60" s="439">
        <f>C60*Start.listina!$U$7</f>
        <v>32</v>
      </c>
    </row>
    <row r="61" spans="2:9" ht="13.5" customHeight="1">
      <c r="B61" s="437">
        <v>68</v>
      </c>
      <c r="C61" s="438">
        <v>16</v>
      </c>
      <c r="D61" s="438">
        <v>5</v>
      </c>
      <c r="E61" s="438">
        <v>4</v>
      </c>
      <c r="F61" s="160">
        <f t="shared" si="0"/>
        <v>12</v>
      </c>
      <c r="G61" s="160">
        <f t="shared" si="1"/>
        <v>68</v>
      </c>
      <c r="H61" s="160">
        <f t="shared" si="2"/>
        <v>32</v>
      </c>
      <c r="I61" s="439">
        <f>C61*Start.listina!$U$7</f>
        <v>32</v>
      </c>
    </row>
    <row r="62" spans="2:9" ht="13.5" customHeight="1">
      <c r="B62" s="437">
        <v>69</v>
      </c>
      <c r="C62" s="438">
        <v>16</v>
      </c>
      <c r="D62" s="438">
        <v>5</v>
      </c>
      <c r="E62" s="438">
        <v>5</v>
      </c>
      <c r="F62" s="160">
        <f t="shared" si="0"/>
        <v>11</v>
      </c>
      <c r="G62" s="160">
        <f t="shared" si="1"/>
        <v>69</v>
      </c>
      <c r="H62" s="160">
        <f t="shared" si="2"/>
        <v>32</v>
      </c>
      <c r="I62" s="439">
        <f>C62*Start.listina!$U$7</f>
        <v>32</v>
      </c>
    </row>
    <row r="63" spans="2:9" ht="13.5" customHeight="1">
      <c r="B63" s="437">
        <v>70</v>
      </c>
      <c r="C63" s="438">
        <v>16</v>
      </c>
      <c r="D63" s="438">
        <v>5</v>
      </c>
      <c r="E63" s="438">
        <v>6</v>
      </c>
      <c r="F63" s="160">
        <f t="shared" si="0"/>
        <v>10</v>
      </c>
      <c r="G63" s="160">
        <f t="shared" si="1"/>
        <v>70</v>
      </c>
      <c r="H63" s="160">
        <f t="shared" si="2"/>
        <v>32</v>
      </c>
      <c r="I63" s="439">
        <f>C63*Start.listina!$U$7</f>
        <v>32</v>
      </c>
    </row>
    <row r="64" spans="2:9" ht="13.5" customHeight="1">
      <c r="B64" s="437">
        <v>71</v>
      </c>
      <c r="C64" s="438">
        <v>16</v>
      </c>
      <c r="D64" s="438">
        <v>5</v>
      </c>
      <c r="E64" s="438">
        <v>7</v>
      </c>
      <c r="F64" s="160">
        <f t="shared" si="0"/>
        <v>9</v>
      </c>
      <c r="G64" s="160">
        <f t="shared" si="1"/>
        <v>71</v>
      </c>
      <c r="H64" s="160">
        <f t="shared" si="2"/>
        <v>32</v>
      </c>
      <c r="I64" s="439">
        <f>C64*Start.listina!$U$7</f>
        <v>32</v>
      </c>
    </row>
    <row r="65" spans="2:9" ht="13.5" customHeight="1">
      <c r="B65" s="437">
        <v>72</v>
      </c>
      <c r="C65" s="438">
        <v>16</v>
      </c>
      <c r="D65" s="438">
        <v>5</v>
      </c>
      <c r="E65" s="438">
        <v>8</v>
      </c>
      <c r="F65" s="160">
        <f t="shared" si="0"/>
        <v>8</v>
      </c>
      <c r="G65" s="160">
        <f t="shared" si="1"/>
        <v>72</v>
      </c>
      <c r="H65" s="160">
        <f t="shared" si="2"/>
        <v>32</v>
      </c>
      <c r="I65" s="439">
        <f>C65*Start.listina!$U$7</f>
        <v>32</v>
      </c>
    </row>
    <row r="66" spans="2:9" ht="13.5" customHeight="1">
      <c r="B66" s="437">
        <v>73</v>
      </c>
      <c r="C66" s="438">
        <v>16</v>
      </c>
      <c r="D66" s="438">
        <v>5</v>
      </c>
      <c r="E66" s="438">
        <v>9</v>
      </c>
      <c r="F66" s="160">
        <f t="shared" si="0"/>
        <v>7</v>
      </c>
      <c r="G66" s="160">
        <f t="shared" si="1"/>
        <v>73</v>
      </c>
      <c r="H66" s="160">
        <f t="shared" si="2"/>
        <v>32</v>
      </c>
      <c r="I66" s="439">
        <f>C66*Start.listina!$U$7</f>
        <v>32</v>
      </c>
    </row>
    <row r="67" spans="2:9" ht="13.5" customHeight="1">
      <c r="B67" s="437">
        <v>74</v>
      </c>
      <c r="C67" s="438">
        <v>16</v>
      </c>
      <c r="D67" s="438">
        <v>5</v>
      </c>
      <c r="E67" s="438">
        <v>10</v>
      </c>
      <c r="F67" s="160">
        <f t="shared" si="0"/>
        <v>6</v>
      </c>
      <c r="G67" s="160">
        <f t="shared" si="1"/>
        <v>74</v>
      </c>
      <c r="H67" s="160">
        <f t="shared" si="2"/>
        <v>32</v>
      </c>
      <c r="I67" s="439">
        <f>C67*Start.listina!$U$7</f>
        <v>32</v>
      </c>
    </row>
    <row r="68" spans="2:9" ht="13.5" customHeight="1">
      <c r="B68" s="437">
        <v>75</v>
      </c>
      <c r="C68" s="438">
        <v>16</v>
      </c>
      <c r="D68" s="438">
        <v>5</v>
      </c>
      <c r="E68" s="438">
        <v>11</v>
      </c>
      <c r="F68" s="160">
        <f t="shared" si="0"/>
        <v>5</v>
      </c>
      <c r="G68" s="160">
        <f t="shared" si="1"/>
        <v>75</v>
      </c>
      <c r="H68" s="160">
        <f t="shared" si="2"/>
        <v>32</v>
      </c>
      <c r="I68" s="439">
        <f>C68*Start.listina!$U$7</f>
        <v>32</v>
      </c>
    </row>
    <row r="69" spans="2:9" ht="13.5" customHeight="1">
      <c r="B69" s="437">
        <v>76</v>
      </c>
      <c r="C69" s="438">
        <v>16</v>
      </c>
      <c r="D69" s="438">
        <v>5</v>
      </c>
      <c r="E69" s="438">
        <v>12</v>
      </c>
      <c r="F69" s="160">
        <f t="shared" si="0"/>
        <v>4</v>
      </c>
      <c r="G69" s="160">
        <f t="shared" si="1"/>
        <v>76</v>
      </c>
      <c r="H69" s="160">
        <f t="shared" si="2"/>
        <v>32</v>
      </c>
      <c r="I69" s="439">
        <f>C69*Start.listina!$U$7</f>
        <v>32</v>
      </c>
    </row>
    <row r="70" spans="2:9" ht="13.5" customHeight="1">
      <c r="B70" s="437">
        <v>77</v>
      </c>
      <c r="C70" s="438">
        <v>16</v>
      </c>
      <c r="D70" s="438">
        <v>5</v>
      </c>
      <c r="E70" s="438">
        <v>13</v>
      </c>
      <c r="F70" s="160">
        <f t="shared" si="0"/>
        <v>3</v>
      </c>
      <c r="G70" s="160">
        <f t="shared" si="1"/>
        <v>77</v>
      </c>
      <c r="H70" s="160">
        <f t="shared" si="2"/>
        <v>32</v>
      </c>
      <c r="I70" s="439">
        <f>C70*Start.listina!$U$7</f>
        <v>32</v>
      </c>
    </row>
    <row r="71" spans="2:9" ht="13.5" customHeight="1">
      <c r="B71" s="437">
        <v>78</v>
      </c>
      <c r="C71" s="438">
        <v>16</v>
      </c>
      <c r="D71" s="438">
        <v>5</v>
      </c>
      <c r="E71" s="438">
        <v>14</v>
      </c>
      <c r="F71" s="160">
        <f t="shared" si="0"/>
        <v>2</v>
      </c>
      <c r="G71" s="160">
        <f t="shared" si="1"/>
        <v>78</v>
      </c>
      <c r="H71" s="160">
        <f t="shared" si="2"/>
        <v>32</v>
      </c>
      <c r="I71" s="439">
        <f>C71*Start.listina!$U$7</f>
        <v>32</v>
      </c>
    </row>
    <row r="72" spans="2:9" ht="13.5" customHeight="1">
      <c r="B72" s="437">
        <v>79</v>
      </c>
      <c r="C72" s="438">
        <v>16</v>
      </c>
      <c r="D72" s="438">
        <v>5</v>
      </c>
      <c r="E72" s="438">
        <v>15</v>
      </c>
      <c r="F72" s="160">
        <f t="shared" si="0"/>
        <v>1</v>
      </c>
      <c r="G72" s="160">
        <f t="shared" si="1"/>
        <v>79</v>
      </c>
      <c r="H72" s="160">
        <f t="shared" si="2"/>
        <v>32</v>
      </c>
      <c r="I72" s="439">
        <f>C72*Start.listina!$U$7</f>
        <v>32</v>
      </c>
    </row>
    <row r="73" spans="2:9" ht="13.5" customHeight="1">
      <c r="B73" s="437">
        <v>80</v>
      </c>
      <c r="C73" s="438">
        <v>16</v>
      </c>
      <c r="D73" s="438">
        <v>5</v>
      </c>
      <c r="E73" s="438">
        <v>16</v>
      </c>
      <c r="F73" s="160">
        <f t="shared" si="0"/>
        <v>0</v>
      </c>
      <c r="G73" s="160">
        <f t="shared" si="1"/>
        <v>80</v>
      </c>
      <c r="H73" s="160">
        <f t="shared" si="2"/>
        <v>32</v>
      </c>
      <c r="I73" s="439">
        <f>C73*Start.listina!$U$7</f>
        <v>32</v>
      </c>
    </row>
    <row r="74" spans="2:9" ht="13.5" customHeight="1">
      <c r="B74" s="437">
        <v>81</v>
      </c>
      <c r="C74" s="438">
        <v>16</v>
      </c>
      <c r="D74" s="438">
        <v>6</v>
      </c>
      <c r="E74" s="438">
        <v>1</v>
      </c>
      <c r="F74" s="160">
        <f t="shared" si="0"/>
        <v>15</v>
      </c>
      <c r="G74" s="160">
        <f t="shared" si="1"/>
        <v>81</v>
      </c>
      <c r="H74" s="160">
        <f t="shared" si="2"/>
        <v>33</v>
      </c>
      <c r="I74" s="439">
        <f>C74*Start.listina!$U$7</f>
        <v>32</v>
      </c>
    </row>
    <row r="75" spans="2:9" ht="13.5" customHeight="1">
      <c r="B75" s="437">
        <v>82</v>
      </c>
      <c r="C75" s="438">
        <v>16</v>
      </c>
      <c r="D75" s="438">
        <v>6</v>
      </c>
      <c r="E75" s="438">
        <v>2</v>
      </c>
      <c r="F75" s="160">
        <f t="shared" si="0"/>
        <v>14</v>
      </c>
      <c r="G75" s="160">
        <f t="shared" si="1"/>
        <v>82</v>
      </c>
      <c r="H75" s="160">
        <f t="shared" si="2"/>
        <v>34</v>
      </c>
      <c r="I75" s="439">
        <f>C75*Start.listina!$U$7</f>
        <v>32</v>
      </c>
    </row>
    <row r="76" spans="2:9" ht="13.5" customHeight="1">
      <c r="B76" s="437">
        <v>83</v>
      </c>
      <c r="C76" s="438">
        <v>16</v>
      </c>
      <c r="D76" s="438">
        <v>6</v>
      </c>
      <c r="E76" s="438">
        <v>3</v>
      </c>
      <c r="F76" s="160">
        <f t="shared" si="0"/>
        <v>13</v>
      </c>
      <c r="G76" s="160">
        <f t="shared" si="1"/>
        <v>83</v>
      </c>
      <c r="H76" s="160">
        <f t="shared" si="2"/>
        <v>35</v>
      </c>
      <c r="I76" s="439">
        <f>C76*Start.listina!$U$7</f>
        <v>32</v>
      </c>
    </row>
    <row r="77" spans="2:9" ht="13.5" customHeight="1">
      <c r="B77" s="437">
        <v>84</v>
      </c>
      <c r="C77" s="438">
        <v>16</v>
      </c>
      <c r="D77" s="438">
        <v>6</v>
      </c>
      <c r="E77" s="438">
        <v>4</v>
      </c>
      <c r="F77" s="160">
        <f t="shared" si="0"/>
        <v>12</v>
      </c>
      <c r="G77" s="160">
        <f t="shared" si="1"/>
        <v>84</v>
      </c>
      <c r="H77" s="160">
        <f t="shared" si="2"/>
        <v>36</v>
      </c>
      <c r="I77" s="439">
        <f>C77*Start.listina!$U$7</f>
        <v>32</v>
      </c>
    </row>
    <row r="78" spans="2:9" ht="13.5" customHeight="1">
      <c r="B78" s="437">
        <v>85</v>
      </c>
      <c r="C78" s="438">
        <v>16</v>
      </c>
      <c r="D78" s="438">
        <v>6</v>
      </c>
      <c r="E78" s="438">
        <v>5</v>
      </c>
      <c r="F78" s="160">
        <f t="shared" si="0"/>
        <v>11</v>
      </c>
      <c r="G78" s="160">
        <f t="shared" si="1"/>
        <v>85</v>
      </c>
      <c r="H78" s="160">
        <f t="shared" si="2"/>
        <v>37</v>
      </c>
      <c r="I78" s="439">
        <f>C78*Start.listina!$U$7</f>
        <v>32</v>
      </c>
    </row>
    <row r="79" spans="2:9" ht="13.5" customHeight="1">
      <c r="B79" s="437">
        <v>86</v>
      </c>
      <c r="C79" s="438">
        <v>16</v>
      </c>
      <c r="D79" s="438">
        <v>6</v>
      </c>
      <c r="E79" s="438">
        <v>6</v>
      </c>
      <c r="F79" s="160">
        <f t="shared" si="0"/>
        <v>10</v>
      </c>
      <c r="G79" s="160">
        <f t="shared" si="1"/>
        <v>86</v>
      </c>
      <c r="H79" s="160">
        <f t="shared" si="2"/>
        <v>38</v>
      </c>
      <c r="I79" s="439">
        <f>C79*Start.listina!$U$7</f>
        <v>32</v>
      </c>
    </row>
    <row r="80" spans="2:9" ht="13.5" customHeight="1">
      <c r="B80" s="437">
        <v>87</v>
      </c>
      <c r="C80" s="438">
        <v>16</v>
      </c>
      <c r="D80" s="438">
        <v>6</v>
      </c>
      <c r="E80" s="438">
        <v>7</v>
      </c>
      <c r="F80" s="160">
        <f t="shared" si="0"/>
        <v>9</v>
      </c>
      <c r="G80" s="160">
        <f t="shared" si="1"/>
        <v>87</v>
      </c>
      <c r="H80" s="160">
        <f t="shared" si="2"/>
        <v>39</v>
      </c>
      <c r="I80" s="439">
        <f>C80*Start.listina!$U$7</f>
        <v>32</v>
      </c>
    </row>
    <row r="81" spans="2:9" ht="13.5" customHeight="1">
      <c r="B81" s="437">
        <v>88</v>
      </c>
      <c r="C81" s="438">
        <v>16</v>
      </c>
      <c r="D81" s="438">
        <v>6</v>
      </c>
      <c r="E81" s="438">
        <v>8</v>
      </c>
      <c r="F81" s="160">
        <f t="shared" si="0"/>
        <v>8</v>
      </c>
      <c r="G81" s="160">
        <f t="shared" si="1"/>
        <v>88</v>
      </c>
      <c r="H81" s="160">
        <f t="shared" si="2"/>
        <v>40</v>
      </c>
      <c r="I81" s="439">
        <f>C81*Start.listina!$U$7</f>
        <v>32</v>
      </c>
    </row>
    <row r="82" spans="2:9" ht="13.5" customHeight="1">
      <c r="B82" s="437">
        <v>89</v>
      </c>
      <c r="C82" s="438">
        <v>16</v>
      </c>
      <c r="D82" s="438">
        <v>6</v>
      </c>
      <c r="E82" s="438">
        <v>9</v>
      </c>
      <c r="F82" s="160">
        <f t="shared" si="0"/>
        <v>7</v>
      </c>
      <c r="G82" s="160">
        <f t="shared" si="1"/>
        <v>89</v>
      </c>
      <c r="H82" s="160">
        <f t="shared" si="2"/>
        <v>41</v>
      </c>
      <c r="I82" s="439">
        <f>C82*Start.listina!$U$7</f>
        <v>32</v>
      </c>
    </row>
    <row r="83" spans="2:9" ht="13.5" customHeight="1">
      <c r="B83" s="437">
        <v>90</v>
      </c>
      <c r="C83" s="438">
        <v>16</v>
      </c>
      <c r="D83" s="438">
        <v>6</v>
      </c>
      <c r="E83" s="438">
        <v>10</v>
      </c>
      <c r="F83" s="160">
        <f t="shared" si="0"/>
        <v>6</v>
      </c>
      <c r="G83" s="160">
        <f t="shared" si="1"/>
        <v>90</v>
      </c>
      <c r="H83" s="160">
        <f t="shared" si="2"/>
        <v>42</v>
      </c>
      <c r="I83" s="439">
        <f>C83*Start.listina!$U$7</f>
        <v>32</v>
      </c>
    </row>
    <row r="84" spans="2:9" ht="13.5" customHeight="1">
      <c r="B84" s="437">
        <v>91</v>
      </c>
      <c r="C84" s="438">
        <v>16</v>
      </c>
      <c r="D84" s="438">
        <v>6</v>
      </c>
      <c r="E84" s="438">
        <v>11</v>
      </c>
      <c r="F84" s="160">
        <f t="shared" si="0"/>
        <v>5</v>
      </c>
      <c r="G84" s="160">
        <f t="shared" si="1"/>
        <v>91</v>
      </c>
      <c r="H84" s="160">
        <f t="shared" si="2"/>
        <v>43</v>
      </c>
      <c r="I84" s="439">
        <f>C84*Start.listina!$U$7</f>
        <v>32</v>
      </c>
    </row>
    <row r="85" spans="2:9" ht="13.5" customHeight="1">
      <c r="B85" s="437">
        <v>92</v>
      </c>
      <c r="C85" s="438">
        <v>16</v>
      </c>
      <c r="D85" s="438">
        <v>6</v>
      </c>
      <c r="E85" s="438">
        <v>12</v>
      </c>
      <c r="F85" s="160">
        <f t="shared" si="0"/>
        <v>4</v>
      </c>
      <c r="G85" s="160">
        <f t="shared" si="1"/>
        <v>92</v>
      </c>
      <c r="H85" s="160">
        <f t="shared" si="2"/>
        <v>44</v>
      </c>
      <c r="I85" s="439">
        <f>C85*Start.listina!$U$7</f>
        <v>32</v>
      </c>
    </row>
    <row r="86" spans="2:9" ht="13.5" customHeight="1">
      <c r="B86" s="437">
        <v>93</v>
      </c>
      <c r="C86" s="438">
        <v>16</v>
      </c>
      <c r="D86" s="438">
        <v>6</v>
      </c>
      <c r="E86" s="438">
        <v>13</v>
      </c>
      <c r="F86" s="160">
        <f t="shared" si="0"/>
        <v>3</v>
      </c>
      <c r="G86" s="160">
        <f t="shared" si="1"/>
        <v>93</v>
      </c>
      <c r="H86" s="160">
        <f t="shared" si="2"/>
        <v>45</v>
      </c>
      <c r="I86" s="439">
        <f>C86*Start.listina!$U$7</f>
        <v>32</v>
      </c>
    </row>
    <row r="87" spans="2:9" ht="13.5" customHeight="1">
      <c r="B87" s="437">
        <v>94</v>
      </c>
      <c r="C87" s="438">
        <v>16</v>
      </c>
      <c r="D87" s="438">
        <v>6</v>
      </c>
      <c r="E87" s="438">
        <v>14</v>
      </c>
      <c r="F87" s="160">
        <f t="shared" si="0"/>
        <v>2</v>
      </c>
      <c r="G87" s="160">
        <f t="shared" si="1"/>
        <v>94</v>
      </c>
      <c r="H87" s="160">
        <f t="shared" si="2"/>
        <v>46</v>
      </c>
      <c r="I87" s="439">
        <f>C87*Start.listina!$U$7</f>
        <v>32</v>
      </c>
    </row>
    <row r="88" spans="2:9" ht="13.5" customHeight="1">
      <c r="B88" s="437">
        <v>95</v>
      </c>
      <c r="C88" s="438">
        <v>16</v>
      </c>
      <c r="D88" s="438">
        <v>6</v>
      </c>
      <c r="E88" s="438">
        <v>15</v>
      </c>
      <c r="F88" s="160">
        <f t="shared" si="0"/>
        <v>1</v>
      </c>
      <c r="G88" s="160">
        <f t="shared" si="1"/>
        <v>95</v>
      </c>
      <c r="H88" s="160">
        <f t="shared" si="2"/>
        <v>47</v>
      </c>
      <c r="I88" s="439">
        <f>C88*Start.listina!$U$7</f>
        <v>32</v>
      </c>
    </row>
    <row r="89" spans="2:9" ht="13.5" customHeight="1">
      <c r="B89" s="437">
        <v>96</v>
      </c>
      <c r="C89" s="438">
        <v>32</v>
      </c>
      <c r="D89" s="438">
        <v>3</v>
      </c>
      <c r="E89" s="438">
        <v>32</v>
      </c>
      <c r="F89" s="160">
        <f t="shared" si="0"/>
        <v>0</v>
      </c>
      <c r="G89" s="160">
        <f t="shared" si="1"/>
        <v>96</v>
      </c>
      <c r="H89" s="160">
        <f t="shared" si="2"/>
        <v>32</v>
      </c>
      <c r="I89" s="439">
        <f>C89*Start.listina!$U$7</f>
        <v>64</v>
      </c>
    </row>
    <row r="90" spans="2:9" ht="13.5" customHeight="1">
      <c r="B90" s="437">
        <v>97</v>
      </c>
      <c r="C90" s="438">
        <v>32</v>
      </c>
      <c r="D90" s="438">
        <v>4</v>
      </c>
      <c r="E90" s="438">
        <v>1</v>
      </c>
      <c r="F90" s="160">
        <f t="shared" si="0"/>
        <v>31</v>
      </c>
      <c r="G90" s="160">
        <f t="shared" si="1"/>
        <v>97</v>
      </c>
      <c r="H90" s="160">
        <f t="shared" si="2"/>
        <v>33</v>
      </c>
      <c r="I90" s="439">
        <f>C90*Start.listina!$U$7</f>
        <v>64</v>
      </c>
    </row>
    <row r="91" spans="2:9" ht="13.5" customHeight="1">
      <c r="B91" s="437">
        <v>98</v>
      </c>
      <c r="C91" s="438">
        <v>32</v>
      </c>
      <c r="D91" s="438">
        <v>4</v>
      </c>
      <c r="E91" s="438">
        <v>2</v>
      </c>
      <c r="F91" s="160">
        <f t="shared" si="0"/>
        <v>30</v>
      </c>
      <c r="G91" s="160">
        <f t="shared" si="1"/>
        <v>98</v>
      </c>
      <c r="H91" s="160">
        <f t="shared" si="2"/>
        <v>34</v>
      </c>
      <c r="I91" s="439">
        <f>C91*Start.listina!$U$7</f>
        <v>64</v>
      </c>
    </row>
    <row r="92" spans="2:9" ht="13.5" customHeight="1">
      <c r="B92" s="437">
        <v>99</v>
      </c>
      <c r="C92" s="438">
        <v>32</v>
      </c>
      <c r="D92" s="438">
        <v>4</v>
      </c>
      <c r="E92" s="438">
        <v>3</v>
      </c>
      <c r="F92" s="160">
        <f t="shared" si="0"/>
        <v>29</v>
      </c>
      <c r="G92" s="160">
        <f t="shared" si="1"/>
        <v>99</v>
      </c>
      <c r="H92" s="160">
        <f t="shared" si="2"/>
        <v>35</v>
      </c>
      <c r="I92" s="439">
        <f>C92*Start.listina!$U$7</f>
        <v>64</v>
      </c>
    </row>
    <row r="93" spans="2:9" ht="13.5" customHeight="1">
      <c r="B93" s="437">
        <v>100</v>
      </c>
      <c r="C93" s="438">
        <v>32</v>
      </c>
      <c r="D93" s="438">
        <v>4</v>
      </c>
      <c r="E93" s="438">
        <v>4</v>
      </c>
      <c r="F93" s="160">
        <f t="shared" si="0"/>
        <v>28</v>
      </c>
      <c r="G93" s="160">
        <f t="shared" si="1"/>
        <v>100</v>
      </c>
      <c r="H93" s="160">
        <f t="shared" si="2"/>
        <v>36</v>
      </c>
      <c r="I93" s="439">
        <f>C93*Start.listina!$U$7</f>
        <v>64</v>
      </c>
    </row>
    <row r="94" spans="2:9" ht="13.5" customHeight="1">
      <c r="B94" s="437">
        <v>101</v>
      </c>
      <c r="C94" s="438">
        <v>32</v>
      </c>
      <c r="D94" s="438">
        <v>4</v>
      </c>
      <c r="E94" s="438">
        <v>5</v>
      </c>
      <c r="F94" s="160">
        <f t="shared" si="0"/>
        <v>27</v>
      </c>
      <c r="G94" s="160">
        <f t="shared" si="1"/>
        <v>101</v>
      </c>
      <c r="H94" s="160">
        <f t="shared" si="2"/>
        <v>37</v>
      </c>
      <c r="I94" s="439">
        <f>C94*Start.listina!$U$7</f>
        <v>64</v>
      </c>
    </row>
    <row r="95" spans="2:9" ht="13.5" customHeight="1">
      <c r="B95" s="437">
        <v>102</v>
      </c>
      <c r="C95" s="438">
        <v>32</v>
      </c>
      <c r="D95" s="438">
        <v>4</v>
      </c>
      <c r="E95" s="438">
        <v>6</v>
      </c>
      <c r="F95" s="160">
        <f t="shared" si="0"/>
        <v>26</v>
      </c>
      <c r="G95" s="160">
        <f t="shared" si="1"/>
        <v>102</v>
      </c>
      <c r="H95" s="160">
        <f t="shared" si="2"/>
        <v>38</v>
      </c>
      <c r="I95" s="439">
        <f>C95*Start.listina!$U$7</f>
        <v>64</v>
      </c>
    </row>
    <row r="96" spans="2:9" ht="13.5" customHeight="1">
      <c r="B96" s="437">
        <v>103</v>
      </c>
      <c r="C96" s="438">
        <v>32</v>
      </c>
      <c r="D96" s="438">
        <v>4</v>
      </c>
      <c r="E96" s="438">
        <v>7</v>
      </c>
      <c r="F96" s="160">
        <f t="shared" si="0"/>
        <v>25</v>
      </c>
      <c r="G96" s="160">
        <f t="shared" si="1"/>
        <v>103</v>
      </c>
      <c r="H96" s="160">
        <f t="shared" si="2"/>
        <v>39</v>
      </c>
      <c r="I96" s="439">
        <f>C96*Start.listina!$U$7</f>
        <v>64</v>
      </c>
    </row>
    <row r="97" spans="2:9" ht="13.5" customHeight="1">
      <c r="B97" s="437">
        <v>104</v>
      </c>
      <c r="C97" s="438">
        <v>32</v>
      </c>
      <c r="D97" s="438">
        <v>4</v>
      </c>
      <c r="E97" s="438">
        <v>8</v>
      </c>
      <c r="F97" s="160">
        <f t="shared" si="0"/>
        <v>24</v>
      </c>
      <c r="G97" s="160">
        <f t="shared" si="1"/>
        <v>104</v>
      </c>
      <c r="H97" s="160">
        <f t="shared" si="2"/>
        <v>40</v>
      </c>
      <c r="I97" s="439">
        <f>C97*Start.listina!$U$7</f>
        <v>64</v>
      </c>
    </row>
    <row r="98" spans="2:9" ht="13.5" customHeight="1">
      <c r="B98" s="437">
        <v>105</v>
      </c>
      <c r="C98" s="438">
        <v>32</v>
      </c>
      <c r="D98" s="438">
        <v>4</v>
      </c>
      <c r="E98" s="438">
        <v>9</v>
      </c>
      <c r="F98" s="160">
        <f t="shared" si="0"/>
        <v>23</v>
      </c>
      <c r="G98" s="160">
        <f t="shared" si="1"/>
        <v>105</v>
      </c>
      <c r="H98" s="160">
        <f t="shared" si="2"/>
        <v>41</v>
      </c>
      <c r="I98" s="439">
        <f>C98*Start.listina!$U$7</f>
        <v>64</v>
      </c>
    </row>
    <row r="99" spans="2:9" ht="13.5" customHeight="1">
      <c r="B99" s="437">
        <v>106</v>
      </c>
      <c r="C99" s="438">
        <v>32</v>
      </c>
      <c r="D99" s="438">
        <v>4</v>
      </c>
      <c r="E99" s="438">
        <v>10</v>
      </c>
      <c r="F99" s="160">
        <f t="shared" si="0"/>
        <v>22</v>
      </c>
      <c r="G99" s="160">
        <f t="shared" si="1"/>
        <v>106</v>
      </c>
      <c r="H99" s="160">
        <f t="shared" si="2"/>
        <v>42</v>
      </c>
      <c r="I99" s="439">
        <f>C99*Start.listina!$U$7</f>
        <v>64</v>
      </c>
    </row>
    <row r="100" spans="2:9" ht="13.5" customHeight="1">
      <c r="B100" s="437">
        <v>107</v>
      </c>
      <c r="C100" s="438">
        <v>32</v>
      </c>
      <c r="D100" s="438">
        <v>4</v>
      </c>
      <c r="E100" s="438">
        <v>11</v>
      </c>
      <c r="F100" s="160">
        <f t="shared" si="0"/>
        <v>21</v>
      </c>
      <c r="G100" s="160">
        <f t="shared" si="1"/>
        <v>107</v>
      </c>
      <c r="H100" s="160">
        <f t="shared" si="2"/>
        <v>43</v>
      </c>
      <c r="I100" s="439">
        <f>C100*Start.listina!$U$7</f>
        <v>64</v>
      </c>
    </row>
    <row r="101" spans="2:9" ht="13.5" customHeight="1">
      <c r="B101" s="437">
        <v>108</v>
      </c>
      <c r="C101" s="438">
        <v>32</v>
      </c>
      <c r="D101" s="438">
        <v>4</v>
      </c>
      <c r="E101" s="438">
        <v>12</v>
      </c>
      <c r="F101" s="160">
        <f t="shared" si="0"/>
        <v>20</v>
      </c>
      <c r="G101" s="160">
        <f t="shared" si="1"/>
        <v>108</v>
      </c>
      <c r="H101" s="160">
        <f t="shared" si="2"/>
        <v>44</v>
      </c>
      <c r="I101" s="439">
        <f>C101*Start.listina!$U$7</f>
        <v>64</v>
      </c>
    </row>
    <row r="102" spans="2:9" ht="13.5" customHeight="1">
      <c r="B102" s="437">
        <v>109</v>
      </c>
      <c r="C102" s="438">
        <v>32</v>
      </c>
      <c r="D102" s="438">
        <v>4</v>
      </c>
      <c r="E102" s="438">
        <v>13</v>
      </c>
      <c r="F102" s="160">
        <f t="shared" si="0"/>
        <v>19</v>
      </c>
      <c r="G102" s="160">
        <f t="shared" si="1"/>
        <v>109</v>
      </c>
      <c r="H102" s="160">
        <f t="shared" si="2"/>
        <v>45</v>
      </c>
      <c r="I102" s="439">
        <f>C102*Start.listina!$U$7</f>
        <v>64</v>
      </c>
    </row>
    <row r="103" spans="2:9" ht="13.5" customHeight="1">
      <c r="B103" s="437">
        <v>110</v>
      </c>
      <c r="C103" s="438">
        <v>32</v>
      </c>
      <c r="D103" s="438">
        <v>4</v>
      </c>
      <c r="E103" s="438">
        <v>14</v>
      </c>
      <c r="F103" s="160">
        <f t="shared" si="0"/>
        <v>18</v>
      </c>
      <c r="G103" s="160">
        <f t="shared" si="1"/>
        <v>110</v>
      </c>
      <c r="H103" s="160">
        <f t="shared" si="2"/>
        <v>46</v>
      </c>
      <c r="I103" s="439">
        <f>C103*Start.listina!$U$7</f>
        <v>64</v>
      </c>
    </row>
    <row r="104" spans="2:9" ht="13.5" customHeight="1">
      <c r="B104" s="437">
        <v>111</v>
      </c>
      <c r="C104" s="438">
        <v>32</v>
      </c>
      <c r="D104" s="438">
        <v>4</v>
      </c>
      <c r="E104" s="438">
        <v>15</v>
      </c>
      <c r="F104" s="160">
        <f t="shared" si="0"/>
        <v>17</v>
      </c>
      <c r="G104" s="160">
        <f t="shared" si="1"/>
        <v>111</v>
      </c>
      <c r="H104" s="160">
        <f t="shared" si="2"/>
        <v>47</v>
      </c>
      <c r="I104" s="439">
        <f>C104*Start.listina!$U$7</f>
        <v>64</v>
      </c>
    </row>
    <row r="105" spans="2:9" ht="13.5" customHeight="1">
      <c r="B105" s="437">
        <v>112</v>
      </c>
      <c r="C105" s="438">
        <v>32</v>
      </c>
      <c r="D105" s="438">
        <v>4</v>
      </c>
      <c r="E105" s="438">
        <v>16</v>
      </c>
      <c r="F105" s="160">
        <f t="shared" si="0"/>
        <v>16</v>
      </c>
      <c r="G105" s="160">
        <f t="shared" si="1"/>
        <v>112</v>
      </c>
      <c r="H105" s="160">
        <f t="shared" si="2"/>
        <v>48</v>
      </c>
      <c r="I105" s="439">
        <f>C105*Start.listina!$U$7</f>
        <v>64</v>
      </c>
    </row>
    <row r="106" spans="2:9" ht="13.5" customHeight="1">
      <c r="B106" s="437">
        <v>113</v>
      </c>
      <c r="C106" s="438">
        <v>32</v>
      </c>
      <c r="D106" s="438">
        <v>4</v>
      </c>
      <c r="E106" s="438">
        <v>17</v>
      </c>
      <c r="F106" s="160">
        <f t="shared" si="0"/>
        <v>15</v>
      </c>
      <c r="G106" s="160">
        <f t="shared" si="1"/>
        <v>113</v>
      </c>
      <c r="H106" s="160">
        <f t="shared" si="2"/>
        <v>49</v>
      </c>
      <c r="I106" s="439">
        <f>C106*Start.listina!$U$7</f>
        <v>64</v>
      </c>
    </row>
    <row r="107" spans="2:9" ht="13.5" customHeight="1">
      <c r="B107" s="437">
        <v>114</v>
      </c>
      <c r="C107" s="438">
        <v>32</v>
      </c>
      <c r="D107" s="438">
        <v>4</v>
      </c>
      <c r="E107" s="438">
        <v>18</v>
      </c>
      <c r="F107" s="160">
        <f t="shared" si="0"/>
        <v>14</v>
      </c>
      <c r="G107" s="160">
        <f t="shared" si="1"/>
        <v>114</v>
      </c>
      <c r="H107" s="160">
        <f t="shared" si="2"/>
        <v>50</v>
      </c>
      <c r="I107" s="439">
        <f>C107*Start.listina!$U$7</f>
        <v>64</v>
      </c>
    </row>
    <row r="108" spans="2:9" ht="13.5" customHeight="1">
      <c r="B108" s="437">
        <v>115</v>
      </c>
      <c r="C108" s="438">
        <v>32</v>
      </c>
      <c r="D108" s="438">
        <v>4</v>
      </c>
      <c r="E108" s="438">
        <v>19</v>
      </c>
      <c r="F108" s="160">
        <f t="shared" si="0"/>
        <v>13</v>
      </c>
      <c r="G108" s="160">
        <f t="shared" si="1"/>
        <v>115</v>
      </c>
      <c r="H108" s="160">
        <f t="shared" si="2"/>
        <v>51</v>
      </c>
      <c r="I108" s="439">
        <f>C108*Start.listina!$U$7</f>
        <v>64</v>
      </c>
    </row>
    <row r="109" spans="2:9" ht="13.5" customHeight="1">
      <c r="B109" s="437">
        <v>116</v>
      </c>
      <c r="C109" s="438">
        <v>32</v>
      </c>
      <c r="D109" s="438">
        <v>4</v>
      </c>
      <c r="E109" s="438">
        <v>20</v>
      </c>
      <c r="F109" s="160">
        <f t="shared" si="0"/>
        <v>12</v>
      </c>
      <c r="G109" s="160">
        <f t="shared" si="1"/>
        <v>116</v>
      </c>
      <c r="H109" s="160">
        <f t="shared" si="2"/>
        <v>52</v>
      </c>
      <c r="I109" s="439">
        <f>C109*Start.listina!$U$7</f>
        <v>64</v>
      </c>
    </row>
    <row r="110" spans="2:9" ht="13.5" customHeight="1">
      <c r="B110" s="437">
        <v>117</v>
      </c>
      <c r="C110" s="438">
        <v>32</v>
      </c>
      <c r="D110" s="438">
        <v>4</v>
      </c>
      <c r="E110" s="438">
        <v>21</v>
      </c>
      <c r="F110" s="160">
        <f t="shared" si="0"/>
        <v>11</v>
      </c>
      <c r="G110" s="160">
        <f t="shared" si="1"/>
        <v>117</v>
      </c>
      <c r="H110" s="160">
        <f t="shared" si="2"/>
        <v>53</v>
      </c>
      <c r="I110" s="439">
        <f>C110*Start.listina!$U$7</f>
        <v>64</v>
      </c>
    </row>
    <row r="111" spans="2:9" ht="13.5" customHeight="1">
      <c r="B111" s="437">
        <v>118</v>
      </c>
      <c r="C111" s="438">
        <v>32</v>
      </c>
      <c r="D111" s="438">
        <v>4</v>
      </c>
      <c r="E111" s="438">
        <v>22</v>
      </c>
      <c r="F111" s="160">
        <f t="shared" si="0"/>
        <v>10</v>
      </c>
      <c r="G111" s="160">
        <f t="shared" si="1"/>
        <v>118</v>
      </c>
      <c r="H111" s="160">
        <f t="shared" si="2"/>
        <v>54</v>
      </c>
      <c r="I111" s="439">
        <f>C111*Start.listina!$U$7</f>
        <v>64</v>
      </c>
    </row>
    <row r="112" spans="2:9" ht="13.5" customHeight="1">
      <c r="B112" s="437">
        <v>119</v>
      </c>
      <c r="C112" s="438">
        <v>32</v>
      </c>
      <c r="D112" s="438">
        <v>4</v>
      </c>
      <c r="E112" s="438">
        <v>23</v>
      </c>
      <c r="F112" s="160">
        <f t="shared" si="0"/>
        <v>9</v>
      </c>
      <c r="G112" s="160">
        <f t="shared" si="1"/>
        <v>119</v>
      </c>
      <c r="H112" s="160">
        <f t="shared" si="2"/>
        <v>55</v>
      </c>
      <c r="I112" s="439">
        <f>C112*Start.listina!$U$7</f>
        <v>64</v>
      </c>
    </row>
    <row r="113" spans="2:9" ht="13.5" customHeight="1">
      <c r="B113" s="437">
        <v>120</v>
      </c>
      <c r="C113" s="438">
        <v>32</v>
      </c>
      <c r="D113" s="438">
        <v>4</v>
      </c>
      <c r="E113" s="438">
        <v>24</v>
      </c>
      <c r="F113" s="160">
        <f t="shared" si="0"/>
        <v>8</v>
      </c>
      <c r="G113" s="160">
        <f t="shared" si="1"/>
        <v>120</v>
      </c>
      <c r="H113" s="160">
        <f t="shared" si="2"/>
        <v>56</v>
      </c>
      <c r="I113" s="439">
        <f>C113*Start.listina!$U$7</f>
        <v>64</v>
      </c>
    </row>
    <row r="114" spans="2:9" ht="13.5" customHeight="1">
      <c r="B114" s="437">
        <v>121</v>
      </c>
      <c r="C114" s="438">
        <v>32</v>
      </c>
      <c r="D114" s="438">
        <v>4</v>
      </c>
      <c r="E114" s="438">
        <v>25</v>
      </c>
      <c r="F114" s="160">
        <f t="shared" si="0"/>
        <v>7</v>
      </c>
      <c r="G114" s="160">
        <f t="shared" si="1"/>
        <v>121</v>
      </c>
      <c r="H114" s="160">
        <f t="shared" si="2"/>
        <v>57</v>
      </c>
      <c r="I114" s="439">
        <f>C114*Start.listina!$U$7</f>
        <v>64</v>
      </c>
    </row>
    <row r="115" spans="2:9" ht="13.5" customHeight="1">
      <c r="B115" s="437">
        <v>122</v>
      </c>
      <c r="C115" s="438">
        <v>32</v>
      </c>
      <c r="D115" s="438">
        <v>4</v>
      </c>
      <c r="E115" s="438">
        <v>26</v>
      </c>
      <c r="F115" s="160">
        <f t="shared" si="0"/>
        <v>6</v>
      </c>
      <c r="G115" s="160">
        <f t="shared" si="1"/>
        <v>122</v>
      </c>
      <c r="H115" s="160">
        <f t="shared" si="2"/>
        <v>58</v>
      </c>
      <c r="I115" s="439">
        <f>C115*Start.listina!$U$7</f>
        <v>64</v>
      </c>
    </row>
    <row r="116" spans="2:9" ht="13.5" customHeight="1">
      <c r="B116" s="437">
        <v>123</v>
      </c>
      <c r="C116" s="438">
        <v>32</v>
      </c>
      <c r="D116" s="438">
        <v>4</v>
      </c>
      <c r="E116" s="438">
        <v>27</v>
      </c>
      <c r="F116" s="160">
        <f t="shared" si="0"/>
        <v>5</v>
      </c>
      <c r="G116" s="160">
        <f t="shared" si="1"/>
        <v>123</v>
      </c>
      <c r="H116" s="160">
        <f t="shared" si="2"/>
        <v>59</v>
      </c>
      <c r="I116" s="439">
        <f>C116*Start.listina!$U$7</f>
        <v>64</v>
      </c>
    </row>
    <row r="117" spans="2:9" ht="13.5" customHeight="1">
      <c r="B117" s="437">
        <v>124</v>
      </c>
      <c r="C117" s="438">
        <v>32</v>
      </c>
      <c r="D117" s="438">
        <v>4</v>
      </c>
      <c r="E117" s="438">
        <v>28</v>
      </c>
      <c r="F117" s="160">
        <f t="shared" si="0"/>
        <v>4</v>
      </c>
      <c r="G117" s="160">
        <f t="shared" si="1"/>
        <v>124</v>
      </c>
      <c r="H117" s="160">
        <f t="shared" si="2"/>
        <v>60</v>
      </c>
      <c r="I117" s="439">
        <f>C117*Start.listina!$U$7</f>
        <v>64</v>
      </c>
    </row>
    <row r="118" spans="2:9" ht="13.5" customHeight="1">
      <c r="B118" s="437">
        <v>125</v>
      </c>
      <c r="C118" s="438">
        <v>32</v>
      </c>
      <c r="D118" s="438">
        <v>4</v>
      </c>
      <c r="E118" s="438">
        <v>29</v>
      </c>
      <c r="F118" s="160">
        <f t="shared" si="0"/>
        <v>3</v>
      </c>
      <c r="G118" s="160">
        <f t="shared" si="1"/>
        <v>125</v>
      </c>
      <c r="H118" s="160">
        <f t="shared" si="2"/>
        <v>61</v>
      </c>
      <c r="I118" s="439">
        <f>C118*Start.listina!$U$7</f>
        <v>64</v>
      </c>
    </row>
    <row r="119" spans="2:9" ht="13.5" customHeight="1">
      <c r="B119" s="437">
        <v>126</v>
      </c>
      <c r="C119" s="438">
        <v>32</v>
      </c>
      <c r="D119" s="438">
        <v>4</v>
      </c>
      <c r="E119" s="438">
        <v>30</v>
      </c>
      <c r="F119" s="160">
        <f t="shared" si="0"/>
        <v>2</v>
      </c>
      <c r="G119" s="160">
        <f t="shared" si="1"/>
        <v>126</v>
      </c>
      <c r="H119" s="160">
        <f t="shared" si="2"/>
        <v>62</v>
      </c>
      <c r="I119" s="439">
        <f>C119*Start.listina!$U$7</f>
        <v>64</v>
      </c>
    </row>
    <row r="120" spans="2:9" ht="13.5" customHeight="1">
      <c r="B120" s="437">
        <v>127</v>
      </c>
      <c r="C120" s="438">
        <v>32</v>
      </c>
      <c r="D120" s="438">
        <v>4</v>
      </c>
      <c r="E120" s="438">
        <v>31</v>
      </c>
      <c r="F120" s="160">
        <f t="shared" si="0"/>
        <v>1</v>
      </c>
      <c r="G120" s="160">
        <f t="shared" si="1"/>
        <v>127</v>
      </c>
      <c r="H120" s="160">
        <f t="shared" si="2"/>
        <v>63</v>
      </c>
      <c r="I120" s="439">
        <f>C120*Start.listina!$U$7</f>
        <v>64</v>
      </c>
    </row>
    <row r="121" spans="2:9" ht="13.5" customHeight="1">
      <c r="B121" s="437">
        <v>128</v>
      </c>
      <c r="C121" s="438">
        <v>32</v>
      </c>
      <c r="D121" s="438">
        <v>4</v>
      </c>
      <c r="E121" s="438">
        <v>32</v>
      </c>
      <c r="F121" s="160">
        <f t="shared" si="0"/>
        <v>0</v>
      </c>
      <c r="G121" s="160">
        <f t="shared" si="1"/>
        <v>128</v>
      </c>
      <c r="H121" s="160">
        <f t="shared" si="2"/>
        <v>64</v>
      </c>
      <c r="I121" s="439">
        <f>C121*Start.listina!$U$7</f>
        <v>64</v>
      </c>
    </row>
    <row r="122" spans="2:9" ht="12" customHeight="1"/>
    <row r="123" spans="2:9" ht="12" customHeight="1"/>
    <row r="124" spans="2:9" ht="12" customHeight="1"/>
    <row r="125" spans="2:9" ht="12" customHeight="1"/>
    <row r="126" spans="2:9" ht="12" customHeight="1"/>
    <row r="127" spans="2:9" ht="12" customHeight="1"/>
    <row r="128" spans="2:9"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B5:B121">
    <cfRule type="expression" dxfId="2" priority="1">
      <formula>IF(B5=G5,FALSE,TRUE)</formula>
    </cfRule>
  </conditionalFormatting>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1000"/>
  <sheetViews>
    <sheetView workbookViewId="0"/>
  </sheetViews>
  <sheetFormatPr defaultColWidth="14.375" defaultRowHeight="15" customHeight="1"/>
  <cols>
    <col min="1" max="1" width="12.25" customWidth="1"/>
    <col min="2" max="2" width="6.375" customWidth="1"/>
    <col min="3" max="3" width="2.875" customWidth="1"/>
    <col min="4" max="4" width="2.375" customWidth="1"/>
    <col min="5" max="5" width="3.625" customWidth="1"/>
    <col min="6" max="6" width="2.25" customWidth="1"/>
    <col min="7" max="7" width="1.75" customWidth="1"/>
    <col min="8" max="8" width="2.75" customWidth="1"/>
    <col min="9" max="9" width="5.125" customWidth="1"/>
    <col min="10" max="10" width="2.25" customWidth="1"/>
    <col min="11" max="11" width="1.75" customWidth="1"/>
    <col min="12" max="12" width="3.25" customWidth="1"/>
    <col min="13" max="13" width="7.125" customWidth="1"/>
    <col min="14" max="14" width="2.25" customWidth="1"/>
    <col min="15" max="15" width="1.75" customWidth="1"/>
    <col min="16" max="16" width="2.25" customWidth="1"/>
    <col min="17" max="17" width="6.125" customWidth="1"/>
    <col min="18" max="18" width="2.25" customWidth="1"/>
    <col min="19" max="19" width="1.75" customWidth="1"/>
    <col min="20" max="24" width="2.25" customWidth="1"/>
    <col min="25" max="25" width="68.125" customWidth="1"/>
    <col min="26" max="31" width="8" customWidth="1"/>
  </cols>
  <sheetData>
    <row r="1" spans="1:31" ht="17.25" customHeight="1">
      <c r="A1" s="440" t="s">
        <v>1916</v>
      </c>
      <c r="B1" s="255"/>
      <c r="C1" s="255"/>
      <c r="D1" s="255"/>
      <c r="E1" s="255"/>
      <c r="F1" s="255"/>
      <c r="G1" s="255"/>
      <c r="H1" s="255"/>
      <c r="I1" s="255"/>
      <c r="J1" s="255"/>
      <c r="K1" s="255"/>
      <c r="L1" s="255"/>
      <c r="M1" s="255"/>
      <c r="N1" s="255"/>
      <c r="O1" s="255"/>
      <c r="P1" s="255"/>
      <c r="Q1" s="255"/>
      <c r="R1" s="255"/>
      <c r="S1" s="255"/>
      <c r="T1" s="255"/>
      <c r="U1" s="255"/>
      <c r="V1" s="255"/>
      <c r="W1" s="255"/>
      <c r="X1" s="255"/>
      <c r="Y1" s="255"/>
      <c r="Z1" s="441"/>
      <c r="AA1" s="441" t="s">
        <v>1917</v>
      </c>
      <c r="AB1" s="441" t="s">
        <v>1918</v>
      </c>
      <c r="AC1" s="441" t="s">
        <v>1803</v>
      </c>
      <c r="AD1" s="441" t="s">
        <v>1797</v>
      </c>
      <c r="AE1" s="255"/>
    </row>
    <row r="2" spans="1:31" ht="17.25" customHeight="1">
      <c r="A2" s="255"/>
      <c r="B2" s="255"/>
      <c r="C2" s="255"/>
      <c r="D2" s="255"/>
      <c r="E2" s="255"/>
      <c r="F2" s="255"/>
      <c r="G2" s="255"/>
      <c r="H2" s="255"/>
      <c r="I2" s="255"/>
      <c r="J2" s="255"/>
      <c r="K2" s="255"/>
      <c r="L2" s="255"/>
      <c r="M2" s="255"/>
      <c r="N2" s="255"/>
      <c r="O2" s="255"/>
      <c r="P2" s="255"/>
      <c r="Q2" s="255"/>
      <c r="R2" s="255"/>
      <c r="S2" s="255"/>
      <c r="T2" s="255"/>
      <c r="U2" s="255"/>
      <c r="V2" s="255"/>
      <c r="W2" s="255"/>
      <c r="X2" s="255"/>
      <c r="Y2" s="255"/>
      <c r="Z2" s="441"/>
      <c r="AA2" s="442" t="s">
        <v>1919</v>
      </c>
      <c r="AB2" s="442"/>
      <c r="AC2" s="443"/>
      <c r="AD2" s="443"/>
      <c r="AE2" s="443"/>
    </row>
    <row r="3" spans="1:31" ht="17.25" customHeight="1">
      <c r="A3" s="442" t="s">
        <v>1919</v>
      </c>
      <c r="B3" s="443"/>
      <c r="C3" s="443"/>
      <c r="D3" s="443"/>
      <c r="E3" s="255"/>
      <c r="F3" s="255"/>
      <c r="G3" s="255"/>
      <c r="H3" s="255"/>
      <c r="I3" s="255"/>
      <c r="J3" s="255"/>
      <c r="K3" s="255"/>
      <c r="L3" s="255"/>
      <c r="M3" s="255"/>
      <c r="N3" s="255"/>
      <c r="O3" s="255"/>
      <c r="P3" s="255"/>
      <c r="Q3" s="255"/>
      <c r="R3" s="255"/>
      <c r="S3" s="255"/>
      <c r="T3" s="255"/>
      <c r="U3" s="255"/>
      <c r="V3" s="255"/>
      <c r="W3" s="255"/>
      <c r="X3" s="255"/>
      <c r="Y3" s="255"/>
      <c r="Z3" s="441"/>
      <c r="AA3" s="255">
        <f t="shared" ref="AA3:AA8" si="0">AB3+300</f>
        <v>312</v>
      </c>
      <c r="AB3" s="255">
        <v>12</v>
      </c>
      <c r="AC3" s="255">
        <v>2</v>
      </c>
      <c r="AD3" s="255">
        <v>1</v>
      </c>
      <c r="AE3" s="255"/>
    </row>
    <row r="4" spans="1:31" ht="12" customHeight="1">
      <c r="A4" s="255"/>
      <c r="B4" s="255"/>
      <c r="C4" s="269"/>
      <c r="D4" s="269"/>
      <c r="E4" s="255"/>
      <c r="F4" s="255"/>
      <c r="G4" s="269"/>
      <c r="H4" s="269"/>
      <c r="I4" s="255"/>
      <c r="J4" s="255"/>
      <c r="K4" s="255"/>
      <c r="L4" s="255"/>
      <c r="M4" s="255"/>
      <c r="N4" s="255"/>
      <c r="O4" s="255"/>
      <c r="P4" s="255"/>
      <c r="Q4" s="255"/>
      <c r="R4" s="255"/>
      <c r="S4" s="255"/>
      <c r="T4" s="255"/>
      <c r="U4" s="255"/>
      <c r="V4" s="255"/>
      <c r="W4" s="255"/>
      <c r="X4" s="255"/>
      <c r="Y4" s="255"/>
      <c r="Z4" s="441"/>
      <c r="AA4" s="255">
        <f t="shared" si="0"/>
        <v>313</v>
      </c>
      <c r="AB4" s="255">
        <v>13</v>
      </c>
      <c r="AC4" s="255">
        <v>1</v>
      </c>
      <c r="AD4" s="255">
        <v>1</v>
      </c>
      <c r="AE4" s="255"/>
    </row>
    <row r="5" spans="1:31" ht="12" customHeight="1">
      <c r="A5" s="269"/>
      <c r="B5" s="311"/>
      <c r="C5" s="444" t="s">
        <v>1920</v>
      </c>
      <c r="D5" s="445"/>
      <c r="E5" s="293"/>
      <c r="F5" s="255"/>
      <c r="G5" s="255"/>
      <c r="H5" s="255"/>
      <c r="I5" s="255"/>
      <c r="J5" s="255"/>
      <c r="K5" s="255"/>
      <c r="L5" s="255"/>
      <c r="M5" s="255"/>
      <c r="N5" s="255"/>
      <c r="O5" s="255"/>
      <c r="P5" s="255"/>
      <c r="Q5" s="255"/>
      <c r="R5" s="255"/>
      <c r="S5" s="255"/>
      <c r="T5" s="255"/>
      <c r="U5" s="255"/>
      <c r="V5" s="255"/>
      <c r="W5" s="255"/>
      <c r="X5" s="255"/>
      <c r="Y5" s="255"/>
      <c r="Z5" s="441"/>
      <c r="AA5" s="255">
        <f t="shared" si="0"/>
        <v>321</v>
      </c>
      <c r="AB5" s="255">
        <v>21</v>
      </c>
      <c r="AC5" s="255">
        <v>2</v>
      </c>
      <c r="AD5" s="255">
        <v>1</v>
      </c>
      <c r="AE5" s="255"/>
    </row>
    <row r="6" spans="1:31" ht="12" customHeight="1">
      <c r="A6" s="446" t="s">
        <v>1921</v>
      </c>
      <c r="B6" s="293">
        <v>1</v>
      </c>
      <c r="C6" s="268" t="s">
        <v>1922</v>
      </c>
      <c r="D6" s="268">
        <v>3</v>
      </c>
      <c r="E6" s="255"/>
      <c r="F6" s="255"/>
      <c r="G6" s="255"/>
      <c r="H6" s="255"/>
      <c r="I6" s="255"/>
      <c r="J6" s="255"/>
      <c r="K6" s="255"/>
      <c r="L6" s="255"/>
      <c r="M6" s="255"/>
      <c r="N6" s="255"/>
      <c r="O6" s="255"/>
      <c r="P6" s="255"/>
      <c r="Q6" s="255"/>
      <c r="R6" s="255"/>
      <c r="S6" s="255"/>
      <c r="T6" s="255"/>
      <c r="U6" s="255"/>
      <c r="V6" s="255"/>
      <c r="W6" s="255"/>
      <c r="X6" s="255"/>
      <c r="Y6" s="255"/>
      <c r="Z6" s="441"/>
      <c r="AA6" s="255">
        <f t="shared" si="0"/>
        <v>323</v>
      </c>
      <c r="AB6" s="255">
        <v>23</v>
      </c>
      <c r="AC6" s="255">
        <v>3</v>
      </c>
      <c r="AD6" s="255">
        <v>1</v>
      </c>
      <c r="AE6" s="255"/>
    </row>
    <row r="7" spans="1:31" ht="12" customHeight="1">
      <c r="A7" s="447" t="s">
        <v>1923</v>
      </c>
      <c r="B7" s="293">
        <v>1</v>
      </c>
      <c r="C7" s="255" t="s">
        <v>1922</v>
      </c>
      <c r="D7" s="255">
        <v>2</v>
      </c>
      <c r="E7" s="255"/>
      <c r="F7" s="255"/>
      <c r="G7" s="255"/>
      <c r="H7" s="255"/>
      <c r="I7" s="255"/>
      <c r="J7" s="255"/>
      <c r="K7" s="255"/>
      <c r="L7" s="255"/>
      <c r="M7" s="255"/>
      <c r="N7" s="255"/>
      <c r="O7" s="255"/>
      <c r="P7" s="255"/>
      <c r="Q7" s="255"/>
      <c r="R7" s="255"/>
      <c r="S7" s="255"/>
      <c r="T7" s="255"/>
      <c r="U7" s="255"/>
      <c r="V7" s="255"/>
      <c r="W7" s="255"/>
      <c r="X7" s="255"/>
      <c r="Y7" s="255"/>
      <c r="Z7" s="441"/>
      <c r="AA7" s="255">
        <f t="shared" si="0"/>
        <v>331</v>
      </c>
      <c r="AB7" s="255">
        <v>31</v>
      </c>
      <c r="AC7" s="255">
        <v>1</v>
      </c>
      <c r="AD7" s="255">
        <v>1</v>
      </c>
      <c r="AE7" s="255"/>
    </row>
    <row r="8" spans="1:31" ht="12" customHeight="1">
      <c r="A8" s="448" t="s">
        <v>1924</v>
      </c>
      <c r="B8" s="293">
        <v>2</v>
      </c>
      <c r="C8" s="255" t="s">
        <v>1922</v>
      </c>
      <c r="D8" s="255">
        <v>3</v>
      </c>
      <c r="E8" s="255"/>
      <c r="F8" s="255"/>
      <c r="G8" s="255"/>
      <c r="H8" s="255"/>
      <c r="I8" s="255"/>
      <c r="J8" s="255"/>
      <c r="K8" s="255"/>
      <c r="L8" s="255"/>
      <c r="M8" s="255"/>
      <c r="N8" s="255"/>
      <c r="O8" s="255"/>
      <c r="P8" s="255"/>
      <c r="Q8" s="255"/>
      <c r="R8" s="255"/>
      <c r="S8" s="255"/>
      <c r="T8" s="255"/>
      <c r="U8" s="255"/>
      <c r="V8" s="255"/>
      <c r="W8" s="255"/>
      <c r="X8" s="255"/>
      <c r="Y8" s="255"/>
      <c r="Z8" s="441"/>
      <c r="AA8" s="255">
        <f t="shared" si="0"/>
        <v>332</v>
      </c>
      <c r="AB8" s="255">
        <v>32</v>
      </c>
      <c r="AC8" s="255">
        <v>3</v>
      </c>
      <c r="AD8" s="255">
        <v>1</v>
      </c>
      <c r="AE8" s="255"/>
    </row>
    <row r="9" spans="1:31" ht="12" customHeight="1">
      <c r="A9" s="268"/>
      <c r="B9" s="255"/>
      <c r="C9" s="255"/>
      <c r="D9" s="255"/>
      <c r="E9" s="255"/>
      <c r="F9" s="255"/>
      <c r="G9" s="255"/>
      <c r="H9" s="255"/>
      <c r="I9" s="255"/>
      <c r="J9" s="255"/>
      <c r="K9" s="255"/>
      <c r="L9" s="255"/>
      <c r="M9" s="255"/>
      <c r="N9" s="255"/>
      <c r="O9" s="255"/>
      <c r="P9" s="255"/>
      <c r="Q9" s="255"/>
      <c r="R9" s="255"/>
      <c r="S9" s="255"/>
      <c r="T9" s="255"/>
      <c r="U9" s="255"/>
      <c r="V9" s="255"/>
      <c r="W9" s="255"/>
      <c r="X9" s="255"/>
      <c r="Y9" s="255"/>
      <c r="Z9" s="441"/>
      <c r="AA9" s="255"/>
      <c r="AB9" s="255"/>
      <c r="AC9" s="255"/>
      <c r="AD9" s="255"/>
      <c r="AE9" s="255"/>
    </row>
    <row r="10" spans="1:31" ht="17.25" customHeight="1">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441"/>
      <c r="AA10" s="442" t="s">
        <v>1925</v>
      </c>
      <c r="AB10" s="442"/>
      <c r="AC10" s="443"/>
      <c r="AD10" s="443"/>
      <c r="AE10" s="443"/>
    </row>
    <row r="11" spans="1:31" ht="17.25" customHeight="1">
      <c r="A11" s="442" t="s">
        <v>1925</v>
      </c>
      <c r="B11" s="443"/>
      <c r="C11" s="443"/>
      <c r="D11" s="443"/>
      <c r="E11" s="255"/>
      <c r="F11" s="255"/>
      <c r="G11" s="255"/>
      <c r="H11" s="255"/>
      <c r="I11" s="255"/>
      <c r="J11" s="255"/>
      <c r="K11" s="255"/>
      <c r="L11" s="255"/>
      <c r="M11" s="255"/>
      <c r="N11" s="255"/>
      <c r="O11" s="255"/>
      <c r="P11" s="255"/>
      <c r="Q11" s="255"/>
      <c r="R11" s="255"/>
      <c r="S11" s="255"/>
      <c r="T11" s="255"/>
      <c r="U11" s="255"/>
      <c r="V11" s="255"/>
      <c r="W11" s="255"/>
      <c r="X11" s="255"/>
      <c r="Y11" s="255"/>
      <c r="Z11" s="441"/>
      <c r="AA11" s="255">
        <f t="shared" ref="AA11:AA22" si="1">AB11+400</f>
        <v>412</v>
      </c>
      <c r="AB11" s="255">
        <v>12</v>
      </c>
      <c r="AC11" s="255">
        <v>3</v>
      </c>
      <c r="AD11" s="255">
        <v>1</v>
      </c>
      <c r="AE11" s="255"/>
    </row>
    <row r="12" spans="1:31" ht="12" customHeight="1">
      <c r="A12" s="255"/>
      <c r="B12" s="255"/>
      <c r="C12" s="269"/>
      <c r="D12" s="269"/>
      <c r="E12" s="255"/>
      <c r="F12" s="255"/>
      <c r="G12" s="269"/>
      <c r="H12" s="269"/>
      <c r="I12" s="255"/>
      <c r="J12" s="255"/>
      <c r="K12" s="255"/>
      <c r="L12" s="255"/>
      <c r="M12" s="255"/>
      <c r="N12" s="255"/>
      <c r="O12" s="255"/>
      <c r="P12" s="255"/>
      <c r="Q12" s="255"/>
      <c r="R12" s="255"/>
      <c r="S12" s="255"/>
      <c r="T12" s="255"/>
      <c r="U12" s="255"/>
      <c r="V12" s="255"/>
      <c r="W12" s="255"/>
      <c r="X12" s="255"/>
      <c r="Y12" s="255"/>
      <c r="Z12" s="441"/>
      <c r="AA12" s="255">
        <f t="shared" si="1"/>
        <v>413</v>
      </c>
      <c r="AB12" s="255">
        <v>13</v>
      </c>
      <c r="AC12" s="255">
        <v>2</v>
      </c>
      <c r="AD12" s="255">
        <v>1</v>
      </c>
      <c r="AE12" s="255"/>
    </row>
    <row r="13" spans="1:31" ht="12" customHeight="1">
      <c r="A13" s="269"/>
      <c r="B13" s="311"/>
      <c r="C13" s="444" t="s">
        <v>1920</v>
      </c>
      <c r="D13" s="445"/>
      <c r="E13" s="293"/>
      <c r="G13" s="444" t="s">
        <v>1926</v>
      </c>
      <c r="H13" s="449"/>
      <c r="I13" s="293"/>
      <c r="J13" s="255"/>
      <c r="K13" s="255"/>
      <c r="L13" s="255"/>
      <c r="M13" s="255"/>
      <c r="N13" s="255"/>
      <c r="O13" s="255"/>
      <c r="P13" s="255"/>
      <c r="Q13" s="255"/>
      <c r="R13" s="255"/>
      <c r="S13" s="255"/>
      <c r="T13" s="255"/>
      <c r="U13" s="255"/>
      <c r="V13" s="255"/>
      <c r="W13" s="255"/>
      <c r="X13" s="255"/>
      <c r="Y13" s="255"/>
      <c r="Z13" s="441"/>
      <c r="AA13" s="255">
        <f t="shared" si="1"/>
        <v>414</v>
      </c>
      <c r="AB13" s="255">
        <v>14</v>
      </c>
      <c r="AC13" s="255">
        <v>1</v>
      </c>
      <c r="AD13" s="255">
        <v>1</v>
      </c>
      <c r="AE13" s="255"/>
    </row>
    <row r="14" spans="1:31" ht="12" customHeight="1">
      <c r="A14" s="446" t="s">
        <v>1921</v>
      </c>
      <c r="B14" s="255">
        <v>1</v>
      </c>
      <c r="C14" s="268" t="s">
        <v>1922</v>
      </c>
      <c r="D14" s="255">
        <v>4</v>
      </c>
      <c r="E14" s="255"/>
      <c r="F14" s="255">
        <v>2</v>
      </c>
      <c r="G14" s="268" t="s">
        <v>1922</v>
      </c>
      <c r="H14" s="255">
        <v>3</v>
      </c>
      <c r="I14" s="255"/>
      <c r="J14" s="255"/>
      <c r="K14" s="255"/>
      <c r="L14" s="255"/>
      <c r="M14" s="255"/>
      <c r="N14" s="255"/>
      <c r="O14" s="255"/>
      <c r="P14" s="255"/>
      <c r="Q14" s="255"/>
      <c r="R14" s="255"/>
      <c r="S14" s="255"/>
      <c r="T14" s="255"/>
      <c r="U14" s="255"/>
      <c r="V14" s="255"/>
      <c r="W14" s="255"/>
      <c r="X14" s="255"/>
      <c r="Y14" s="255"/>
      <c r="Z14" s="441"/>
      <c r="AA14" s="255">
        <f t="shared" si="1"/>
        <v>421</v>
      </c>
      <c r="AB14" s="255">
        <v>21</v>
      </c>
      <c r="AC14" s="255">
        <v>3</v>
      </c>
      <c r="AD14" s="255">
        <v>1</v>
      </c>
      <c r="AE14" s="255"/>
    </row>
    <row r="15" spans="1:31" ht="12" customHeight="1">
      <c r="A15" s="447" t="s">
        <v>1923</v>
      </c>
      <c r="B15" s="255">
        <v>1</v>
      </c>
      <c r="C15" s="255" t="s">
        <v>1922</v>
      </c>
      <c r="D15" s="255">
        <v>3</v>
      </c>
      <c r="E15" s="255"/>
      <c r="F15" s="255">
        <v>2</v>
      </c>
      <c r="G15" s="255" t="s">
        <v>1922</v>
      </c>
      <c r="H15" s="255">
        <v>4</v>
      </c>
      <c r="I15" s="255"/>
      <c r="J15" s="255"/>
      <c r="K15" s="255"/>
      <c r="L15" s="255"/>
      <c r="M15" s="255"/>
      <c r="N15" s="255"/>
      <c r="O15" s="255"/>
      <c r="P15" s="255"/>
      <c r="Q15" s="255"/>
      <c r="R15" s="255"/>
      <c r="S15" s="255"/>
      <c r="T15" s="255"/>
      <c r="U15" s="255"/>
      <c r="V15" s="255"/>
      <c r="W15" s="255"/>
      <c r="X15" s="255"/>
      <c r="Y15" s="255"/>
      <c r="Z15" s="441"/>
      <c r="AA15" s="255">
        <f t="shared" si="1"/>
        <v>423</v>
      </c>
      <c r="AB15" s="255">
        <v>23</v>
      </c>
      <c r="AC15" s="255">
        <v>1</v>
      </c>
      <c r="AD15" s="255">
        <v>2</v>
      </c>
      <c r="AE15" s="255"/>
    </row>
    <row r="16" spans="1:31" ht="12" customHeight="1">
      <c r="A16" s="448" t="s">
        <v>1924</v>
      </c>
      <c r="B16" s="255">
        <v>1</v>
      </c>
      <c r="C16" s="255" t="s">
        <v>1922</v>
      </c>
      <c r="D16" s="255">
        <v>2</v>
      </c>
      <c r="E16" s="255"/>
      <c r="F16" s="255">
        <v>3</v>
      </c>
      <c r="G16" s="255" t="s">
        <v>1922</v>
      </c>
      <c r="H16" s="255">
        <v>4</v>
      </c>
      <c r="I16" s="255"/>
      <c r="J16" s="255"/>
      <c r="K16" s="255"/>
      <c r="L16" s="255"/>
      <c r="M16" s="255"/>
      <c r="N16" s="255"/>
      <c r="O16" s="255"/>
      <c r="P16" s="255"/>
      <c r="Q16" s="255"/>
      <c r="R16" s="255"/>
      <c r="S16" s="255"/>
      <c r="T16" s="255"/>
      <c r="U16" s="255"/>
      <c r="V16" s="255"/>
      <c r="W16" s="255"/>
      <c r="X16" s="255"/>
      <c r="Y16" s="255"/>
      <c r="Z16" s="441"/>
      <c r="AA16" s="255">
        <f t="shared" si="1"/>
        <v>424</v>
      </c>
      <c r="AB16" s="255">
        <v>24</v>
      </c>
      <c r="AC16" s="255">
        <v>2</v>
      </c>
      <c r="AD16" s="255">
        <v>2</v>
      </c>
      <c r="AE16" s="255"/>
    </row>
    <row r="17" spans="1:31" ht="12" customHeight="1">
      <c r="A17" s="268"/>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441"/>
      <c r="AA17" s="255">
        <f t="shared" si="1"/>
        <v>431</v>
      </c>
      <c r="AB17" s="255">
        <v>31</v>
      </c>
      <c r="AC17" s="255">
        <v>2</v>
      </c>
      <c r="AD17" s="255">
        <v>1</v>
      </c>
      <c r="AE17" s="255"/>
    </row>
    <row r="18" spans="1:31" ht="12" customHeight="1">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441"/>
      <c r="AA18" s="255">
        <f t="shared" si="1"/>
        <v>432</v>
      </c>
      <c r="AB18" s="255">
        <v>32</v>
      </c>
      <c r="AC18" s="255">
        <v>1</v>
      </c>
      <c r="AD18" s="255">
        <v>2</v>
      </c>
      <c r="AE18" s="255"/>
    </row>
    <row r="19" spans="1:31" ht="17.25" customHeight="1">
      <c r="A19" s="442" t="s">
        <v>1927</v>
      </c>
      <c r="B19" s="442"/>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441"/>
      <c r="AA19" s="255">
        <f t="shared" si="1"/>
        <v>434</v>
      </c>
      <c r="AB19" s="255">
        <v>34</v>
      </c>
      <c r="AC19" s="255">
        <v>3</v>
      </c>
      <c r="AD19" s="255">
        <v>2</v>
      </c>
      <c r="AE19" s="255"/>
    </row>
    <row r="20" spans="1:31" ht="12" customHeight="1">
      <c r="A20" s="255"/>
      <c r="B20" s="255"/>
      <c r="C20" s="255"/>
      <c r="D20" s="269"/>
      <c r="E20" s="269"/>
      <c r="F20" s="255"/>
      <c r="G20" s="255"/>
      <c r="H20" s="269"/>
      <c r="I20" s="269"/>
      <c r="J20" s="255"/>
      <c r="K20" s="255"/>
      <c r="L20" s="255"/>
      <c r="M20" s="255"/>
      <c r="N20" s="255"/>
      <c r="O20" s="255"/>
      <c r="P20" s="255"/>
      <c r="Q20" s="255"/>
      <c r="R20" s="255"/>
      <c r="S20" s="255"/>
      <c r="T20" s="255"/>
      <c r="U20" s="255"/>
      <c r="V20" s="255"/>
      <c r="W20" s="255"/>
      <c r="X20" s="255"/>
      <c r="Y20" s="255"/>
      <c r="Z20" s="441"/>
      <c r="AA20" s="255">
        <f t="shared" si="1"/>
        <v>441</v>
      </c>
      <c r="AB20" s="255">
        <v>41</v>
      </c>
      <c r="AC20" s="255">
        <v>1</v>
      </c>
      <c r="AD20" s="255">
        <v>1</v>
      </c>
      <c r="AE20" s="255"/>
    </row>
    <row r="21" spans="1:31" ht="12" customHeight="1">
      <c r="A21" s="269"/>
      <c r="B21" s="311"/>
      <c r="C21" s="444" t="s">
        <v>1920</v>
      </c>
      <c r="D21" s="449"/>
      <c r="E21" s="293"/>
      <c r="F21" s="311"/>
      <c r="G21" s="444" t="s">
        <v>1926</v>
      </c>
      <c r="H21" s="449"/>
      <c r="I21" s="293"/>
      <c r="J21" s="255"/>
      <c r="K21" s="255"/>
      <c r="L21" s="255"/>
      <c r="M21" s="255"/>
      <c r="N21" s="255"/>
      <c r="O21" s="255"/>
      <c r="P21" s="255"/>
      <c r="Q21" s="255"/>
      <c r="R21" s="255"/>
      <c r="S21" s="255"/>
      <c r="T21" s="255"/>
      <c r="U21" s="255"/>
      <c r="V21" s="255"/>
      <c r="W21" s="255"/>
      <c r="X21" s="255"/>
      <c r="Y21" s="255"/>
      <c r="Z21" s="441"/>
      <c r="AA21" s="255">
        <f t="shared" si="1"/>
        <v>442</v>
      </c>
      <c r="AB21" s="255">
        <v>42</v>
      </c>
      <c r="AC21" s="255">
        <v>2</v>
      </c>
      <c r="AD21" s="255">
        <v>2</v>
      </c>
      <c r="AE21" s="255"/>
    </row>
    <row r="22" spans="1:31" ht="12" customHeight="1">
      <c r="A22" s="446" t="s">
        <v>1921</v>
      </c>
      <c r="B22" s="255">
        <v>4</v>
      </c>
      <c r="C22" s="268" t="s">
        <v>1922</v>
      </c>
      <c r="D22" s="268">
        <v>2</v>
      </c>
      <c r="E22" s="255"/>
      <c r="F22" s="255">
        <v>5</v>
      </c>
      <c r="G22" s="268" t="s">
        <v>1922</v>
      </c>
      <c r="H22" s="268">
        <v>1</v>
      </c>
      <c r="I22" s="255"/>
      <c r="J22" s="255"/>
      <c r="K22" s="255"/>
      <c r="L22" s="255"/>
      <c r="M22" s="255"/>
      <c r="N22" s="255"/>
      <c r="O22" s="255"/>
      <c r="P22" s="255"/>
      <c r="Q22" s="255"/>
      <c r="R22" s="255"/>
      <c r="S22" s="255"/>
      <c r="T22" s="255"/>
      <c r="U22" s="255"/>
      <c r="V22" s="255"/>
      <c r="W22" s="255"/>
      <c r="X22" s="255"/>
      <c r="Y22" s="255"/>
      <c r="Z22" s="441"/>
      <c r="AA22" s="255">
        <f t="shared" si="1"/>
        <v>443</v>
      </c>
      <c r="AB22" s="255">
        <v>43</v>
      </c>
      <c r="AC22" s="255">
        <v>3</v>
      </c>
      <c r="AD22" s="255">
        <v>2</v>
      </c>
      <c r="AE22" s="255"/>
    </row>
    <row r="23" spans="1:31" ht="12" customHeight="1">
      <c r="A23" s="447" t="s">
        <v>1923</v>
      </c>
      <c r="B23" s="255">
        <v>1</v>
      </c>
      <c r="C23" s="255" t="s">
        <v>1922</v>
      </c>
      <c r="D23" s="255">
        <v>4</v>
      </c>
      <c r="E23" s="255"/>
      <c r="F23" s="255">
        <v>2</v>
      </c>
      <c r="G23" s="255" t="s">
        <v>1922</v>
      </c>
      <c r="H23" s="255">
        <v>3</v>
      </c>
      <c r="I23" s="255"/>
      <c r="J23" s="255"/>
      <c r="K23" s="255"/>
      <c r="L23" s="255"/>
      <c r="M23" s="255"/>
      <c r="N23" s="255"/>
      <c r="O23" s="255"/>
      <c r="P23" s="255"/>
      <c r="Q23" s="255"/>
      <c r="R23" s="255"/>
      <c r="S23" s="255"/>
      <c r="T23" s="255"/>
      <c r="U23" s="255"/>
      <c r="V23" s="255"/>
      <c r="W23" s="255"/>
      <c r="X23" s="255"/>
      <c r="Y23" s="255"/>
      <c r="Z23" s="441"/>
      <c r="AA23" s="255"/>
      <c r="AB23" s="255"/>
      <c r="AC23" s="255"/>
      <c r="AD23" s="255"/>
      <c r="AE23" s="255"/>
    </row>
    <row r="24" spans="1:31" ht="17.25" customHeight="1">
      <c r="A24" s="447" t="s">
        <v>1924</v>
      </c>
      <c r="B24" s="255">
        <v>3</v>
      </c>
      <c r="C24" s="255" t="s">
        <v>1922</v>
      </c>
      <c r="D24" s="255">
        <v>1</v>
      </c>
      <c r="E24" s="255"/>
      <c r="F24" s="255">
        <v>4</v>
      </c>
      <c r="G24" s="255" t="s">
        <v>1922</v>
      </c>
      <c r="H24" s="255">
        <v>5</v>
      </c>
      <c r="I24" s="255"/>
      <c r="J24" s="255"/>
      <c r="K24" s="255"/>
      <c r="L24" s="255"/>
      <c r="M24" s="255"/>
      <c r="N24" s="255"/>
      <c r="O24" s="255"/>
      <c r="P24" s="255"/>
      <c r="Q24" s="255"/>
      <c r="R24" s="255"/>
      <c r="S24" s="255"/>
      <c r="T24" s="255"/>
      <c r="U24" s="255"/>
      <c r="V24" s="255"/>
      <c r="W24" s="255"/>
      <c r="X24" s="255"/>
      <c r="Y24" s="255"/>
      <c r="Z24" s="441"/>
      <c r="AA24" s="442" t="s">
        <v>1927</v>
      </c>
      <c r="AB24" s="442"/>
      <c r="AC24" s="442"/>
      <c r="AD24" s="255"/>
      <c r="AE24" s="255"/>
    </row>
    <row r="25" spans="1:31" ht="12" customHeight="1">
      <c r="A25" s="447" t="s">
        <v>1928</v>
      </c>
      <c r="B25" s="255">
        <v>5</v>
      </c>
      <c r="C25" s="255" t="s">
        <v>1922</v>
      </c>
      <c r="D25" s="255">
        <v>3</v>
      </c>
      <c r="E25" s="255"/>
      <c r="F25" s="255">
        <v>1</v>
      </c>
      <c r="G25" s="255" t="s">
        <v>1922</v>
      </c>
      <c r="H25" s="255">
        <v>2</v>
      </c>
      <c r="I25" s="255"/>
      <c r="J25" s="255"/>
      <c r="K25" s="255"/>
      <c r="L25" s="255"/>
      <c r="M25" s="255"/>
      <c r="N25" s="255"/>
      <c r="O25" s="255"/>
      <c r="P25" s="255"/>
      <c r="Q25" s="255"/>
      <c r="R25" s="255"/>
      <c r="S25" s="255"/>
      <c r="T25" s="255"/>
      <c r="U25" s="255"/>
      <c r="V25" s="255"/>
      <c r="W25" s="255"/>
      <c r="X25" s="255"/>
      <c r="Y25" s="255"/>
      <c r="Z25" s="441"/>
      <c r="AA25" s="255">
        <f t="shared" ref="AA25:AA44" si="2">AB25+500</f>
        <v>512</v>
      </c>
      <c r="AB25" s="255">
        <v>12</v>
      </c>
      <c r="AC25" s="255">
        <v>4</v>
      </c>
      <c r="AD25" s="255">
        <v>2</v>
      </c>
      <c r="AE25" s="255"/>
    </row>
    <row r="26" spans="1:31" ht="12" customHeight="1">
      <c r="A26" s="448" t="s">
        <v>1929</v>
      </c>
      <c r="B26" s="255">
        <v>2</v>
      </c>
      <c r="C26" s="255" t="s">
        <v>1922</v>
      </c>
      <c r="D26" s="255">
        <v>5</v>
      </c>
      <c r="E26" s="255"/>
      <c r="F26" s="255">
        <v>3</v>
      </c>
      <c r="G26" s="255" t="s">
        <v>1922</v>
      </c>
      <c r="H26" s="255">
        <v>4</v>
      </c>
      <c r="I26" s="255"/>
      <c r="J26" s="255"/>
      <c r="K26" s="255"/>
      <c r="L26" s="255"/>
      <c r="M26" s="255"/>
      <c r="N26" s="255"/>
      <c r="O26" s="255"/>
      <c r="P26" s="255"/>
      <c r="Q26" s="255"/>
      <c r="R26" s="255"/>
      <c r="S26" s="255"/>
      <c r="T26" s="255"/>
      <c r="U26" s="255"/>
      <c r="V26" s="255"/>
      <c r="W26" s="255"/>
      <c r="X26" s="255"/>
      <c r="Y26" s="255"/>
      <c r="Z26" s="441"/>
      <c r="AA26" s="255">
        <f t="shared" si="2"/>
        <v>513</v>
      </c>
      <c r="AB26" s="255">
        <v>13</v>
      </c>
      <c r="AC26" s="255">
        <v>3</v>
      </c>
      <c r="AD26" s="255">
        <v>1</v>
      </c>
      <c r="AE26" s="255"/>
    </row>
    <row r="27" spans="1:31" ht="12" customHeight="1">
      <c r="A27" s="255"/>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441"/>
      <c r="AA27" s="255">
        <f t="shared" si="2"/>
        <v>514</v>
      </c>
      <c r="AB27" s="255">
        <v>14</v>
      </c>
      <c r="AC27" s="255">
        <v>2</v>
      </c>
      <c r="AD27" s="255">
        <v>1</v>
      </c>
      <c r="AE27" s="255"/>
    </row>
    <row r="28" spans="1:31" ht="12" customHeight="1">
      <c r="A28" s="255"/>
      <c r="B28" s="255"/>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441"/>
      <c r="AA28" s="255">
        <f t="shared" si="2"/>
        <v>515</v>
      </c>
      <c r="AB28" s="255">
        <v>15</v>
      </c>
      <c r="AC28" s="255">
        <v>1</v>
      </c>
      <c r="AD28" s="255">
        <v>2</v>
      </c>
      <c r="AE28" s="255"/>
    </row>
    <row r="29" spans="1:31" ht="17.25" customHeight="1">
      <c r="A29" s="442" t="s">
        <v>1930</v>
      </c>
      <c r="B29" s="443"/>
      <c r="C29" s="443"/>
      <c r="D29" s="443"/>
      <c r="E29" s="255"/>
      <c r="F29" s="255"/>
      <c r="G29" s="255"/>
      <c r="H29" s="255"/>
      <c r="I29" s="255"/>
      <c r="J29" s="255"/>
      <c r="K29" s="255"/>
      <c r="L29" s="255"/>
      <c r="M29" s="255"/>
      <c r="N29" s="255"/>
      <c r="O29" s="255"/>
      <c r="P29" s="255"/>
      <c r="Q29" s="255"/>
      <c r="R29" s="255"/>
      <c r="S29" s="255"/>
      <c r="T29" s="255"/>
      <c r="U29" s="255"/>
      <c r="V29" s="255"/>
      <c r="W29" s="255"/>
      <c r="X29" s="255"/>
      <c r="Y29" s="255"/>
      <c r="Z29" s="441"/>
      <c r="AA29" s="255">
        <f t="shared" si="2"/>
        <v>521</v>
      </c>
      <c r="AB29" s="255">
        <v>21</v>
      </c>
      <c r="AC29" s="255">
        <v>4</v>
      </c>
      <c r="AD29" s="255">
        <v>2</v>
      </c>
      <c r="AE29" s="255"/>
    </row>
    <row r="30" spans="1:31" ht="12" customHeight="1">
      <c r="A30" s="255"/>
      <c r="B30" s="255"/>
      <c r="C30" s="269"/>
      <c r="D30" s="269"/>
      <c r="E30" s="255"/>
      <c r="F30" s="255"/>
      <c r="G30" s="269"/>
      <c r="H30" s="269"/>
      <c r="I30" s="255"/>
      <c r="J30" s="255"/>
      <c r="K30" s="269"/>
      <c r="L30" s="269"/>
      <c r="M30" s="255"/>
      <c r="N30" s="255"/>
      <c r="O30" s="255"/>
      <c r="P30" s="255"/>
      <c r="Q30" s="255"/>
      <c r="R30" s="255"/>
      <c r="S30" s="255"/>
      <c r="T30" s="255"/>
      <c r="U30" s="255"/>
      <c r="V30" s="255"/>
      <c r="W30" s="255"/>
      <c r="X30" s="255"/>
      <c r="Y30" s="255"/>
      <c r="Z30" s="441"/>
      <c r="AA30" s="255">
        <f t="shared" si="2"/>
        <v>523</v>
      </c>
      <c r="AB30" s="255">
        <v>23</v>
      </c>
      <c r="AC30" s="255">
        <v>2</v>
      </c>
      <c r="AD30" s="255">
        <v>2</v>
      </c>
      <c r="AE30" s="255"/>
    </row>
    <row r="31" spans="1:31" ht="12" customHeight="1">
      <c r="A31" s="269"/>
      <c r="B31" s="311"/>
      <c r="C31" s="444" t="s">
        <v>1920</v>
      </c>
      <c r="D31" s="449"/>
      <c r="E31" s="293"/>
      <c r="F31" s="311"/>
      <c r="G31" s="444" t="s">
        <v>1926</v>
      </c>
      <c r="H31" s="449"/>
      <c r="I31" s="293"/>
      <c r="J31" s="311"/>
      <c r="K31" s="444" t="s">
        <v>1931</v>
      </c>
      <c r="L31" s="449"/>
      <c r="M31" s="293"/>
      <c r="N31" s="255"/>
      <c r="O31" s="255"/>
      <c r="P31" s="255"/>
      <c r="Q31" s="255"/>
      <c r="R31" s="255"/>
      <c r="S31" s="255"/>
      <c r="T31" s="255"/>
      <c r="U31" s="255"/>
      <c r="V31" s="255"/>
      <c r="W31" s="255"/>
      <c r="X31" s="255"/>
      <c r="Y31" s="255"/>
      <c r="Z31" s="441"/>
      <c r="AA31" s="255">
        <f t="shared" si="2"/>
        <v>524</v>
      </c>
      <c r="AB31" s="255">
        <v>24</v>
      </c>
      <c r="AC31" s="255">
        <v>1</v>
      </c>
      <c r="AD31" s="255">
        <v>1</v>
      </c>
      <c r="AE31" s="255"/>
    </row>
    <row r="32" spans="1:31" ht="12" customHeight="1">
      <c r="A32" s="446" t="s">
        <v>1921</v>
      </c>
      <c r="B32" s="255">
        <v>1</v>
      </c>
      <c r="C32" s="268" t="s">
        <v>1922</v>
      </c>
      <c r="D32" s="268">
        <v>5</v>
      </c>
      <c r="E32" s="255"/>
      <c r="F32" s="255">
        <v>2</v>
      </c>
      <c r="G32" s="268" t="s">
        <v>1922</v>
      </c>
      <c r="H32" s="268">
        <v>4</v>
      </c>
      <c r="I32" s="255"/>
      <c r="J32" s="293">
        <v>3</v>
      </c>
      <c r="K32" s="268" t="s">
        <v>1922</v>
      </c>
      <c r="L32" s="268">
        <v>6</v>
      </c>
      <c r="M32" s="255"/>
      <c r="N32" s="255"/>
      <c r="O32" s="255"/>
      <c r="P32" s="255"/>
      <c r="Q32" s="255"/>
      <c r="R32" s="255"/>
      <c r="S32" s="255"/>
      <c r="T32" s="255"/>
      <c r="U32" s="255"/>
      <c r="V32" s="255"/>
      <c r="W32" s="255"/>
      <c r="X32" s="255"/>
      <c r="Y32" s="255"/>
      <c r="Z32" s="441"/>
      <c r="AA32" s="255">
        <f t="shared" si="2"/>
        <v>525</v>
      </c>
      <c r="AB32" s="255">
        <v>25</v>
      </c>
      <c r="AC32" s="255">
        <v>5</v>
      </c>
      <c r="AD32" s="255">
        <v>1</v>
      </c>
      <c r="AE32" s="255"/>
    </row>
    <row r="33" spans="1:31" ht="12" customHeight="1">
      <c r="A33" s="447" t="s">
        <v>1923</v>
      </c>
      <c r="B33" s="255">
        <v>1</v>
      </c>
      <c r="C33" s="255" t="s">
        <v>1922</v>
      </c>
      <c r="D33" s="255">
        <v>4</v>
      </c>
      <c r="E33" s="255"/>
      <c r="F33" s="293">
        <v>5</v>
      </c>
      <c r="G33" s="255" t="s">
        <v>1922</v>
      </c>
      <c r="H33" s="255">
        <v>6</v>
      </c>
      <c r="I33" s="255"/>
      <c r="J33" s="255">
        <v>2</v>
      </c>
      <c r="K33" s="255" t="s">
        <v>1922</v>
      </c>
      <c r="L33" s="255">
        <v>3</v>
      </c>
      <c r="M33" s="255"/>
      <c r="N33" s="255"/>
      <c r="O33" s="255"/>
      <c r="P33" s="255"/>
      <c r="Q33" s="255"/>
      <c r="R33" s="255"/>
      <c r="S33" s="255"/>
      <c r="T33" s="255"/>
      <c r="U33" s="255"/>
      <c r="V33" s="255"/>
      <c r="W33" s="255"/>
      <c r="X33" s="255"/>
      <c r="Y33" s="255"/>
      <c r="Z33" s="441"/>
      <c r="AA33" s="255">
        <f t="shared" si="2"/>
        <v>531</v>
      </c>
      <c r="AB33" s="255">
        <v>31</v>
      </c>
      <c r="AC33" s="255">
        <v>3</v>
      </c>
      <c r="AD33" s="255">
        <v>1</v>
      </c>
      <c r="AE33" s="255"/>
    </row>
    <row r="34" spans="1:31" ht="12" customHeight="1">
      <c r="A34" s="447" t="s">
        <v>1924</v>
      </c>
      <c r="B34" s="293">
        <v>2</v>
      </c>
      <c r="C34" s="255" t="s">
        <v>1922</v>
      </c>
      <c r="D34" s="255">
        <v>6</v>
      </c>
      <c r="E34" s="255"/>
      <c r="F34" s="255">
        <v>1</v>
      </c>
      <c r="G34" s="255" t="s">
        <v>1922</v>
      </c>
      <c r="H34" s="255">
        <v>3</v>
      </c>
      <c r="I34" s="255"/>
      <c r="J34" s="255">
        <v>4</v>
      </c>
      <c r="K34" s="255" t="s">
        <v>1922</v>
      </c>
      <c r="L34" s="255">
        <v>5</v>
      </c>
      <c r="M34" s="255"/>
      <c r="N34" s="255"/>
      <c r="O34" s="255"/>
      <c r="P34" s="255"/>
      <c r="Q34" s="255"/>
      <c r="R34" s="255"/>
      <c r="S34" s="255"/>
      <c r="T34" s="255"/>
      <c r="U34" s="255"/>
      <c r="V34" s="255"/>
      <c r="W34" s="255"/>
      <c r="X34" s="255"/>
      <c r="Y34" s="255"/>
      <c r="Z34" s="441"/>
      <c r="AA34" s="255">
        <f t="shared" si="2"/>
        <v>532</v>
      </c>
      <c r="AB34" s="255">
        <v>32</v>
      </c>
      <c r="AC34" s="255">
        <v>2</v>
      </c>
      <c r="AD34" s="255">
        <v>2</v>
      </c>
      <c r="AE34" s="255"/>
    </row>
    <row r="35" spans="1:31" ht="12" customHeight="1">
      <c r="A35" s="447" t="s">
        <v>1928</v>
      </c>
      <c r="B35" s="255">
        <v>3</v>
      </c>
      <c r="C35" s="255" t="s">
        <v>1922</v>
      </c>
      <c r="D35" s="255">
        <v>5</v>
      </c>
      <c r="E35" s="255"/>
      <c r="F35" s="293">
        <v>4</v>
      </c>
      <c r="G35" s="255" t="s">
        <v>1922</v>
      </c>
      <c r="H35" s="255">
        <v>6</v>
      </c>
      <c r="I35" s="255"/>
      <c r="J35" s="255">
        <v>1</v>
      </c>
      <c r="K35" s="255" t="s">
        <v>1922</v>
      </c>
      <c r="L35" s="255">
        <v>2</v>
      </c>
      <c r="M35" s="255"/>
      <c r="N35" s="255"/>
      <c r="O35" s="255"/>
      <c r="P35" s="255"/>
      <c r="Q35" s="255"/>
      <c r="R35" s="255"/>
      <c r="S35" s="255"/>
      <c r="T35" s="255"/>
      <c r="U35" s="255"/>
      <c r="V35" s="255"/>
      <c r="W35" s="255"/>
      <c r="X35" s="255"/>
      <c r="Y35" s="255"/>
      <c r="Z35" s="441"/>
      <c r="AA35" s="255">
        <f t="shared" si="2"/>
        <v>534</v>
      </c>
      <c r="AB35" s="255">
        <v>34</v>
      </c>
      <c r="AC35" s="255">
        <v>5</v>
      </c>
      <c r="AD35" s="255">
        <v>2</v>
      </c>
      <c r="AE35" s="255"/>
    </row>
    <row r="36" spans="1:31" ht="12" customHeight="1">
      <c r="A36" s="448" t="s">
        <v>1929</v>
      </c>
      <c r="B36" s="255">
        <v>3</v>
      </c>
      <c r="C36" s="255" t="s">
        <v>1922</v>
      </c>
      <c r="D36" s="255">
        <v>4</v>
      </c>
      <c r="E36" s="255"/>
      <c r="F36" s="255">
        <v>2</v>
      </c>
      <c r="G36" s="255" t="s">
        <v>1922</v>
      </c>
      <c r="H36" s="255">
        <v>5</v>
      </c>
      <c r="I36" s="255"/>
      <c r="J36" s="293">
        <v>1</v>
      </c>
      <c r="K36" s="255" t="s">
        <v>1922</v>
      </c>
      <c r="L36" s="255">
        <v>6</v>
      </c>
      <c r="M36" s="255"/>
      <c r="N36" s="255"/>
      <c r="O36" s="255"/>
      <c r="P36" s="255"/>
      <c r="Q36" s="255"/>
      <c r="R36" s="255"/>
      <c r="S36" s="255"/>
      <c r="T36" s="255"/>
      <c r="U36" s="255"/>
      <c r="V36" s="255"/>
      <c r="W36" s="255"/>
      <c r="X36" s="255"/>
      <c r="Y36" s="255"/>
      <c r="Z36" s="441"/>
      <c r="AA36" s="255">
        <f t="shared" si="2"/>
        <v>535</v>
      </c>
      <c r="AB36" s="255">
        <v>35</v>
      </c>
      <c r="AC36" s="255">
        <v>4</v>
      </c>
      <c r="AD36" s="255">
        <v>1</v>
      </c>
      <c r="AE36" s="255"/>
    </row>
    <row r="37" spans="1:31" ht="12" customHeight="1">
      <c r="A37" s="255"/>
      <c r="B37" s="255"/>
      <c r="C37" s="255"/>
      <c r="D37" s="255"/>
      <c r="E37" s="255"/>
      <c r="F37" s="255"/>
      <c r="G37" s="255"/>
      <c r="H37" s="255"/>
      <c r="I37" s="255"/>
      <c r="J37" s="255"/>
      <c r="K37" s="255"/>
      <c r="L37" s="255"/>
      <c r="M37" s="255"/>
      <c r="N37" s="255"/>
      <c r="O37" s="255"/>
      <c r="P37" s="255"/>
      <c r="Q37" s="255"/>
      <c r="R37" s="255"/>
      <c r="S37" s="255"/>
      <c r="T37" s="255"/>
      <c r="U37" s="255"/>
      <c r="V37" s="255"/>
      <c r="W37" s="255"/>
      <c r="X37" s="255"/>
      <c r="Y37" s="255"/>
      <c r="Z37" s="441"/>
      <c r="AA37" s="255">
        <f t="shared" si="2"/>
        <v>541</v>
      </c>
      <c r="AB37" s="255">
        <v>41</v>
      </c>
      <c r="AC37" s="255">
        <v>2</v>
      </c>
      <c r="AD37" s="255">
        <v>1</v>
      </c>
      <c r="AE37" s="255"/>
    </row>
    <row r="38" spans="1:31" ht="12" customHeight="1">
      <c r="A38" s="255"/>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441"/>
      <c r="AA38" s="255">
        <f t="shared" si="2"/>
        <v>542</v>
      </c>
      <c r="AB38" s="255">
        <v>42</v>
      </c>
      <c r="AC38" s="255">
        <v>1</v>
      </c>
      <c r="AD38" s="255">
        <v>1</v>
      </c>
      <c r="AE38" s="255"/>
    </row>
    <row r="39" spans="1:31" ht="12" customHeight="1">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441"/>
      <c r="AA39" s="255">
        <f t="shared" si="2"/>
        <v>543</v>
      </c>
      <c r="AB39" s="255">
        <v>43</v>
      </c>
      <c r="AC39" s="255">
        <v>5</v>
      </c>
      <c r="AD39" s="255">
        <v>2</v>
      </c>
      <c r="AE39" s="255"/>
    </row>
    <row r="40" spans="1:31" ht="12" customHeight="1">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441"/>
      <c r="AA40" s="255">
        <f t="shared" si="2"/>
        <v>545</v>
      </c>
      <c r="AB40" s="255">
        <v>45</v>
      </c>
      <c r="AC40" s="255">
        <v>3</v>
      </c>
      <c r="AD40" s="255">
        <v>2</v>
      </c>
      <c r="AE40" s="255"/>
    </row>
    <row r="41" spans="1:31" ht="12" customHeight="1">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441"/>
      <c r="AA41" s="255">
        <f t="shared" si="2"/>
        <v>551</v>
      </c>
      <c r="AB41" s="255">
        <v>51</v>
      </c>
      <c r="AC41" s="255">
        <v>1</v>
      </c>
      <c r="AD41" s="255">
        <v>2</v>
      </c>
      <c r="AE41" s="255"/>
    </row>
    <row r="42" spans="1:31" ht="12" customHeight="1">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441"/>
      <c r="AA42" s="255">
        <f t="shared" si="2"/>
        <v>552</v>
      </c>
      <c r="AB42" s="255">
        <v>52</v>
      </c>
      <c r="AC42" s="255">
        <v>5</v>
      </c>
      <c r="AD42" s="255">
        <v>1</v>
      </c>
      <c r="AE42" s="255"/>
    </row>
    <row r="43" spans="1:31" ht="12" customHeight="1">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441"/>
      <c r="AA43" s="255">
        <f t="shared" si="2"/>
        <v>553</v>
      </c>
      <c r="AB43" s="255">
        <v>53</v>
      </c>
      <c r="AC43" s="255">
        <v>4</v>
      </c>
      <c r="AD43" s="255">
        <v>1</v>
      </c>
      <c r="AE43" s="255"/>
    </row>
    <row r="44" spans="1:31" ht="12" customHeight="1">
      <c r="A44" s="255"/>
      <c r="B44" s="255"/>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441"/>
      <c r="AA44" s="255">
        <f t="shared" si="2"/>
        <v>554</v>
      </c>
      <c r="AB44" s="255">
        <v>54</v>
      </c>
      <c r="AC44" s="255">
        <v>3</v>
      </c>
      <c r="AD44" s="255">
        <v>2</v>
      </c>
      <c r="AE44" s="255"/>
    </row>
    <row r="45" spans="1:31" ht="12" customHeight="1">
      <c r="A45" s="255"/>
      <c r="B45" s="255"/>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441"/>
      <c r="AA45" s="255"/>
      <c r="AB45" s="255"/>
      <c r="AC45" s="255"/>
      <c r="AD45" s="255"/>
      <c r="AE45" s="255"/>
    </row>
    <row r="46" spans="1:31" ht="17.25" customHeight="1">
      <c r="A46" s="255"/>
      <c r="B46" s="255"/>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441"/>
      <c r="AA46" s="442" t="s">
        <v>1930</v>
      </c>
      <c r="AB46" s="442"/>
      <c r="AC46" s="443"/>
      <c r="AD46" s="255"/>
      <c r="AE46" s="255"/>
    </row>
    <row r="47" spans="1:31" ht="12" customHeight="1">
      <c r="A47" s="255"/>
      <c r="B47" s="255"/>
      <c r="C47" s="255"/>
      <c r="D47" s="255"/>
      <c r="E47" s="255"/>
      <c r="F47" s="255"/>
      <c r="G47" s="255"/>
      <c r="H47" s="255"/>
      <c r="I47" s="255"/>
      <c r="J47" s="255"/>
      <c r="K47" s="255"/>
      <c r="L47" s="255"/>
      <c r="M47" s="255"/>
      <c r="N47" s="255"/>
      <c r="O47" s="255"/>
      <c r="P47" s="255"/>
      <c r="Q47" s="255"/>
      <c r="R47" s="255"/>
      <c r="S47" s="255"/>
      <c r="T47" s="255"/>
      <c r="U47" s="255"/>
      <c r="V47" s="255"/>
      <c r="W47" s="255"/>
      <c r="X47" s="255"/>
      <c r="Y47" s="255"/>
      <c r="Z47" s="441"/>
      <c r="AA47" s="255">
        <f t="shared" ref="AA47:AA76" si="3">AB47+600</f>
        <v>612</v>
      </c>
      <c r="AB47" s="255">
        <v>12</v>
      </c>
      <c r="AC47" s="255">
        <v>4</v>
      </c>
      <c r="AD47" s="255">
        <v>3</v>
      </c>
      <c r="AE47" s="255"/>
    </row>
    <row r="48" spans="1:31" ht="12" customHeight="1">
      <c r="A48" s="255"/>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441"/>
      <c r="AA48" s="255">
        <f t="shared" si="3"/>
        <v>613</v>
      </c>
      <c r="AB48" s="255">
        <v>13</v>
      </c>
      <c r="AC48" s="255">
        <v>3</v>
      </c>
      <c r="AD48" s="255">
        <v>2</v>
      </c>
      <c r="AE48" s="255"/>
    </row>
    <row r="49" spans="1:31" ht="12" customHeight="1">
      <c r="A49" s="255"/>
      <c r="B49" s="255"/>
      <c r="C49" s="255"/>
      <c r="D49" s="255"/>
      <c r="E49" s="255"/>
      <c r="F49" s="255"/>
      <c r="G49" s="255"/>
      <c r="H49" s="255"/>
      <c r="I49" s="255"/>
      <c r="J49" s="255"/>
      <c r="K49" s="255"/>
      <c r="L49" s="255"/>
      <c r="M49" s="255"/>
      <c r="N49" s="255"/>
      <c r="O49" s="255"/>
      <c r="P49" s="255"/>
      <c r="Q49" s="255"/>
      <c r="R49" s="255"/>
      <c r="S49" s="255"/>
      <c r="T49" s="255"/>
      <c r="U49" s="255"/>
      <c r="V49" s="255"/>
      <c r="W49" s="255"/>
      <c r="X49" s="255"/>
      <c r="Y49" s="255"/>
      <c r="Z49" s="441"/>
      <c r="AA49" s="255">
        <f t="shared" si="3"/>
        <v>614</v>
      </c>
      <c r="AB49" s="255">
        <v>14</v>
      </c>
      <c r="AC49" s="255">
        <v>2</v>
      </c>
      <c r="AD49" s="255">
        <v>1</v>
      </c>
      <c r="AE49" s="255"/>
    </row>
    <row r="50" spans="1:31" ht="12" customHeight="1">
      <c r="A50" s="255"/>
      <c r="B50" s="255"/>
      <c r="C50" s="255"/>
      <c r="D50" s="255"/>
      <c r="E50" s="255"/>
      <c r="F50" s="255"/>
      <c r="G50" s="255"/>
      <c r="H50" s="255"/>
      <c r="I50" s="255"/>
      <c r="J50" s="255"/>
      <c r="K50" s="255"/>
      <c r="L50" s="255"/>
      <c r="M50" s="255"/>
      <c r="N50" s="255"/>
      <c r="O50" s="255"/>
      <c r="P50" s="255"/>
      <c r="Q50" s="255"/>
      <c r="R50" s="255"/>
      <c r="S50" s="255"/>
      <c r="T50" s="255"/>
      <c r="U50" s="255"/>
      <c r="V50" s="255"/>
      <c r="W50" s="255"/>
      <c r="X50" s="255"/>
      <c r="Y50" s="255"/>
      <c r="Z50" s="441"/>
      <c r="AA50" s="255">
        <f t="shared" si="3"/>
        <v>615</v>
      </c>
      <c r="AB50" s="255">
        <v>15</v>
      </c>
      <c r="AC50" s="255">
        <v>1</v>
      </c>
      <c r="AD50" s="255">
        <v>1</v>
      </c>
      <c r="AE50" s="255"/>
    </row>
    <row r="51" spans="1:31" ht="12" customHeight="1">
      <c r="A51" s="255"/>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441"/>
      <c r="AA51" s="255">
        <f t="shared" si="3"/>
        <v>616</v>
      </c>
      <c r="AB51" s="255">
        <v>16</v>
      </c>
      <c r="AC51" s="255">
        <v>5</v>
      </c>
      <c r="AD51" s="255">
        <v>3</v>
      </c>
      <c r="AE51" s="255"/>
    </row>
    <row r="52" spans="1:31" ht="12" customHeight="1">
      <c r="A52" s="255"/>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441"/>
      <c r="AA52" s="255">
        <f t="shared" si="3"/>
        <v>621</v>
      </c>
      <c r="AB52" s="255">
        <v>21</v>
      </c>
      <c r="AC52" s="255">
        <v>4</v>
      </c>
      <c r="AD52" s="255">
        <v>3</v>
      </c>
      <c r="AE52" s="255"/>
    </row>
    <row r="53" spans="1:31" ht="12" customHeight="1">
      <c r="A53" s="255"/>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441"/>
      <c r="AA53" s="255">
        <f t="shared" si="3"/>
        <v>623</v>
      </c>
      <c r="AB53" s="255">
        <v>23</v>
      </c>
      <c r="AC53" s="255">
        <v>2</v>
      </c>
      <c r="AD53" s="255">
        <v>3</v>
      </c>
      <c r="AE53" s="255"/>
    </row>
    <row r="54" spans="1:31" ht="12" customHeight="1">
      <c r="A54" s="255"/>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441"/>
      <c r="AA54" s="255">
        <f t="shared" si="3"/>
        <v>624</v>
      </c>
      <c r="AB54" s="255">
        <v>24</v>
      </c>
      <c r="AC54" s="255">
        <v>1</v>
      </c>
      <c r="AD54" s="255">
        <v>2</v>
      </c>
      <c r="AE54" s="255"/>
    </row>
    <row r="55" spans="1:31" ht="12" customHeight="1">
      <c r="A55" s="255"/>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441"/>
      <c r="AA55" s="255">
        <f t="shared" si="3"/>
        <v>625</v>
      </c>
      <c r="AB55" s="255">
        <v>25</v>
      </c>
      <c r="AC55" s="255">
        <v>5</v>
      </c>
      <c r="AD55" s="255">
        <v>2</v>
      </c>
      <c r="AE55" s="255"/>
    </row>
    <row r="56" spans="1:31" ht="12" customHeight="1">
      <c r="A56" s="255"/>
      <c r="B56" s="255"/>
      <c r="C56" s="255"/>
      <c r="D56" s="255"/>
      <c r="E56" s="255"/>
      <c r="F56" s="255"/>
      <c r="G56" s="255"/>
      <c r="H56" s="255"/>
      <c r="I56" s="255"/>
      <c r="J56" s="255"/>
      <c r="K56" s="255"/>
      <c r="L56" s="255"/>
      <c r="M56" s="255"/>
      <c r="Z56" s="441"/>
      <c r="AA56" s="255">
        <f t="shared" si="3"/>
        <v>626</v>
      </c>
      <c r="AB56" s="255">
        <v>26</v>
      </c>
      <c r="AC56" s="255">
        <v>3</v>
      </c>
      <c r="AD56" s="255">
        <v>1</v>
      </c>
      <c r="AE56" s="255"/>
    </row>
    <row r="57" spans="1:31" ht="12" customHeight="1">
      <c r="A57" s="255"/>
      <c r="B57" s="255"/>
      <c r="C57" s="255"/>
      <c r="D57" s="255"/>
      <c r="E57" s="255"/>
      <c r="F57" s="255"/>
      <c r="G57" s="255"/>
      <c r="H57" s="255"/>
      <c r="I57" s="255"/>
      <c r="J57" s="255"/>
      <c r="K57" s="255"/>
      <c r="L57" s="255"/>
      <c r="M57" s="255"/>
      <c r="Z57" s="441"/>
      <c r="AA57" s="255">
        <f t="shared" si="3"/>
        <v>631</v>
      </c>
      <c r="AB57" s="255">
        <v>31</v>
      </c>
      <c r="AC57" s="255">
        <v>3</v>
      </c>
      <c r="AD57" s="255">
        <v>2</v>
      </c>
      <c r="AE57" s="255"/>
    </row>
    <row r="58" spans="1:31" ht="12" customHeight="1">
      <c r="A58" s="255"/>
      <c r="B58" s="255"/>
      <c r="C58" s="255"/>
      <c r="D58" s="255"/>
      <c r="E58" s="255"/>
      <c r="F58" s="255"/>
      <c r="G58" s="255"/>
      <c r="H58" s="255"/>
      <c r="I58" s="255"/>
      <c r="J58" s="255"/>
      <c r="K58" s="255"/>
      <c r="L58" s="255"/>
      <c r="M58" s="255"/>
      <c r="Z58" s="441"/>
      <c r="AA58" s="255">
        <f t="shared" si="3"/>
        <v>632</v>
      </c>
      <c r="AB58" s="255">
        <v>32</v>
      </c>
      <c r="AC58" s="255">
        <v>2</v>
      </c>
      <c r="AD58" s="255">
        <v>3</v>
      </c>
      <c r="AE58" s="255"/>
    </row>
    <row r="59" spans="1:31" ht="12" customHeight="1">
      <c r="A59" s="255"/>
      <c r="B59" s="255"/>
      <c r="C59" s="255"/>
      <c r="D59" s="255"/>
      <c r="E59" s="255"/>
      <c r="F59" s="255"/>
      <c r="G59" s="255"/>
      <c r="H59" s="255"/>
      <c r="I59" s="255"/>
      <c r="J59" s="255"/>
      <c r="K59" s="255"/>
      <c r="L59" s="255"/>
      <c r="M59" s="255"/>
      <c r="Z59" s="441"/>
      <c r="AA59" s="255">
        <f t="shared" si="3"/>
        <v>634</v>
      </c>
      <c r="AB59" s="255">
        <v>34</v>
      </c>
      <c r="AC59" s="255">
        <v>5</v>
      </c>
      <c r="AD59" s="255">
        <v>1</v>
      </c>
      <c r="AE59" s="255"/>
    </row>
    <row r="60" spans="1:31" ht="12" customHeight="1">
      <c r="A60" s="255"/>
      <c r="B60" s="255"/>
      <c r="C60" s="255"/>
      <c r="D60" s="255"/>
      <c r="E60" s="255"/>
      <c r="F60" s="255"/>
      <c r="G60" s="255"/>
      <c r="H60" s="255"/>
      <c r="I60" s="255"/>
      <c r="J60" s="255"/>
      <c r="K60" s="255"/>
      <c r="L60" s="255"/>
      <c r="M60" s="255"/>
      <c r="Z60" s="441"/>
      <c r="AA60" s="255">
        <f t="shared" si="3"/>
        <v>635</v>
      </c>
      <c r="AB60" s="255">
        <v>35</v>
      </c>
      <c r="AC60" s="255">
        <v>4</v>
      </c>
      <c r="AD60" s="255">
        <v>1</v>
      </c>
      <c r="AE60" s="255"/>
    </row>
    <row r="61" spans="1:31" ht="12" customHeight="1">
      <c r="A61" s="255"/>
      <c r="B61" s="255"/>
      <c r="C61" s="255"/>
      <c r="D61" s="255"/>
      <c r="E61" s="255"/>
      <c r="F61" s="255"/>
      <c r="G61" s="255"/>
      <c r="H61" s="255"/>
      <c r="I61" s="255"/>
      <c r="J61" s="255"/>
      <c r="K61" s="255"/>
      <c r="L61" s="255"/>
      <c r="M61" s="255"/>
      <c r="Z61" s="441"/>
      <c r="AA61" s="255">
        <f t="shared" si="3"/>
        <v>636</v>
      </c>
      <c r="AB61" s="255">
        <v>36</v>
      </c>
      <c r="AC61" s="255">
        <v>1</v>
      </c>
      <c r="AD61" s="255">
        <v>3</v>
      </c>
      <c r="AE61" s="255"/>
    </row>
    <row r="62" spans="1:31" ht="12" customHeight="1">
      <c r="A62" s="255"/>
      <c r="B62" s="255"/>
      <c r="C62" s="255"/>
      <c r="D62" s="255"/>
      <c r="E62" s="255"/>
      <c r="F62" s="255"/>
      <c r="G62" s="255"/>
      <c r="H62" s="255"/>
      <c r="I62" s="255"/>
      <c r="J62" s="255"/>
      <c r="K62" s="255"/>
      <c r="L62" s="255"/>
      <c r="M62" s="255"/>
      <c r="Z62" s="441"/>
      <c r="AA62" s="255">
        <f t="shared" si="3"/>
        <v>641</v>
      </c>
      <c r="AB62" s="255">
        <v>41</v>
      </c>
      <c r="AC62" s="255">
        <v>2</v>
      </c>
      <c r="AD62" s="255">
        <v>1</v>
      </c>
      <c r="AE62" s="255"/>
    </row>
    <row r="63" spans="1:31" ht="12" customHeight="1">
      <c r="Z63" s="441"/>
      <c r="AA63" s="255">
        <f t="shared" si="3"/>
        <v>642</v>
      </c>
      <c r="AB63" s="255">
        <v>42</v>
      </c>
      <c r="AC63" s="255">
        <v>1</v>
      </c>
      <c r="AD63" s="255">
        <v>2</v>
      </c>
      <c r="AE63" s="255"/>
    </row>
    <row r="64" spans="1:31" ht="12" customHeight="1">
      <c r="Z64" s="441"/>
      <c r="AA64" s="255">
        <f t="shared" si="3"/>
        <v>643</v>
      </c>
      <c r="AB64" s="255">
        <v>43</v>
      </c>
      <c r="AC64" s="255">
        <v>5</v>
      </c>
      <c r="AD64" s="255">
        <v>1</v>
      </c>
      <c r="AE64" s="255"/>
    </row>
    <row r="65" spans="26:31" ht="12" customHeight="1">
      <c r="Z65" s="441"/>
      <c r="AA65" s="255">
        <f t="shared" si="3"/>
        <v>645</v>
      </c>
      <c r="AB65" s="255">
        <v>45</v>
      </c>
      <c r="AC65" s="255">
        <v>3</v>
      </c>
      <c r="AD65" s="255">
        <v>3</v>
      </c>
      <c r="AE65" s="255"/>
    </row>
    <row r="66" spans="26:31" ht="12" customHeight="1">
      <c r="Z66" s="441"/>
      <c r="AA66" s="255">
        <f t="shared" si="3"/>
        <v>646</v>
      </c>
      <c r="AB66" s="255">
        <v>46</v>
      </c>
      <c r="AC66" s="255">
        <v>4</v>
      </c>
      <c r="AD66" s="255">
        <v>2</v>
      </c>
      <c r="AE66" s="255"/>
    </row>
    <row r="67" spans="26:31" ht="12" customHeight="1">
      <c r="Z67" s="441"/>
      <c r="AA67" s="255">
        <f t="shared" si="3"/>
        <v>651</v>
      </c>
      <c r="AB67" s="255">
        <v>51</v>
      </c>
      <c r="AC67" s="255">
        <v>1</v>
      </c>
      <c r="AD67" s="255">
        <v>1</v>
      </c>
      <c r="AE67" s="255"/>
    </row>
    <row r="68" spans="26:31" ht="12" customHeight="1">
      <c r="Z68" s="441"/>
      <c r="AA68" s="255">
        <f t="shared" si="3"/>
        <v>652</v>
      </c>
      <c r="AB68" s="255">
        <v>52</v>
      </c>
      <c r="AC68" s="255">
        <v>5</v>
      </c>
      <c r="AD68" s="255">
        <v>2</v>
      </c>
      <c r="AE68" s="255"/>
    </row>
    <row r="69" spans="26:31" ht="12" customHeight="1">
      <c r="Z69" s="441"/>
      <c r="AA69" s="255">
        <f t="shared" si="3"/>
        <v>653</v>
      </c>
      <c r="AB69" s="255">
        <v>53</v>
      </c>
      <c r="AC69" s="255">
        <v>4</v>
      </c>
      <c r="AD69" s="255">
        <v>1</v>
      </c>
      <c r="AE69" s="255"/>
    </row>
    <row r="70" spans="26:31" ht="12" customHeight="1">
      <c r="Z70" s="441"/>
      <c r="AA70" s="255">
        <f t="shared" si="3"/>
        <v>654</v>
      </c>
      <c r="AB70" s="255">
        <v>54</v>
      </c>
      <c r="AC70" s="255">
        <v>3</v>
      </c>
      <c r="AD70" s="255">
        <v>3</v>
      </c>
      <c r="AE70" s="255"/>
    </row>
    <row r="71" spans="26:31" ht="12" customHeight="1">
      <c r="Z71" s="441"/>
      <c r="AA71" s="255">
        <f t="shared" si="3"/>
        <v>656</v>
      </c>
      <c r="AB71" s="255">
        <v>56</v>
      </c>
      <c r="AC71" s="255">
        <v>2</v>
      </c>
      <c r="AD71" s="255">
        <v>2</v>
      </c>
      <c r="AE71" s="255"/>
    </row>
    <row r="72" spans="26:31" ht="12" customHeight="1">
      <c r="Z72" s="441"/>
      <c r="AA72" s="255">
        <f t="shared" si="3"/>
        <v>661</v>
      </c>
      <c r="AB72" s="255">
        <v>61</v>
      </c>
      <c r="AC72" s="255">
        <v>5</v>
      </c>
      <c r="AD72" s="255">
        <v>3</v>
      </c>
      <c r="AE72" s="255"/>
    </row>
    <row r="73" spans="26:31" ht="12" customHeight="1">
      <c r="Z73" s="441"/>
      <c r="AA73" s="255">
        <f t="shared" si="3"/>
        <v>662</v>
      </c>
      <c r="AB73" s="255">
        <v>62</v>
      </c>
      <c r="AC73" s="255">
        <v>3</v>
      </c>
      <c r="AD73" s="255">
        <v>1</v>
      </c>
      <c r="AE73" s="255"/>
    </row>
    <row r="74" spans="26:31" ht="12" customHeight="1">
      <c r="Z74" s="441"/>
      <c r="AA74" s="255">
        <f t="shared" si="3"/>
        <v>663</v>
      </c>
      <c r="AB74" s="255">
        <v>63</v>
      </c>
      <c r="AC74" s="255">
        <v>1</v>
      </c>
      <c r="AD74" s="255">
        <v>3</v>
      </c>
      <c r="AE74" s="255"/>
    </row>
    <row r="75" spans="26:31" ht="12" customHeight="1">
      <c r="Z75" s="441"/>
      <c r="AA75" s="255">
        <f t="shared" si="3"/>
        <v>664</v>
      </c>
      <c r="AB75" s="255">
        <v>64</v>
      </c>
      <c r="AC75" s="255">
        <v>4</v>
      </c>
      <c r="AD75" s="255">
        <v>2</v>
      </c>
      <c r="AE75" s="255"/>
    </row>
    <row r="76" spans="26:31" ht="12" customHeight="1">
      <c r="Z76" s="441"/>
      <c r="AA76" s="255">
        <f t="shared" si="3"/>
        <v>665</v>
      </c>
      <c r="AB76" s="255">
        <v>65</v>
      </c>
      <c r="AC76" s="255">
        <v>2</v>
      </c>
      <c r="AD76" s="255">
        <v>2</v>
      </c>
      <c r="AE76" s="255"/>
    </row>
    <row r="77" spans="26:31" ht="12" customHeight="1">
      <c r="Z77" s="441"/>
      <c r="AA77" s="255"/>
      <c r="AB77" s="255"/>
      <c r="AC77" s="255"/>
      <c r="AD77" s="255"/>
      <c r="AE77" s="255"/>
    </row>
    <row r="78" spans="26:31" ht="12" customHeight="1">
      <c r="Z78" s="441"/>
      <c r="AA78" s="255"/>
      <c r="AB78" s="255"/>
      <c r="AC78" s="255"/>
      <c r="AD78" s="255"/>
      <c r="AE78" s="255"/>
    </row>
    <row r="79" spans="26:31" ht="12" customHeight="1">
      <c r="Z79" s="255"/>
      <c r="AA79" s="255"/>
      <c r="AB79" s="255"/>
      <c r="AC79" s="255"/>
      <c r="AD79" s="255"/>
      <c r="AE79" s="255"/>
    </row>
    <row r="80" spans="26:31" ht="12" customHeight="1">
      <c r="Z80" s="255"/>
      <c r="AA80" s="255"/>
      <c r="AB80" s="255"/>
      <c r="AC80" s="255"/>
      <c r="AD80" s="255"/>
      <c r="AE80" s="255"/>
    </row>
    <row r="81" spans="26:31" ht="12" customHeight="1">
      <c r="Z81" s="255"/>
      <c r="AA81" s="255"/>
      <c r="AB81" s="255"/>
      <c r="AC81" s="255"/>
      <c r="AD81" s="255"/>
      <c r="AE81" s="255"/>
    </row>
    <row r="82" spans="26:31" ht="12" customHeight="1">
      <c r="Z82" s="255"/>
      <c r="AA82" s="255"/>
      <c r="AB82" s="255"/>
      <c r="AC82" s="255"/>
      <c r="AD82" s="255"/>
      <c r="AE82" s="255"/>
    </row>
    <row r="83" spans="26:31" ht="12" customHeight="1"/>
    <row r="84" spans="26:31" ht="12" customHeight="1"/>
    <row r="85" spans="26:31" ht="12" customHeight="1"/>
    <row r="86" spans="26:31" ht="12" customHeight="1"/>
    <row r="87" spans="26:31" ht="12" customHeight="1"/>
    <row r="88" spans="26:31" ht="12" customHeight="1"/>
    <row r="89" spans="26:31" ht="12" customHeight="1"/>
    <row r="90" spans="26:31" ht="12" customHeight="1"/>
    <row r="91" spans="26:31" ht="12" customHeight="1"/>
    <row r="92" spans="26:31" ht="12" customHeight="1"/>
    <row r="93" spans="26:31" ht="12" customHeight="1"/>
    <row r="94" spans="26:31" ht="12" customHeight="1"/>
    <row r="95" spans="26:31" ht="12" customHeight="1"/>
    <row r="96" spans="26:31"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1000"/>
  <sheetViews>
    <sheetView workbookViewId="0">
      <pane ySplit="3" topLeftCell="A4" activePane="bottomLeft" state="frozen"/>
      <selection pane="bottomLeft" activeCell="B5" sqref="B5"/>
    </sheetView>
  </sheetViews>
  <sheetFormatPr defaultColWidth="14.375" defaultRowHeight="15" customHeight="1"/>
  <cols>
    <col min="1" max="2" width="8" customWidth="1"/>
    <col min="3" max="3" width="9" hidden="1" customWidth="1"/>
    <col min="4" max="4" width="9.375" hidden="1" customWidth="1"/>
    <col min="5" max="6" width="9.375" customWidth="1"/>
    <col min="7" max="8" width="8" customWidth="1"/>
    <col min="9" max="9" width="10.25" customWidth="1"/>
    <col min="10" max="10" width="8" hidden="1" customWidth="1"/>
    <col min="11" max="11" width="18.75" customWidth="1"/>
    <col min="12" max="12" width="8.75" customWidth="1"/>
    <col min="13" max="26" width="8" customWidth="1"/>
  </cols>
  <sheetData>
    <row r="1" spans="1:12" ht="12" customHeight="1">
      <c r="A1" s="450" t="s">
        <v>1932</v>
      </c>
      <c r="B1" s="451"/>
      <c r="C1" s="451"/>
      <c r="E1" s="451"/>
      <c r="K1" s="74" t="s">
        <v>1694</v>
      </c>
      <c r="L1" s="75" t="e">
        <f>'Kvalita turnaje'!#REF!</f>
        <v>#REF!</v>
      </c>
    </row>
    <row r="2" spans="1:12" ht="12" customHeight="1">
      <c r="A2" s="276">
        <v>1</v>
      </c>
      <c r="B2" s="276">
        <v>2</v>
      </c>
      <c r="C2" s="276">
        <v>3</v>
      </c>
      <c r="D2" s="276">
        <v>4</v>
      </c>
      <c r="E2" s="276">
        <v>5</v>
      </c>
      <c r="F2" s="276">
        <v>6</v>
      </c>
      <c r="G2" s="6" t="s">
        <v>1933</v>
      </c>
      <c r="I2" s="76" t="s">
        <v>1934</v>
      </c>
      <c r="K2" s="74" t="s">
        <v>1697</v>
      </c>
      <c r="L2" s="76">
        <f>IF(TYPE(VLOOKUP(Start.listina!N2,Bonusy!A4:B8,2,0))&gt;3,0,VLOOKUP(Start.listina!N2,Bonusy!A4:B8,2,0))</f>
        <v>100</v>
      </c>
    </row>
    <row r="3" spans="1:12" ht="35.25" customHeight="1">
      <c r="A3" s="452" t="s">
        <v>1813</v>
      </c>
      <c r="B3" s="453" t="s">
        <v>1935</v>
      </c>
      <c r="C3" s="454" t="s">
        <v>1936</v>
      </c>
      <c r="D3" s="454" t="s">
        <v>1937</v>
      </c>
      <c r="E3" s="454" t="s">
        <v>1938</v>
      </c>
      <c r="F3" s="455" t="s">
        <v>1741</v>
      </c>
      <c r="G3" s="456" t="s">
        <v>1939</v>
      </c>
      <c r="H3" s="457">
        <f>'Počet kol'!$D$3</f>
        <v>6</v>
      </c>
      <c r="I3" s="458">
        <f>Start.listina!$K$7</f>
        <v>45</v>
      </c>
      <c r="K3" s="74" t="s">
        <v>1701</v>
      </c>
      <c r="L3" s="76">
        <f>IF(TYPE(VLOOKUP(Start.listina!N2,Paušál!A4:B7,2,0))&gt;3,0,VLOOKUP(Start.listina!N2,Paušál!A4:B7,2,0))</f>
        <v>10</v>
      </c>
    </row>
    <row r="4" spans="1:12" ht="12" customHeight="1">
      <c r="A4" s="459">
        <v>1</v>
      </c>
      <c r="B4" s="142">
        <f t="shared" ref="B4:B258" si="0">J4*($H$3-C4+D4)</f>
        <v>6</v>
      </c>
      <c r="C4" s="160">
        <v>0</v>
      </c>
      <c r="D4" s="6">
        <v>0</v>
      </c>
      <c r="E4" s="6" t="e">
        <f t="shared" ref="E4:E258" si="1">J4*(B4*$L$1+F4)-(J4-1)*$L$3</f>
        <v>#REF!</v>
      </c>
      <c r="F4" s="6">
        <f t="shared" ref="F4:F258" si="2">IF(A4&lt;$I$3,$L$2,0)</f>
        <v>100</v>
      </c>
      <c r="J4" s="6">
        <f t="shared" ref="J4:J258" si="3">IF($I$3&lt;=A4,0,1)</f>
        <v>1</v>
      </c>
    </row>
    <row r="5" spans="1:12" ht="12" customHeight="1">
      <c r="A5" s="459">
        <v>2</v>
      </c>
      <c r="B5" s="142">
        <f t="shared" si="0"/>
        <v>5</v>
      </c>
      <c r="C5" s="160">
        <v>1</v>
      </c>
      <c r="D5" s="6">
        <v>0</v>
      </c>
      <c r="E5" s="6" t="e">
        <f t="shared" si="1"/>
        <v>#REF!</v>
      </c>
      <c r="F5" s="6">
        <f t="shared" si="2"/>
        <v>100</v>
      </c>
      <c r="J5" s="6">
        <f t="shared" si="3"/>
        <v>1</v>
      </c>
    </row>
    <row r="6" spans="1:12" ht="12" customHeight="1">
      <c r="A6" s="459">
        <v>3</v>
      </c>
      <c r="B6" s="142">
        <f t="shared" si="0"/>
        <v>4.5</v>
      </c>
      <c r="C6" s="160">
        <v>2</v>
      </c>
      <c r="D6" s="142">
        <f>1/2</f>
        <v>0.5</v>
      </c>
      <c r="E6" s="6" t="e">
        <f t="shared" si="1"/>
        <v>#REF!</v>
      </c>
      <c r="F6" s="6">
        <f t="shared" si="2"/>
        <v>100</v>
      </c>
      <c r="J6" s="6">
        <f t="shared" si="3"/>
        <v>1</v>
      </c>
    </row>
    <row r="7" spans="1:12" ht="12" customHeight="1">
      <c r="A7" s="459">
        <v>4</v>
      </c>
      <c r="B7" s="142">
        <f t="shared" si="0"/>
        <v>4</v>
      </c>
      <c r="C7" s="160">
        <v>2</v>
      </c>
      <c r="D7" s="6">
        <v>0</v>
      </c>
      <c r="E7" s="6" t="e">
        <f t="shared" si="1"/>
        <v>#REF!</v>
      </c>
      <c r="F7" s="6">
        <f t="shared" si="2"/>
        <v>100</v>
      </c>
      <c r="J7" s="6">
        <f t="shared" si="3"/>
        <v>1</v>
      </c>
    </row>
    <row r="8" spans="1:12" ht="12" customHeight="1">
      <c r="A8" s="459">
        <v>5</v>
      </c>
      <c r="B8" s="142">
        <f t="shared" si="0"/>
        <v>3.75</v>
      </c>
      <c r="C8" s="160">
        <v>3</v>
      </c>
      <c r="D8" s="6">
        <f>3/4</f>
        <v>0.75</v>
      </c>
      <c r="E8" s="6" t="e">
        <f t="shared" si="1"/>
        <v>#REF!</v>
      </c>
      <c r="F8" s="6">
        <f t="shared" si="2"/>
        <v>100</v>
      </c>
      <c r="J8" s="6">
        <f t="shared" si="3"/>
        <v>1</v>
      </c>
    </row>
    <row r="9" spans="1:12" ht="12" customHeight="1">
      <c r="A9" s="459">
        <v>6</v>
      </c>
      <c r="B9" s="142">
        <f t="shared" si="0"/>
        <v>3.5</v>
      </c>
      <c r="C9" s="160">
        <v>3</v>
      </c>
      <c r="D9" s="6">
        <f>2/4</f>
        <v>0.5</v>
      </c>
      <c r="E9" s="6" t="e">
        <f t="shared" si="1"/>
        <v>#REF!</v>
      </c>
      <c r="F9" s="6">
        <f t="shared" si="2"/>
        <v>100</v>
      </c>
      <c r="J9" s="6">
        <f t="shared" si="3"/>
        <v>1</v>
      </c>
    </row>
    <row r="10" spans="1:12" ht="12" customHeight="1">
      <c r="A10" s="459">
        <v>7</v>
      </c>
      <c r="B10" s="142">
        <f t="shared" si="0"/>
        <v>3.25</v>
      </c>
      <c r="C10" s="160">
        <v>3</v>
      </c>
      <c r="D10" s="6">
        <f>1/4</f>
        <v>0.25</v>
      </c>
      <c r="E10" s="6" t="e">
        <f t="shared" si="1"/>
        <v>#REF!</v>
      </c>
      <c r="F10" s="6">
        <f t="shared" si="2"/>
        <v>100</v>
      </c>
      <c r="J10" s="6">
        <f t="shared" si="3"/>
        <v>1</v>
      </c>
    </row>
    <row r="11" spans="1:12" ht="12" customHeight="1">
      <c r="A11" s="459">
        <v>8</v>
      </c>
      <c r="B11" s="142">
        <f t="shared" si="0"/>
        <v>3</v>
      </c>
      <c r="C11" s="160">
        <v>3</v>
      </c>
      <c r="D11" s="6">
        <v>0</v>
      </c>
      <c r="E11" s="6" t="e">
        <f t="shared" si="1"/>
        <v>#REF!</v>
      </c>
      <c r="F11" s="6">
        <f t="shared" si="2"/>
        <v>100</v>
      </c>
      <c r="J11" s="6">
        <f t="shared" si="3"/>
        <v>1</v>
      </c>
    </row>
    <row r="12" spans="1:12" ht="12" customHeight="1">
      <c r="A12" s="459">
        <v>9</v>
      </c>
      <c r="B12" s="142">
        <f t="shared" si="0"/>
        <v>2.875</v>
      </c>
      <c r="C12" s="160">
        <v>4</v>
      </c>
      <c r="D12" s="6">
        <f>7/8</f>
        <v>0.875</v>
      </c>
      <c r="E12" s="6" t="e">
        <f t="shared" si="1"/>
        <v>#REF!</v>
      </c>
      <c r="F12" s="6">
        <f t="shared" si="2"/>
        <v>100</v>
      </c>
      <c r="J12" s="6">
        <f t="shared" si="3"/>
        <v>1</v>
      </c>
    </row>
    <row r="13" spans="1:12" ht="12" customHeight="1">
      <c r="A13" s="459">
        <v>10</v>
      </c>
      <c r="B13" s="142">
        <f t="shared" si="0"/>
        <v>2.75</v>
      </c>
      <c r="C13" s="160">
        <v>4</v>
      </c>
      <c r="D13" s="6">
        <f>6/8</f>
        <v>0.75</v>
      </c>
      <c r="E13" s="6" t="e">
        <f t="shared" si="1"/>
        <v>#REF!</v>
      </c>
      <c r="F13" s="6">
        <f t="shared" si="2"/>
        <v>100</v>
      </c>
      <c r="J13" s="6">
        <f t="shared" si="3"/>
        <v>1</v>
      </c>
    </row>
    <row r="14" spans="1:12" ht="12" customHeight="1">
      <c r="A14" s="459">
        <v>11</v>
      </c>
      <c r="B14" s="142">
        <f t="shared" si="0"/>
        <v>2.625</v>
      </c>
      <c r="C14" s="160">
        <v>4</v>
      </c>
      <c r="D14" s="6">
        <f>5/8</f>
        <v>0.625</v>
      </c>
      <c r="E14" s="6" t="e">
        <f t="shared" si="1"/>
        <v>#REF!</v>
      </c>
      <c r="F14" s="6">
        <f t="shared" si="2"/>
        <v>100</v>
      </c>
      <c r="J14" s="6">
        <f t="shared" si="3"/>
        <v>1</v>
      </c>
    </row>
    <row r="15" spans="1:12" ht="12" customHeight="1">
      <c r="A15" s="459">
        <v>12</v>
      </c>
      <c r="B15" s="142">
        <f t="shared" si="0"/>
        <v>2.5</v>
      </c>
      <c r="C15" s="160">
        <v>4</v>
      </c>
      <c r="D15" s="6">
        <f>4/8</f>
        <v>0.5</v>
      </c>
      <c r="E15" s="6" t="e">
        <f t="shared" si="1"/>
        <v>#REF!</v>
      </c>
      <c r="F15" s="6">
        <f t="shared" si="2"/>
        <v>100</v>
      </c>
      <c r="J15" s="6">
        <f t="shared" si="3"/>
        <v>1</v>
      </c>
    </row>
    <row r="16" spans="1:12" ht="12" customHeight="1">
      <c r="A16" s="459">
        <v>13</v>
      </c>
      <c r="B16" s="142">
        <f t="shared" si="0"/>
        <v>2.375</v>
      </c>
      <c r="C16" s="160">
        <v>4</v>
      </c>
      <c r="D16" s="6">
        <f>3/8</f>
        <v>0.375</v>
      </c>
      <c r="E16" s="6" t="e">
        <f t="shared" si="1"/>
        <v>#REF!</v>
      </c>
      <c r="F16" s="6">
        <f t="shared" si="2"/>
        <v>100</v>
      </c>
      <c r="J16" s="6">
        <f t="shared" si="3"/>
        <v>1</v>
      </c>
    </row>
    <row r="17" spans="1:10" ht="12" customHeight="1">
      <c r="A17" s="459">
        <v>14</v>
      </c>
      <c r="B17" s="142">
        <f t="shared" si="0"/>
        <v>2.25</v>
      </c>
      <c r="C17" s="160">
        <v>4</v>
      </c>
      <c r="D17" s="6">
        <f>2/8</f>
        <v>0.25</v>
      </c>
      <c r="E17" s="6" t="e">
        <f t="shared" si="1"/>
        <v>#REF!</v>
      </c>
      <c r="F17" s="6">
        <f t="shared" si="2"/>
        <v>100</v>
      </c>
      <c r="J17" s="6">
        <f t="shared" si="3"/>
        <v>1</v>
      </c>
    </row>
    <row r="18" spans="1:10" ht="12" customHeight="1">
      <c r="A18" s="459">
        <v>15</v>
      </c>
      <c r="B18" s="142">
        <f t="shared" si="0"/>
        <v>2.125</v>
      </c>
      <c r="C18" s="160">
        <v>4</v>
      </c>
      <c r="D18" s="6">
        <f>1/8</f>
        <v>0.125</v>
      </c>
      <c r="E18" s="6" t="e">
        <f t="shared" si="1"/>
        <v>#REF!</v>
      </c>
      <c r="F18" s="6">
        <f t="shared" si="2"/>
        <v>100</v>
      </c>
      <c r="J18" s="6">
        <f t="shared" si="3"/>
        <v>1</v>
      </c>
    </row>
    <row r="19" spans="1:10" ht="12" customHeight="1">
      <c r="A19" s="459">
        <v>16</v>
      </c>
      <c r="B19" s="142">
        <f t="shared" si="0"/>
        <v>2</v>
      </c>
      <c r="C19" s="160">
        <v>4</v>
      </c>
      <c r="D19" s="6">
        <v>0</v>
      </c>
      <c r="E19" s="6" t="e">
        <f t="shared" si="1"/>
        <v>#REF!</v>
      </c>
      <c r="F19" s="6">
        <f t="shared" si="2"/>
        <v>100</v>
      </c>
      <c r="J19" s="6">
        <f t="shared" si="3"/>
        <v>1</v>
      </c>
    </row>
    <row r="20" spans="1:10" ht="12" customHeight="1">
      <c r="A20" s="459">
        <v>17</v>
      </c>
      <c r="B20" s="142">
        <f t="shared" si="0"/>
        <v>1.9375</v>
      </c>
      <c r="C20" s="160">
        <v>5</v>
      </c>
      <c r="D20" s="6">
        <f>15/16</f>
        <v>0.9375</v>
      </c>
      <c r="E20" s="6" t="e">
        <f t="shared" si="1"/>
        <v>#REF!</v>
      </c>
      <c r="F20" s="6">
        <f t="shared" si="2"/>
        <v>100</v>
      </c>
      <c r="J20" s="6">
        <f t="shared" si="3"/>
        <v>1</v>
      </c>
    </row>
    <row r="21" spans="1:10" ht="12" customHeight="1">
      <c r="A21" s="459">
        <v>18</v>
      </c>
      <c r="B21" s="142">
        <f t="shared" si="0"/>
        <v>1.875</v>
      </c>
      <c r="C21" s="160">
        <v>5</v>
      </c>
      <c r="D21" s="6">
        <f>14/16</f>
        <v>0.875</v>
      </c>
      <c r="E21" s="6" t="e">
        <f t="shared" si="1"/>
        <v>#REF!</v>
      </c>
      <c r="F21" s="6">
        <f t="shared" si="2"/>
        <v>100</v>
      </c>
      <c r="J21" s="6">
        <f t="shared" si="3"/>
        <v>1</v>
      </c>
    </row>
    <row r="22" spans="1:10" ht="12" customHeight="1">
      <c r="A22" s="459">
        <v>19</v>
      </c>
      <c r="B22" s="142">
        <f t="shared" si="0"/>
        <v>1.8125</v>
      </c>
      <c r="C22" s="160">
        <v>5</v>
      </c>
      <c r="D22" s="6">
        <f>13/16</f>
        <v>0.8125</v>
      </c>
      <c r="E22" s="6" t="e">
        <f t="shared" si="1"/>
        <v>#REF!</v>
      </c>
      <c r="F22" s="6">
        <f t="shared" si="2"/>
        <v>100</v>
      </c>
      <c r="J22" s="6">
        <f t="shared" si="3"/>
        <v>1</v>
      </c>
    </row>
    <row r="23" spans="1:10" ht="12" customHeight="1">
      <c r="A23" s="459">
        <v>20</v>
      </c>
      <c r="B23" s="142">
        <f t="shared" si="0"/>
        <v>1.75</v>
      </c>
      <c r="C23" s="160">
        <v>5</v>
      </c>
      <c r="D23" s="6">
        <f>12/16</f>
        <v>0.75</v>
      </c>
      <c r="E23" s="6" t="e">
        <f t="shared" si="1"/>
        <v>#REF!</v>
      </c>
      <c r="F23" s="6">
        <f t="shared" si="2"/>
        <v>100</v>
      </c>
      <c r="J23" s="6">
        <f t="shared" si="3"/>
        <v>1</v>
      </c>
    </row>
    <row r="24" spans="1:10" ht="12" customHeight="1">
      <c r="A24" s="459">
        <v>21</v>
      </c>
      <c r="B24" s="142">
        <f t="shared" si="0"/>
        <v>1.6875</v>
      </c>
      <c r="C24" s="160">
        <v>5</v>
      </c>
      <c r="D24" s="6">
        <f>11/16</f>
        <v>0.6875</v>
      </c>
      <c r="E24" s="6" t="e">
        <f t="shared" si="1"/>
        <v>#REF!</v>
      </c>
      <c r="F24" s="6">
        <f t="shared" si="2"/>
        <v>100</v>
      </c>
      <c r="J24" s="6">
        <f t="shared" si="3"/>
        <v>1</v>
      </c>
    </row>
    <row r="25" spans="1:10" ht="12" customHeight="1">
      <c r="A25" s="459">
        <v>22</v>
      </c>
      <c r="B25" s="142">
        <f t="shared" si="0"/>
        <v>1.625</v>
      </c>
      <c r="C25" s="160">
        <v>5</v>
      </c>
      <c r="D25" s="6">
        <f>10/16</f>
        <v>0.625</v>
      </c>
      <c r="E25" s="6" t="e">
        <f t="shared" si="1"/>
        <v>#REF!</v>
      </c>
      <c r="F25" s="6">
        <f t="shared" si="2"/>
        <v>100</v>
      </c>
      <c r="J25" s="6">
        <f t="shared" si="3"/>
        <v>1</v>
      </c>
    </row>
    <row r="26" spans="1:10" ht="12" customHeight="1">
      <c r="A26" s="459">
        <v>23</v>
      </c>
      <c r="B26" s="142">
        <f t="shared" si="0"/>
        <v>1.5625</v>
      </c>
      <c r="C26" s="160">
        <v>5</v>
      </c>
      <c r="D26" s="6">
        <f>9/16</f>
        <v>0.5625</v>
      </c>
      <c r="E26" s="6" t="e">
        <f t="shared" si="1"/>
        <v>#REF!</v>
      </c>
      <c r="F26" s="6">
        <f t="shared" si="2"/>
        <v>100</v>
      </c>
      <c r="J26" s="6">
        <f t="shared" si="3"/>
        <v>1</v>
      </c>
    </row>
    <row r="27" spans="1:10" ht="12" customHeight="1">
      <c r="A27" s="459">
        <v>24</v>
      </c>
      <c r="B27" s="142">
        <f t="shared" si="0"/>
        <v>1.5</v>
      </c>
      <c r="C27" s="160">
        <v>5</v>
      </c>
      <c r="D27" s="6">
        <f>8/16</f>
        <v>0.5</v>
      </c>
      <c r="E27" s="6" t="e">
        <f t="shared" si="1"/>
        <v>#REF!</v>
      </c>
      <c r="F27" s="6">
        <f t="shared" si="2"/>
        <v>100</v>
      </c>
      <c r="J27" s="6">
        <f t="shared" si="3"/>
        <v>1</v>
      </c>
    </row>
    <row r="28" spans="1:10" ht="12" customHeight="1">
      <c r="A28" s="459">
        <v>25</v>
      </c>
      <c r="B28" s="142">
        <f t="shared" si="0"/>
        <v>1.4375</v>
      </c>
      <c r="C28" s="160">
        <v>5</v>
      </c>
      <c r="D28" s="6">
        <f>7/16</f>
        <v>0.4375</v>
      </c>
      <c r="E28" s="6" t="e">
        <f t="shared" si="1"/>
        <v>#REF!</v>
      </c>
      <c r="F28" s="6">
        <f t="shared" si="2"/>
        <v>100</v>
      </c>
      <c r="J28" s="6">
        <f t="shared" si="3"/>
        <v>1</v>
      </c>
    </row>
    <row r="29" spans="1:10" ht="12" customHeight="1">
      <c r="A29" s="459">
        <v>26</v>
      </c>
      <c r="B29" s="142">
        <f t="shared" si="0"/>
        <v>1.375</v>
      </c>
      <c r="C29" s="160">
        <v>5</v>
      </c>
      <c r="D29" s="6">
        <f>6/16</f>
        <v>0.375</v>
      </c>
      <c r="E29" s="6" t="e">
        <f t="shared" si="1"/>
        <v>#REF!</v>
      </c>
      <c r="F29" s="6">
        <f t="shared" si="2"/>
        <v>100</v>
      </c>
      <c r="J29" s="6">
        <f t="shared" si="3"/>
        <v>1</v>
      </c>
    </row>
    <row r="30" spans="1:10" ht="12" customHeight="1">
      <c r="A30" s="459">
        <v>27</v>
      </c>
      <c r="B30" s="142">
        <f t="shared" si="0"/>
        <v>1.3125</v>
      </c>
      <c r="C30" s="160">
        <v>5</v>
      </c>
      <c r="D30" s="6">
        <f>5/16</f>
        <v>0.3125</v>
      </c>
      <c r="E30" s="6" t="e">
        <f t="shared" si="1"/>
        <v>#REF!</v>
      </c>
      <c r="F30" s="6">
        <f t="shared" si="2"/>
        <v>100</v>
      </c>
      <c r="J30" s="6">
        <f t="shared" si="3"/>
        <v>1</v>
      </c>
    </row>
    <row r="31" spans="1:10" ht="12" customHeight="1">
      <c r="A31" s="459">
        <v>28</v>
      </c>
      <c r="B31" s="142">
        <f t="shared" si="0"/>
        <v>1.25</v>
      </c>
      <c r="C31" s="160">
        <v>5</v>
      </c>
      <c r="D31" s="6">
        <f>4/16</f>
        <v>0.25</v>
      </c>
      <c r="E31" s="6" t="e">
        <f t="shared" si="1"/>
        <v>#REF!</v>
      </c>
      <c r="F31" s="6">
        <f t="shared" si="2"/>
        <v>100</v>
      </c>
      <c r="J31" s="6">
        <f t="shared" si="3"/>
        <v>1</v>
      </c>
    </row>
    <row r="32" spans="1:10" ht="12" customHeight="1">
      <c r="A32" s="459">
        <v>29</v>
      </c>
      <c r="B32" s="142">
        <f t="shared" si="0"/>
        <v>1.1875</v>
      </c>
      <c r="C32" s="160">
        <v>5</v>
      </c>
      <c r="D32" s="6">
        <f>3/16</f>
        <v>0.1875</v>
      </c>
      <c r="E32" s="6" t="e">
        <f t="shared" si="1"/>
        <v>#REF!</v>
      </c>
      <c r="F32" s="6">
        <f t="shared" si="2"/>
        <v>100</v>
      </c>
      <c r="J32" s="6">
        <f t="shared" si="3"/>
        <v>1</v>
      </c>
    </row>
    <row r="33" spans="1:10" ht="12" customHeight="1">
      <c r="A33" s="459">
        <v>30</v>
      </c>
      <c r="B33" s="142">
        <f t="shared" si="0"/>
        <v>1.125</v>
      </c>
      <c r="C33" s="160">
        <v>5</v>
      </c>
      <c r="D33" s="6">
        <f>2/16</f>
        <v>0.125</v>
      </c>
      <c r="E33" s="6" t="e">
        <f t="shared" si="1"/>
        <v>#REF!</v>
      </c>
      <c r="F33" s="6">
        <f t="shared" si="2"/>
        <v>100</v>
      </c>
      <c r="J33" s="6">
        <f t="shared" si="3"/>
        <v>1</v>
      </c>
    </row>
    <row r="34" spans="1:10" ht="12" customHeight="1">
      <c r="A34" s="459">
        <v>31</v>
      </c>
      <c r="B34" s="142">
        <f t="shared" si="0"/>
        <v>1.0625</v>
      </c>
      <c r="C34" s="160">
        <v>5</v>
      </c>
      <c r="D34" s="6">
        <f>1/16</f>
        <v>6.25E-2</v>
      </c>
      <c r="E34" s="6" t="e">
        <f t="shared" si="1"/>
        <v>#REF!</v>
      </c>
      <c r="F34" s="6">
        <f t="shared" si="2"/>
        <v>100</v>
      </c>
      <c r="J34" s="6">
        <f t="shared" si="3"/>
        <v>1</v>
      </c>
    </row>
    <row r="35" spans="1:10" ht="12" customHeight="1">
      <c r="A35" s="459">
        <v>32</v>
      </c>
      <c r="B35" s="142">
        <f t="shared" si="0"/>
        <v>1</v>
      </c>
      <c r="C35" s="160">
        <v>5</v>
      </c>
      <c r="D35" s="6">
        <v>0</v>
      </c>
      <c r="E35" s="6" t="e">
        <f t="shared" si="1"/>
        <v>#REF!</v>
      </c>
      <c r="F35" s="6">
        <f t="shared" si="2"/>
        <v>100</v>
      </c>
      <c r="J35" s="6">
        <f t="shared" si="3"/>
        <v>1</v>
      </c>
    </row>
    <row r="36" spans="1:10" ht="12" customHeight="1">
      <c r="A36" s="459">
        <v>33</v>
      </c>
      <c r="B36" s="142">
        <f t="shared" si="0"/>
        <v>0.96875</v>
      </c>
      <c r="C36" s="160">
        <v>6</v>
      </c>
      <c r="D36" s="6">
        <f>31/32</f>
        <v>0.96875</v>
      </c>
      <c r="E36" s="6" t="e">
        <f t="shared" si="1"/>
        <v>#REF!</v>
      </c>
      <c r="F36" s="6">
        <f t="shared" si="2"/>
        <v>100</v>
      </c>
      <c r="J36" s="6">
        <f t="shared" si="3"/>
        <v>1</v>
      </c>
    </row>
    <row r="37" spans="1:10" ht="12" customHeight="1">
      <c r="A37" s="459">
        <v>34</v>
      </c>
      <c r="B37" s="142">
        <f t="shared" si="0"/>
        <v>0.9375</v>
      </c>
      <c r="C37" s="160">
        <v>6</v>
      </c>
      <c r="D37" s="6">
        <f>30/32</f>
        <v>0.9375</v>
      </c>
      <c r="E37" s="6" t="e">
        <f t="shared" si="1"/>
        <v>#REF!</v>
      </c>
      <c r="F37" s="6">
        <f t="shared" si="2"/>
        <v>100</v>
      </c>
      <c r="J37" s="6">
        <f t="shared" si="3"/>
        <v>1</v>
      </c>
    </row>
    <row r="38" spans="1:10" ht="12" customHeight="1">
      <c r="A38" s="459">
        <v>35</v>
      </c>
      <c r="B38" s="142">
        <f t="shared" si="0"/>
        <v>0.90625</v>
      </c>
      <c r="C38" s="160">
        <v>6</v>
      </c>
      <c r="D38" s="6">
        <f>29/32</f>
        <v>0.90625</v>
      </c>
      <c r="E38" s="6" t="e">
        <f t="shared" si="1"/>
        <v>#REF!</v>
      </c>
      <c r="F38" s="6">
        <f t="shared" si="2"/>
        <v>100</v>
      </c>
      <c r="J38" s="6">
        <f t="shared" si="3"/>
        <v>1</v>
      </c>
    </row>
    <row r="39" spans="1:10" ht="12" customHeight="1">
      <c r="A39" s="459">
        <v>36</v>
      </c>
      <c r="B39" s="142">
        <f t="shared" si="0"/>
        <v>0.875</v>
      </c>
      <c r="C39" s="160">
        <v>6</v>
      </c>
      <c r="D39" s="6">
        <f>28/32</f>
        <v>0.875</v>
      </c>
      <c r="E39" s="6" t="e">
        <f t="shared" si="1"/>
        <v>#REF!</v>
      </c>
      <c r="F39" s="6">
        <f t="shared" si="2"/>
        <v>100</v>
      </c>
      <c r="J39" s="6">
        <f t="shared" si="3"/>
        <v>1</v>
      </c>
    </row>
    <row r="40" spans="1:10" ht="12" customHeight="1">
      <c r="A40" s="459">
        <v>37</v>
      </c>
      <c r="B40" s="142">
        <f t="shared" si="0"/>
        <v>0.84375</v>
      </c>
      <c r="C40" s="160">
        <v>6</v>
      </c>
      <c r="D40" s="6">
        <f>27/32</f>
        <v>0.84375</v>
      </c>
      <c r="E40" s="6" t="e">
        <f t="shared" si="1"/>
        <v>#REF!</v>
      </c>
      <c r="F40" s="6">
        <f t="shared" si="2"/>
        <v>100</v>
      </c>
      <c r="J40" s="6">
        <f t="shared" si="3"/>
        <v>1</v>
      </c>
    </row>
    <row r="41" spans="1:10" ht="12" customHeight="1">
      <c r="A41" s="459">
        <v>38</v>
      </c>
      <c r="B41" s="142">
        <f t="shared" si="0"/>
        <v>0.8125</v>
      </c>
      <c r="C41" s="160">
        <v>6</v>
      </c>
      <c r="D41" s="6">
        <f>26/32</f>
        <v>0.8125</v>
      </c>
      <c r="E41" s="6" t="e">
        <f t="shared" si="1"/>
        <v>#REF!</v>
      </c>
      <c r="F41" s="6">
        <f t="shared" si="2"/>
        <v>100</v>
      </c>
      <c r="J41" s="6">
        <f t="shared" si="3"/>
        <v>1</v>
      </c>
    </row>
    <row r="42" spans="1:10" ht="12" customHeight="1">
      <c r="A42" s="459">
        <v>39</v>
      </c>
      <c r="B42" s="142">
        <f t="shared" si="0"/>
        <v>0.78125</v>
      </c>
      <c r="C42" s="160">
        <v>6</v>
      </c>
      <c r="D42" s="6">
        <f>25/32</f>
        <v>0.78125</v>
      </c>
      <c r="E42" s="6" t="e">
        <f t="shared" si="1"/>
        <v>#REF!</v>
      </c>
      <c r="F42" s="6">
        <f t="shared" si="2"/>
        <v>100</v>
      </c>
      <c r="J42" s="6">
        <f t="shared" si="3"/>
        <v>1</v>
      </c>
    </row>
    <row r="43" spans="1:10" ht="12" customHeight="1">
      <c r="A43" s="459">
        <v>40</v>
      </c>
      <c r="B43" s="142">
        <f t="shared" si="0"/>
        <v>0.75</v>
      </c>
      <c r="C43" s="160">
        <v>6</v>
      </c>
      <c r="D43" s="6">
        <f>24/32</f>
        <v>0.75</v>
      </c>
      <c r="E43" s="6" t="e">
        <f t="shared" si="1"/>
        <v>#REF!</v>
      </c>
      <c r="F43" s="6">
        <f t="shared" si="2"/>
        <v>100</v>
      </c>
      <c r="J43" s="6">
        <f t="shared" si="3"/>
        <v>1</v>
      </c>
    </row>
    <row r="44" spans="1:10" ht="12" customHeight="1">
      <c r="A44" s="459">
        <v>41</v>
      </c>
      <c r="B44" s="142">
        <f t="shared" si="0"/>
        <v>0.71875</v>
      </c>
      <c r="C44" s="160">
        <v>6</v>
      </c>
      <c r="D44" s="6">
        <f>23/32</f>
        <v>0.71875</v>
      </c>
      <c r="E44" s="6" t="e">
        <f t="shared" si="1"/>
        <v>#REF!</v>
      </c>
      <c r="F44" s="6">
        <f t="shared" si="2"/>
        <v>100</v>
      </c>
      <c r="J44" s="6">
        <f t="shared" si="3"/>
        <v>1</v>
      </c>
    </row>
    <row r="45" spans="1:10" ht="12" customHeight="1">
      <c r="A45" s="459">
        <v>42</v>
      </c>
      <c r="B45" s="142">
        <f t="shared" si="0"/>
        <v>0.6875</v>
      </c>
      <c r="C45" s="160">
        <v>6</v>
      </c>
      <c r="D45" s="6">
        <f>22/32</f>
        <v>0.6875</v>
      </c>
      <c r="E45" s="6" t="e">
        <f t="shared" si="1"/>
        <v>#REF!</v>
      </c>
      <c r="F45" s="6">
        <f t="shared" si="2"/>
        <v>100</v>
      </c>
      <c r="J45" s="6">
        <f t="shared" si="3"/>
        <v>1</v>
      </c>
    </row>
    <row r="46" spans="1:10" ht="12" customHeight="1">
      <c r="A46" s="459">
        <v>43</v>
      </c>
      <c r="B46" s="142">
        <f t="shared" si="0"/>
        <v>0.65625</v>
      </c>
      <c r="C46" s="160">
        <v>6</v>
      </c>
      <c r="D46" s="6">
        <f>21/32</f>
        <v>0.65625</v>
      </c>
      <c r="E46" s="6" t="e">
        <f t="shared" si="1"/>
        <v>#REF!</v>
      </c>
      <c r="F46" s="6">
        <f t="shared" si="2"/>
        <v>100</v>
      </c>
      <c r="J46" s="6">
        <f t="shared" si="3"/>
        <v>1</v>
      </c>
    </row>
    <row r="47" spans="1:10" ht="12" customHeight="1">
      <c r="A47" s="459">
        <v>44</v>
      </c>
      <c r="B47" s="142">
        <f t="shared" si="0"/>
        <v>0.625</v>
      </c>
      <c r="C47" s="160">
        <v>6</v>
      </c>
      <c r="D47" s="6">
        <f>20/32</f>
        <v>0.625</v>
      </c>
      <c r="E47" s="6" t="e">
        <f t="shared" si="1"/>
        <v>#REF!</v>
      </c>
      <c r="F47" s="6">
        <f t="shared" si="2"/>
        <v>100</v>
      </c>
      <c r="J47" s="6">
        <f t="shared" si="3"/>
        <v>1</v>
      </c>
    </row>
    <row r="48" spans="1:10" ht="12" customHeight="1">
      <c r="A48" s="459">
        <v>45</v>
      </c>
      <c r="B48" s="142">
        <f t="shared" si="0"/>
        <v>0</v>
      </c>
      <c r="C48" s="160">
        <v>6</v>
      </c>
      <c r="D48" s="6">
        <f>19/32</f>
        <v>0.59375</v>
      </c>
      <c r="E48" s="6" t="e">
        <f t="shared" si="1"/>
        <v>#REF!</v>
      </c>
      <c r="F48" s="6">
        <f t="shared" si="2"/>
        <v>0</v>
      </c>
      <c r="J48" s="6">
        <f t="shared" si="3"/>
        <v>0</v>
      </c>
    </row>
    <row r="49" spans="1:10" ht="12" customHeight="1">
      <c r="A49" s="459">
        <v>46</v>
      </c>
      <c r="B49" s="142">
        <f t="shared" si="0"/>
        <v>0</v>
      </c>
      <c r="C49" s="160">
        <v>6</v>
      </c>
      <c r="D49" s="6">
        <f>18/32</f>
        <v>0.5625</v>
      </c>
      <c r="E49" s="6" t="e">
        <f t="shared" si="1"/>
        <v>#REF!</v>
      </c>
      <c r="F49" s="6">
        <f t="shared" si="2"/>
        <v>0</v>
      </c>
      <c r="J49" s="6">
        <f t="shared" si="3"/>
        <v>0</v>
      </c>
    </row>
    <row r="50" spans="1:10" ht="12" customHeight="1">
      <c r="A50" s="459">
        <v>47</v>
      </c>
      <c r="B50" s="142">
        <f t="shared" si="0"/>
        <v>0</v>
      </c>
      <c r="C50" s="160">
        <v>6</v>
      </c>
      <c r="D50" s="6">
        <f>17/32</f>
        <v>0.53125</v>
      </c>
      <c r="E50" s="6" t="e">
        <f t="shared" si="1"/>
        <v>#REF!</v>
      </c>
      <c r="F50" s="6">
        <f t="shared" si="2"/>
        <v>0</v>
      </c>
      <c r="J50" s="6">
        <f t="shared" si="3"/>
        <v>0</v>
      </c>
    </row>
    <row r="51" spans="1:10" ht="12" customHeight="1">
      <c r="A51" s="459">
        <v>48</v>
      </c>
      <c r="B51" s="142">
        <f t="shared" si="0"/>
        <v>0</v>
      </c>
      <c r="C51" s="160">
        <v>6</v>
      </c>
      <c r="D51" s="6">
        <f>16/32</f>
        <v>0.5</v>
      </c>
      <c r="E51" s="6" t="e">
        <f t="shared" si="1"/>
        <v>#REF!</v>
      </c>
      <c r="F51" s="6">
        <f t="shared" si="2"/>
        <v>0</v>
      </c>
      <c r="J51" s="6">
        <f t="shared" si="3"/>
        <v>0</v>
      </c>
    </row>
    <row r="52" spans="1:10" ht="12" customHeight="1">
      <c r="A52" s="459">
        <v>49</v>
      </c>
      <c r="B52" s="142">
        <f t="shared" si="0"/>
        <v>0</v>
      </c>
      <c r="C52" s="160">
        <v>6</v>
      </c>
      <c r="D52" s="6">
        <f>15/32</f>
        <v>0.46875</v>
      </c>
      <c r="E52" s="6" t="e">
        <f t="shared" si="1"/>
        <v>#REF!</v>
      </c>
      <c r="F52" s="6">
        <f t="shared" si="2"/>
        <v>0</v>
      </c>
      <c r="J52" s="6">
        <f t="shared" si="3"/>
        <v>0</v>
      </c>
    </row>
    <row r="53" spans="1:10" ht="12" customHeight="1">
      <c r="A53" s="459">
        <v>50</v>
      </c>
      <c r="B53" s="142">
        <f t="shared" si="0"/>
        <v>0</v>
      </c>
      <c r="C53" s="160">
        <v>6</v>
      </c>
      <c r="D53" s="6">
        <f>14/32</f>
        <v>0.4375</v>
      </c>
      <c r="E53" s="6" t="e">
        <f t="shared" si="1"/>
        <v>#REF!</v>
      </c>
      <c r="F53" s="6">
        <f t="shared" si="2"/>
        <v>0</v>
      </c>
      <c r="J53" s="6">
        <f t="shared" si="3"/>
        <v>0</v>
      </c>
    </row>
    <row r="54" spans="1:10" ht="12" customHeight="1">
      <c r="A54" s="459">
        <v>51</v>
      </c>
      <c r="B54" s="142">
        <f t="shared" si="0"/>
        <v>0</v>
      </c>
      <c r="C54" s="160">
        <v>6</v>
      </c>
      <c r="D54" s="6">
        <f>13/32</f>
        <v>0.40625</v>
      </c>
      <c r="E54" s="6" t="e">
        <f t="shared" si="1"/>
        <v>#REF!</v>
      </c>
      <c r="F54" s="6">
        <f t="shared" si="2"/>
        <v>0</v>
      </c>
      <c r="J54" s="6">
        <f t="shared" si="3"/>
        <v>0</v>
      </c>
    </row>
    <row r="55" spans="1:10" ht="12" customHeight="1">
      <c r="A55" s="459">
        <v>52</v>
      </c>
      <c r="B55" s="142">
        <f t="shared" si="0"/>
        <v>0</v>
      </c>
      <c r="C55" s="160">
        <v>6</v>
      </c>
      <c r="D55" s="6">
        <f>12/32</f>
        <v>0.375</v>
      </c>
      <c r="E55" s="6" t="e">
        <f t="shared" si="1"/>
        <v>#REF!</v>
      </c>
      <c r="F55" s="6">
        <f t="shared" si="2"/>
        <v>0</v>
      </c>
      <c r="J55" s="6">
        <f t="shared" si="3"/>
        <v>0</v>
      </c>
    </row>
    <row r="56" spans="1:10" ht="12" customHeight="1">
      <c r="A56" s="459">
        <v>53</v>
      </c>
      <c r="B56" s="142">
        <f t="shared" si="0"/>
        <v>0</v>
      </c>
      <c r="C56" s="160">
        <v>6</v>
      </c>
      <c r="D56" s="6">
        <f>11/32</f>
        <v>0.34375</v>
      </c>
      <c r="E56" s="6" t="e">
        <f t="shared" si="1"/>
        <v>#REF!</v>
      </c>
      <c r="F56" s="6">
        <f t="shared" si="2"/>
        <v>0</v>
      </c>
      <c r="J56" s="6">
        <f t="shared" si="3"/>
        <v>0</v>
      </c>
    </row>
    <row r="57" spans="1:10" ht="12" customHeight="1">
      <c r="A57" s="459">
        <v>54</v>
      </c>
      <c r="B57" s="142">
        <f t="shared" si="0"/>
        <v>0</v>
      </c>
      <c r="C57" s="160">
        <v>6</v>
      </c>
      <c r="D57" s="6">
        <f>10/32</f>
        <v>0.3125</v>
      </c>
      <c r="E57" s="6" t="e">
        <f t="shared" si="1"/>
        <v>#REF!</v>
      </c>
      <c r="F57" s="6">
        <f t="shared" si="2"/>
        <v>0</v>
      </c>
      <c r="J57" s="6">
        <f t="shared" si="3"/>
        <v>0</v>
      </c>
    </row>
    <row r="58" spans="1:10" ht="12" customHeight="1">
      <c r="A58" s="459">
        <v>55</v>
      </c>
      <c r="B58" s="142">
        <f t="shared" si="0"/>
        <v>0</v>
      </c>
      <c r="C58" s="160">
        <v>6</v>
      </c>
      <c r="D58" s="6">
        <f>9/32</f>
        <v>0.28125</v>
      </c>
      <c r="E58" s="6" t="e">
        <f t="shared" si="1"/>
        <v>#REF!</v>
      </c>
      <c r="F58" s="6">
        <f t="shared" si="2"/>
        <v>0</v>
      </c>
      <c r="J58" s="6">
        <f t="shared" si="3"/>
        <v>0</v>
      </c>
    </row>
    <row r="59" spans="1:10" ht="12" customHeight="1">
      <c r="A59" s="459">
        <v>56</v>
      </c>
      <c r="B59" s="142">
        <f t="shared" si="0"/>
        <v>0</v>
      </c>
      <c r="C59" s="160">
        <v>6</v>
      </c>
      <c r="D59" s="6">
        <f>8/32</f>
        <v>0.25</v>
      </c>
      <c r="E59" s="6" t="e">
        <f t="shared" si="1"/>
        <v>#REF!</v>
      </c>
      <c r="F59" s="6">
        <f t="shared" si="2"/>
        <v>0</v>
      </c>
      <c r="J59" s="6">
        <f t="shared" si="3"/>
        <v>0</v>
      </c>
    </row>
    <row r="60" spans="1:10" ht="12" customHeight="1">
      <c r="A60" s="459">
        <v>57</v>
      </c>
      <c r="B60" s="142">
        <f t="shared" si="0"/>
        <v>0</v>
      </c>
      <c r="C60" s="160">
        <v>6</v>
      </c>
      <c r="D60" s="6">
        <f>7/32</f>
        <v>0.21875</v>
      </c>
      <c r="E60" s="6" t="e">
        <f t="shared" si="1"/>
        <v>#REF!</v>
      </c>
      <c r="F60" s="6">
        <f t="shared" si="2"/>
        <v>0</v>
      </c>
      <c r="J60" s="6">
        <f t="shared" si="3"/>
        <v>0</v>
      </c>
    </row>
    <row r="61" spans="1:10" ht="12" customHeight="1">
      <c r="A61" s="459">
        <v>58</v>
      </c>
      <c r="B61" s="142">
        <f t="shared" si="0"/>
        <v>0</v>
      </c>
      <c r="C61" s="160">
        <v>6</v>
      </c>
      <c r="D61" s="6">
        <f>6/32</f>
        <v>0.1875</v>
      </c>
      <c r="E61" s="6" t="e">
        <f t="shared" si="1"/>
        <v>#REF!</v>
      </c>
      <c r="F61" s="6">
        <f t="shared" si="2"/>
        <v>0</v>
      </c>
      <c r="J61" s="6">
        <f t="shared" si="3"/>
        <v>0</v>
      </c>
    </row>
    <row r="62" spans="1:10" ht="12" customHeight="1">
      <c r="A62" s="459">
        <v>59</v>
      </c>
      <c r="B62" s="142">
        <f t="shared" si="0"/>
        <v>0</v>
      </c>
      <c r="C62" s="160">
        <v>6</v>
      </c>
      <c r="D62" s="6">
        <f>5/32</f>
        <v>0.15625</v>
      </c>
      <c r="E62" s="6" t="e">
        <f t="shared" si="1"/>
        <v>#REF!</v>
      </c>
      <c r="F62" s="6">
        <f t="shared" si="2"/>
        <v>0</v>
      </c>
      <c r="J62" s="6">
        <f t="shared" si="3"/>
        <v>0</v>
      </c>
    </row>
    <row r="63" spans="1:10" ht="12" customHeight="1">
      <c r="A63" s="459">
        <v>60</v>
      </c>
      <c r="B63" s="142">
        <f t="shared" si="0"/>
        <v>0</v>
      </c>
      <c r="C63" s="160">
        <v>6</v>
      </c>
      <c r="D63" s="6">
        <f>4/32</f>
        <v>0.125</v>
      </c>
      <c r="E63" s="6" t="e">
        <f t="shared" si="1"/>
        <v>#REF!</v>
      </c>
      <c r="F63" s="6">
        <f t="shared" si="2"/>
        <v>0</v>
      </c>
      <c r="J63" s="6">
        <f t="shared" si="3"/>
        <v>0</v>
      </c>
    </row>
    <row r="64" spans="1:10" ht="12" customHeight="1">
      <c r="A64" s="459">
        <v>61</v>
      </c>
      <c r="B64" s="142">
        <f t="shared" si="0"/>
        <v>0</v>
      </c>
      <c r="C64" s="160">
        <v>6</v>
      </c>
      <c r="D64" s="6">
        <f>3/32</f>
        <v>9.375E-2</v>
      </c>
      <c r="E64" s="6" t="e">
        <f t="shared" si="1"/>
        <v>#REF!</v>
      </c>
      <c r="F64" s="6">
        <f t="shared" si="2"/>
        <v>0</v>
      </c>
      <c r="J64" s="6">
        <f t="shared" si="3"/>
        <v>0</v>
      </c>
    </row>
    <row r="65" spans="1:10" ht="12" customHeight="1">
      <c r="A65" s="459">
        <v>62</v>
      </c>
      <c r="B65" s="142">
        <f t="shared" si="0"/>
        <v>0</v>
      </c>
      <c r="C65" s="160">
        <v>6</v>
      </c>
      <c r="D65" s="6">
        <f>2/32</f>
        <v>6.25E-2</v>
      </c>
      <c r="E65" s="6" t="e">
        <f t="shared" si="1"/>
        <v>#REF!</v>
      </c>
      <c r="F65" s="6">
        <f t="shared" si="2"/>
        <v>0</v>
      </c>
      <c r="J65" s="6">
        <f t="shared" si="3"/>
        <v>0</v>
      </c>
    </row>
    <row r="66" spans="1:10" ht="12" customHeight="1">
      <c r="A66" s="459">
        <v>63</v>
      </c>
      <c r="B66" s="142">
        <f t="shared" si="0"/>
        <v>0</v>
      </c>
      <c r="C66" s="160">
        <v>6</v>
      </c>
      <c r="D66" s="6">
        <f>1/32</f>
        <v>3.125E-2</v>
      </c>
      <c r="E66" s="6" t="e">
        <f t="shared" si="1"/>
        <v>#REF!</v>
      </c>
      <c r="F66" s="6">
        <f t="shared" si="2"/>
        <v>0</v>
      </c>
      <c r="J66" s="6">
        <f t="shared" si="3"/>
        <v>0</v>
      </c>
    </row>
    <row r="67" spans="1:10" ht="12" customHeight="1">
      <c r="A67" s="459">
        <v>64</v>
      </c>
      <c r="B67" s="142">
        <f t="shared" si="0"/>
        <v>0</v>
      </c>
      <c r="C67" s="160">
        <v>6</v>
      </c>
      <c r="D67" s="6">
        <v>0</v>
      </c>
      <c r="E67" s="6" t="e">
        <f t="shared" si="1"/>
        <v>#REF!</v>
      </c>
      <c r="F67" s="6">
        <f t="shared" si="2"/>
        <v>0</v>
      </c>
      <c r="J67" s="6">
        <f t="shared" si="3"/>
        <v>0</v>
      </c>
    </row>
    <row r="68" spans="1:10" ht="12" customHeight="1">
      <c r="A68" s="459">
        <v>65</v>
      </c>
      <c r="B68" s="142">
        <f t="shared" si="0"/>
        <v>0</v>
      </c>
      <c r="E68" s="6" t="e">
        <f t="shared" si="1"/>
        <v>#REF!</v>
      </c>
      <c r="F68" s="6">
        <f t="shared" si="2"/>
        <v>0</v>
      </c>
      <c r="J68" s="6">
        <f t="shared" si="3"/>
        <v>0</v>
      </c>
    </row>
    <row r="69" spans="1:10" ht="12" customHeight="1">
      <c r="A69" s="459">
        <v>66</v>
      </c>
      <c r="B69" s="142">
        <f t="shared" si="0"/>
        <v>0</v>
      </c>
      <c r="E69" s="6" t="e">
        <f t="shared" si="1"/>
        <v>#REF!</v>
      </c>
      <c r="F69" s="6">
        <f t="shared" si="2"/>
        <v>0</v>
      </c>
      <c r="J69" s="6">
        <f t="shared" si="3"/>
        <v>0</v>
      </c>
    </row>
    <row r="70" spans="1:10" ht="12" customHeight="1">
      <c r="A70" s="459">
        <v>67</v>
      </c>
      <c r="B70" s="142">
        <f t="shared" si="0"/>
        <v>0</v>
      </c>
      <c r="E70" s="6" t="e">
        <f t="shared" si="1"/>
        <v>#REF!</v>
      </c>
      <c r="F70" s="6">
        <f t="shared" si="2"/>
        <v>0</v>
      </c>
      <c r="J70" s="6">
        <f t="shared" si="3"/>
        <v>0</v>
      </c>
    </row>
    <row r="71" spans="1:10" ht="12" customHeight="1">
      <c r="A71" s="459">
        <v>68</v>
      </c>
      <c r="B71" s="142">
        <f t="shared" si="0"/>
        <v>0</v>
      </c>
      <c r="E71" s="6" t="e">
        <f t="shared" si="1"/>
        <v>#REF!</v>
      </c>
      <c r="F71" s="6">
        <f t="shared" si="2"/>
        <v>0</v>
      </c>
      <c r="J71" s="6">
        <f t="shared" si="3"/>
        <v>0</v>
      </c>
    </row>
    <row r="72" spans="1:10" ht="12" customHeight="1">
      <c r="A72" s="459">
        <v>69</v>
      </c>
      <c r="B72" s="142">
        <f t="shared" si="0"/>
        <v>0</v>
      </c>
      <c r="E72" s="6" t="e">
        <f t="shared" si="1"/>
        <v>#REF!</v>
      </c>
      <c r="F72" s="6">
        <f t="shared" si="2"/>
        <v>0</v>
      </c>
      <c r="J72" s="6">
        <f t="shared" si="3"/>
        <v>0</v>
      </c>
    </row>
    <row r="73" spans="1:10" ht="12" customHeight="1">
      <c r="A73" s="459">
        <v>70</v>
      </c>
      <c r="B73" s="142">
        <f t="shared" si="0"/>
        <v>0</v>
      </c>
      <c r="E73" s="6" t="e">
        <f t="shared" si="1"/>
        <v>#REF!</v>
      </c>
      <c r="F73" s="6">
        <f t="shared" si="2"/>
        <v>0</v>
      </c>
      <c r="J73" s="6">
        <f t="shared" si="3"/>
        <v>0</v>
      </c>
    </row>
    <row r="74" spans="1:10" ht="12" customHeight="1">
      <c r="A74" s="459">
        <v>71</v>
      </c>
      <c r="B74" s="142">
        <f t="shared" si="0"/>
        <v>0</v>
      </c>
      <c r="E74" s="6" t="e">
        <f t="shared" si="1"/>
        <v>#REF!</v>
      </c>
      <c r="F74" s="6">
        <f t="shared" si="2"/>
        <v>0</v>
      </c>
      <c r="J74" s="6">
        <f t="shared" si="3"/>
        <v>0</v>
      </c>
    </row>
    <row r="75" spans="1:10" ht="12" customHeight="1">
      <c r="A75" s="459">
        <v>72</v>
      </c>
      <c r="B75" s="142">
        <f t="shared" si="0"/>
        <v>0</v>
      </c>
      <c r="E75" s="6" t="e">
        <f t="shared" si="1"/>
        <v>#REF!</v>
      </c>
      <c r="F75" s="6">
        <f t="shared" si="2"/>
        <v>0</v>
      </c>
      <c r="J75" s="6">
        <f t="shared" si="3"/>
        <v>0</v>
      </c>
    </row>
    <row r="76" spans="1:10" ht="12" customHeight="1">
      <c r="A76" s="459">
        <v>73</v>
      </c>
      <c r="B76" s="142">
        <f t="shared" si="0"/>
        <v>0</v>
      </c>
      <c r="E76" s="6" t="e">
        <f t="shared" si="1"/>
        <v>#REF!</v>
      </c>
      <c r="F76" s="6">
        <f t="shared" si="2"/>
        <v>0</v>
      </c>
      <c r="J76" s="6">
        <f t="shared" si="3"/>
        <v>0</v>
      </c>
    </row>
    <row r="77" spans="1:10" ht="12" customHeight="1">
      <c r="A77" s="459">
        <v>74</v>
      </c>
      <c r="B77" s="142">
        <f t="shared" si="0"/>
        <v>0</v>
      </c>
      <c r="E77" s="6" t="e">
        <f t="shared" si="1"/>
        <v>#REF!</v>
      </c>
      <c r="F77" s="6">
        <f t="shared" si="2"/>
        <v>0</v>
      </c>
      <c r="J77" s="6">
        <f t="shared" si="3"/>
        <v>0</v>
      </c>
    </row>
    <row r="78" spans="1:10" ht="12" customHeight="1">
      <c r="A78" s="459">
        <v>75</v>
      </c>
      <c r="B78" s="142">
        <f t="shared" si="0"/>
        <v>0</v>
      </c>
      <c r="E78" s="6" t="e">
        <f t="shared" si="1"/>
        <v>#REF!</v>
      </c>
      <c r="F78" s="6">
        <f t="shared" si="2"/>
        <v>0</v>
      </c>
      <c r="J78" s="6">
        <f t="shared" si="3"/>
        <v>0</v>
      </c>
    </row>
    <row r="79" spans="1:10" ht="12" customHeight="1">
      <c r="A79" s="459">
        <v>76</v>
      </c>
      <c r="B79" s="142">
        <f t="shared" si="0"/>
        <v>0</v>
      </c>
      <c r="E79" s="6" t="e">
        <f t="shared" si="1"/>
        <v>#REF!</v>
      </c>
      <c r="F79" s="6">
        <f t="shared" si="2"/>
        <v>0</v>
      </c>
      <c r="J79" s="6">
        <f t="shared" si="3"/>
        <v>0</v>
      </c>
    </row>
    <row r="80" spans="1:10" ht="12" customHeight="1">
      <c r="A80" s="459">
        <v>77</v>
      </c>
      <c r="B80" s="142">
        <f t="shared" si="0"/>
        <v>0</v>
      </c>
      <c r="E80" s="6" t="e">
        <f t="shared" si="1"/>
        <v>#REF!</v>
      </c>
      <c r="F80" s="6">
        <f t="shared" si="2"/>
        <v>0</v>
      </c>
      <c r="J80" s="6">
        <f t="shared" si="3"/>
        <v>0</v>
      </c>
    </row>
    <row r="81" spans="1:10" ht="12" customHeight="1">
      <c r="A81" s="459">
        <v>78</v>
      </c>
      <c r="B81" s="142">
        <f t="shared" si="0"/>
        <v>0</v>
      </c>
      <c r="E81" s="6" t="e">
        <f t="shared" si="1"/>
        <v>#REF!</v>
      </c>
      <c r="F81" s="6">
        <f t="shared" si="2"/>
        <v>0</v>
      </c>
      <c r="J81" s="6">
        <f t="shared" si="3"/>
        <v>0</v>
      </c>
    </row>
    <row r="82" spans="1:10" ht="12" customHeight="1">
      <c r="A82" s="459">
        <v>79</v>
      </c>
      <c r="B82" s="142">
        <f t="shared" si="0"/>
        <v>0</v>
      </c>
      <c r="E82" s="6" t="e">
        <f t="shared" si="1"/>
        <v>#REF!</v>
      </c>
      <c r="F82" s="6">
        <f t="shared" si="2"/>
        <v>0</v>
      </c>
      <c r="J82" s="6">
        <f t="shared" si="3"/>
        <v>0</v>
      </c>
    </row>
    <row r="83" spans="1:10" ht="12" customHeight="1">
      <c r="A83" s="459">
        <v>80</v>
      </c>
      <c r="B83" s="142">
        <f t="shared" si="0"/>
        <v>0</v>
      </c>
      <c r="E83" s="6" t="e">
        <f t="shared" si="1"/>
        <v>#REF!</v>
      </c>
      <c r="F83" s="6">
        <f t="shared" si="2"/>
        <v>0</v>
      </c>
      <c r="J83" s="6">
        <f t="shared" si="3"/>
        <v>0</v>
      </c>
    </row>
    <row r="84" spans="1:10" ht="12" customHeight="1">
      <c r="A84" s="459">
        <v>81</v>
      </c>
      <c r="B84" s="142">
        <f t="shared" si="0"/>
        <v>0</v>
      </c>
      <c r="E84" s="6" t="e">
        <f t="shared" si="1"/>
        <v>#REF!</v>
      </c>
      <c r="F84" s="6">
        <f t="shared" si="2"/>
        <v>0</v>
      </c>
      <c r="J84" s="6">
        <f t="shared" si="3"/>
        <v>0</v>
      </c>
    </row>
    <row r="85" spans="1:10" ht="12" customHeight="1">
      <c r="A85" s="459">
        <v>82</v>
      </c>
      <c r="B85" s="142">
        <f t="shared" si="0"/>
        <v>0</v>
      </c>
      <c r="E85" s="6" t="e">
        <f t="shared" si="1"/>
        <v>#REF!</v>
      </c>
      <c r="F85" s="6">
        <f t="shared" si="2"/>
        <v>0</v>
      </c>
      <c r="J85" s="6">
        <f t="shared" si="3"/>
        <v>0</v>
      </c>
    </row>
    <row r="86" spans="1:10" ht="12" customHeight="1">
      <c r="A86" s="459">
        <v>83</v>
      </c>
      <c r="B86" s="142">
        <f t="shared" si="0"/>
        <v>0</v>
      </c>
      <c r="E86" s="6" t="e">
        <f t="shared" si="1"/>
        <v>#REF!</v>
      </c>
      <c r="F86" s="6">
        <f t="shared" si="2"/>
        <v>0</v>
      </c>
      <c r="J86" s="6">
        <f t="shared" si="3"/>
        <v>0</v>
      </c>
    </row>
    <row r="87" spans="1:10" ht="12" customHeight="1">
      <c r="A87" s="459">
        <v>84</v>
      </c>
      <c r="B87" s="142">
        <f t="shared" si="0"/>
        <v>0</v>
      </c>
      <c r="E87" s="6" t="e">
        <f t="shared" si="1"/>
        <v>#REF!</v>
      </c>
      <c r="F87" s="6">
        <f t="shared" si="2"/>
        <v>0</v>
      </c>
      <c r="J87" s="6">
        <f t="shared" si="3"/>
        <v>0</v>
      </c>
    </row>
    <row r="88" spans="1:10" ht="12" customHeight="1">
      <c r="A88" s="459">
        <v>85</v>
      </c>
      <c r="B88" s="142">
        <f t="shared" si="0"/>
        <v>0</v>
      </c>
      <c r="E88" s="6" t="e">
        <f t="shared" si="1"/>
        <v>#REF!</v>
      </c>
      <c r="F88" s="6">
        <f t="shared" si="2"/>
        <v>0</v>
      </c>
      <c r="J88" s="6">
        <f t="shared" si="3"/>
        <v>0</v>
      </c>
    </row>
    <row r="89" spans="1:10" ht="12" customHeight="1">
      <c r="A89" s="459">
        <v>86</v>
      </c>
      <c r="B89" s="142">
        <f t="shared" si="0"/>
        <v>0</v>
      </c>
      <c r="E89" s="6" t="e">
        <f t="shared" si="1"/>
        <v>#REF!</v>
      </c>
      <c r="F89" s="6">
        <f t="shared" si="2"/>
        <v>0</v>
      </c>
      <c r="J89" s="6">
        <f t="shared" si="3"/>
        <v>0</v>
      </c>
    </row>
    <row r="90" spans="1:10" ht="12" customHeight="1">
      <c r="A90" s="459">
        <v>87</v>
      </c>
      <c r="B90" s="142">
        <f t="shared" si="0"/>
        <v>0</v>
      </c>
      <c r="E90" s="6" t="e">
        <f t="shared" si="1"/>
        <v>#REF!</v>
      </c>
      <c r="F90" s="6">
        <f t="shared" si="2"/>
        <v>0</v>
      </c>
      <c r="J90" s="6">
        <f t="shared" si="3"/>
        <v>0</v>
      </c>
    </row>
    <row r="91" spans="1:10" ht="12" customHeight="1">
      <c r="A91" s="459">
        <v>88</v>
      </c>
      <c r="B91" s="142">
        <f t="shared" si="0"/>
        <v>0</v>
      </c>
      <c r="E91" s="6" t="e">
        <f t="shared" si="1"/>
        <v>#REF!</v>
      </c>
      <c r="F91" s="6">
        <f t="shared" si="2"/>
        <v>0</v>
      </c>
      <c r="J91" s="6">
        <f t="shared" si="3"/>
        <v>0</v>
      </c>
    </row>
    <row r="92" spans="1:10" ht="12" customHeight="1">
      <c r="A92" s="459">
        <v>89</v>
      </c>
      <c r="B92" s="142">
        <f t="shared" si="0"/>
        <v>0</v>
      </c>
      <c r="E92" s="6" t="e">
        <f t="shared" si="1"/>
        <v>#REF!</v>
      </c>
      <c r="F92" s="6">
        <f t="shared" si="2"/>
        <v>0</v>
      </c>
      <c r="J92" s="6">
        <f t="shared" si="3"/>
        <v>0</v>
      </c>
    </row>
    <row r="93" spans="1:10" ht="12" customHeight="1">
      <c r="A93" s="459">
        <v>90</v>
      </c>
      <c r="B93" s="142">
        <f t="shared" si="0"/>
        <v>0</v>
      </c>
      <c r="E93" s="6" t="e">
        <f t="shared" si="1"/>
        <v>#REF!</v>
      </c>
      <c r="F93" s="6">
        <f t="shared" si="2"/>
        <v>0</v>
      </c>
      <c r="J93" s="6">
        <f t="shared" si="3"/>
        <v>0</v>
      </c>
    </row>
    <row r="94" spans="1:10" ht="12" customHeight="1">
      <c r="A94" s="459">
        <v>91</v>
      </c>
      <c r="B94" s="142">
        <f t="shared" si="0"/>
        <v>0</v>
      </c>
      <c r="E94" s="6" t="e">
        <f t="shared" si="1"/>
        <v>#REF!</v>
      </c>
      <c r="F94" s="6">
        <f t="shared" si="2"/>
        <v>0</v>
      </c>
      <c r="J94" s="6">
        <f t="shared" si="3"/>
        <v>0</v>
      </c>
    </row>
    <row r="95" spans="1:10" ht="12" customHeight="1">
      <c r="A95" s="459">
        <v>92</v>
      </c>
      <c r="B95" s="142">
        <f t="shared" si="0"/>
        <v>0</v>
      </c>
      <c r="E95" s="6" t="e">
        <f t="shared" si="1"/>
        <v>#REF!</v>
      </c>
      <c r="F95" s="6">
        <f t="shared" si="2"/>
        <v>0</v>
      </c>
      <c r="J95" s="6">
        <f t="shared" si="3"/>
        <v>0</v>
      </c>
    </row>
    <row r="96" spans="1:10" ht="12" customHeight="1">
      <c r="A96" s="459">
        <v>93</v>
      </c>
      <c r="B96" s="142">
        <f t="shared" si="0"/>
        <v>0</v>
      </c>
      <c r="E96" s="6" t="e">
        <f t="shared" si="1"/>
        <v>#REF!</v>
      </c>
      <c r="F96" s="6">
        <f t="shared" si="2"/>
        <v>0</v>
      </c>
      <c r="J96" s="6">
        <f t="shared" si="3"/>
        <v>0</v>
      </c>
    </row>
    <row r="97" spans="1:10" ht="12" customHeight="1">
      <c r="A97" s="459">
        <v>94</v>
      </c>
      <c r="B97" s="142">
        <f t="shared" si="0"/>
        <v>0</v>
      </c>
      <c r="E97" s="6" t="e">
        <f t="shared" si="1"/>
        <v>#REF!</v>
      </c>
      <c r="F97" s="6">
        <f t="shared" si="2"/>
        <v>0</v>
      </c>
      <c r="J97" s="6">
        <f t="shared" si="3"/>
        <v>0</v>
      </c>
    </row>
    <row r="98" spans="1:10" ht="12" customHeight="1">
      <c r="A98" s="459">
        <v>95</v>
      </c>
      <c r="B98" s="142">
        <f t="shared" si="0"/>
        <v>0</v>
      </c>
      <c r="E98" s="6" t="e">
        <f t="shared" si="1"/>
        <v>#REF!</v>
      </c>
      <c r="F98" s="6">
        <f t="shared" si="2"/>
        <v>0</v>
      </c>
      <c r="J98" s="6">
        <f t="shared" si="3"/>
        <v>0</v>
      </c>
    </row>
    <row r="99" spans="1:10" ht="12" customHeight="1">
      <c r="A99" s="459">
        <v>96</v>
      </c>
      <c r="B99" s="142">
        <f t="shared" si="0"/>
        <v>0</v>
      </c>
      <c r="E99" s="6" t="e">
        <f t="shared" si="1"/>
        <v>#REF!</v>
      </c>
      <c r="F99" s="6">
        <f t="shared" si="2"/>
        <v>0</v>
      </c>
      <c r="J99" s="6">
        <f t="shared" si="3"/>
        <v>0</v>
      </c>
    </row>
    <row r="100" spans="1:10" ht="12" customHeight="1">
      <c r="A100" s="459">
        <v>97</v>
      </c>
      <c r="B100" s="142">
        <f t="shared" si="0"/>
        <v>0</v>
      </c>
      <c r="E100" s="6" t="e">
        <f t="shared" si="1"/>
        <v>#REF!</v>
      </c>
      <c r="F100" s="6">
        <f t="shared" si="2"/>
        <v>0</v>
      </c>
      <c r="J100" s="6">
        <f t="shared" si="3"/>
        <v>0</v>
      </c>
    </row>
    <row r="101" spans="1:10" ht="12" customHeight="1">
      <c r="A101" s="459">
        <v>98</v>
      </c>
      <c r="B101" s="142">
        <f t="shared" si="0"/>
        <v>0</v>
      </c>
      <c r="E101" s="6" t="e">
        <f t="shared" si="1"/>
        <v>#REF!</v>
      </c>
      <c r="F101" s="6">
        <f t="shared" si="2"/>
        <v>0</v>
      </c>
      <c r="J101" s="6">
        <f t="shared" si="3"/>
        <v>0</v>
      </c>
    </row>
    <row r="102" spans="1:10" ht="12" customHeight="1">
      <c r="A102" s="459">
        <v>99</v>
      </c>
      <c r="B102" s="142">
        <f t="shared" si="0"/>
        <v>0</v>
      </c>
      <c r="E102" s="6" t="e">
        <f t="shared" si="1"/>
        <v>#REF!</v>
      </c>
      <c r="F102" s="6">
        <f t="shared" si="2"/>
        <v>0</v>
      </c>
      <c r="J102" s="6">
        <f t="shared" si="3"/>
        <v>0</v>
      </c>
    </row>
    <row r="103" spans="1:10" ht="12" customHeight="1">
      <c r="A103" s="459">
        <v>100</v>
      </c>
      <c r="B103" s="142">
        <f t="shared" si="0"/>
        <v>0</v>
      </c>
      <c r="E103" s="6" t="e">
        <f t="shared" si="1"/>
        <v>#REF!</v>
      </c>
      <c r="F103" s="6">
        <f t="shared" si="2"/>
        <v>0</v>
      </c>
      <c r="J103" s="6">
        <f t="shared" si="3"/>
        <v>0</v>
      </c>
    </row>
    <row r="104" spans="1:10" ht="12" customHeight="1">
      <c r="A104" s="459">
        <v>101</v>
      </c>
      <c r="B104" s="142">
        <f t="shared" si="0"/>
        <v>0</v>
      </c>
      <c r="E104" s="6" t="e">
        <f t="shared" si="1"/>
        <v>#REF!</v>
      </c>
      <c r="F104" s="6">
        <f t="shared" si="2"/>
        <v>0</v>
      </c>
      <c r="J104" s="6">
        <f t="shared" si="3"/>
        <v>0</v>
      </c>
    </row>
    <row r="105" spans="1:10" ht="12" customHeight="1">
      <c r="A105" s="459">
        <v>102</v>
      </c>
      <c r="B105" s="142">
        <f t="shared" si="0"/>
        <v>0</v>
      </c>
      <c r="E105" s="6" t="e">
        <f t="shared" si="1"/>
        <v>#REF!</v>
      </c>
      <c r="F105" s="6">
        <f t="shared" si="2"/>
        <v>0</v>
      </c>
      <c r="J105" s="6">
        <f t="shared" si="3"/>
        <v>0</v>
      </c>
    </row>
    <row r="106" spans="1:10" ht="12" customHeight="1">
      <c r="A106" s="459">
        <v>103</v>
      </c>
      <c r="B106" s="142">
        <f t="shared" si="0"/>
        <v>0</v>
      </c>
      <c r="E106" s="6" t="e">
        <f t="shared" si="1"/>
        <v>#REF!</v>
      </c>
      <c r="F106" s="6">
        <f t="shared" si="2"/>
        <v>0</v>
      </c>
      <c r="J106" s="6">
        <f t="shared" si="3"/>
        <v>0</v>
      </c>
    </row>
    <row r="107" spans="1:10" ht="12" customHeight="1">
      <c r="A107" s="459">
        <v>104</v>
      </c>
      <c r="B107" s="142">
        <f t="shared" si="0"/>
        <v>0</v>
      </c>
      <c r="E107" s="6" t="e">
        <f t="shared" si="1"/>
        <v>#REF!</v>
      </c>
      <c r="F107" s="6">
        <f t="shared" si="2"/>
        <v>0</v>
      </c>
      <c r="J107" s="6">
        <f t="shared" si="3"/>
        <v>0</v>
      </c>
    </row>
    <row r="108" spans="1:10" ht="12" customHeight="1">
      <c r="A108" s="459">
        <v>105</v>
      </c>
      <c r="B108" s="142">
        <f t="shared" si="0"/>
        <v>0</v>
      </c>
      <c r="E108" s="6" t="e">
        <f t="shared" si="1"/>
        <v>#REF!</v>
      </c>
      <c r="F108" s="6">
        <f t="shared" si="2"/>
        <v>0</v>
      </c>
      <c r="J108" s="6">
        <f t="shared" si="3"/>
        <v>0</v>
      </c>
    </row>
    <row r="109" spans="1:10" ht="12" customHeight="1">
      <c r="A109" s="459">
        <v>106</v>
      </c>
      <c r="B109" s="142">
        <f t="shared" si="0"/>
        <v>0</v>
      </c>
      <c r="E109" s="6" t="e">
        <f t="shared" si="1"/>
        <v>#REF!</v>
      </c>
      <c r="F109" s="6">
        <f t="shared" si="2"/>
        <v>0</v>
      </c>
      <c r="J109" s="6">
        <f t="shared" si="3"/>
        <v>0</v>
      </c>
    </row>
    <row r="110" spans="1:10" ht="12" customHeight="1">
      <c r="A110" s="459">
        <v>107</v>
      </c>
      <c r="B110" s="142">
        <f t="shared" si="0"/>
        <v>0</v>
      </c>
      <c r="E110" s="6" t="e">
        <f t="shared" si="1"/>
        <v>#REF!</v>
      </c>
      <c r="F110" s="6">
        <f t="shared" si="2"/>
        <v>0</v>
      </c>
      <c r="J110" s="6">
        <f t="shared" si="3"/>
        <v>0</v>
      </c>
    </row>
    <row r="111" spans="1:10" ht="12" customHeight="1">
      <c r="A111" s="459">
        <v>108</v>
      </c>
      <c r="B111" s="142">
        <f t="shared" si="0"/>
        <v>0</v>
      </c>
      <c r="E111" s="6" t="e">
        <f t="shared" si="1"/>
        <v>#REF!</v>
      </c>
      <c r="F111" s="6">
        <f t="shared" si="2"/>
        <v>0</v>
      </c>
      <c r="J111" s="6">
        <f t="shared" si="3"/>
        <v>0</v>
      </c>
    </row>
    <row r="112" spans="1:10" ht="12" customHeight="1">
      <c r="A112" s="459">
        <v>109</v>
      </c>
      <c r="B112" s="142">
        <f t="shared" si="0"/>
        <v>0</v>
      </c>
      <c r="E112" s="6" t="e">
        <f t="shared" si="1"/>
        <v>#REF!</v>
      </c>
      <c r="F112" s="6">
        <f t="shared" si="2"/>
        <v>0</v>
      </c>
      <c r="J112" s="6">
        <f t="shared" si="3"/>
        <v>0</v>
      </c>
    </row>
    <row r="113" spans="1:10" ht="12" customHeight="1">
      <c r="A113" s="459">
        <v>110</v>
      </c>
      <c r="B113" s="142">
        <f t="shared" si="0"/>
        <v>0</v>
      </c>
      <c r="E113" s="6" t="e">
        <f t="shared" si="1"/>
        <v>#REF!</v>
      </c>
      <c r="F113" s="6">
        <f t="shared" si="2"/>
        <v>0</v>
      </c>
      <c r="J113" s="6">
        <f t="shared" si="3"/>
        <v>0</v>
      </c>
    </row>
    <row r="114" spans="1:10" ht="12" customHeight="1">
      <c r="A114" s="459">
        <v>111</v>
      </c>
      <c r="B114" s="142">
        <f t="shared" si="0"/>
        <v>0</v>
      </c>
      <c r="E114" s="6" t="e">
        <f t="shared" si="1"/>
        <v>#REF!</v>
      </c>
      <c r="F114" s="6">
        <f t="shared" si="2"/>
        <v>0</v>
      </c>
      <c r="J114" s="6">
        <f t="shared" si="3"/>
        <v>0</v>
      </c>
    </row>
    <row r="115" spans="1:10" ht="12" customHeight="1">
      <c r="A115" s="459">
        <v>112</v>
      </c>
      <c r="B115" s="142">
        <f t="shared" si="0"/>
        <v>0</v>
      </c>
      <c r="E115" s="6" t="e">
        <f t="shared" si="1"/>
        <v>#REF!</v>
      </c>
      <c r="F115" s="6">
        <f t="shared" si="2"/>
        <v>0</v>
      </c>
      <c r="J115" s="6">
        <f t="shared" si="3"/>
        <v>0</v>
      </c>
    </row>
    <row r="116" spans="1:10" ht="12" customHeight="1">
      <c r="A116" s="459">
        <v>113</v>
      </c>
      <c r="B116" s="142">
        <f t="shared" si="0"/>
        <v>0</v>
      </c>
      <c r="E116" s="6" t="e">
        <f t="shared" si="1"/>
        <v>#REF!</v>
      </c>
      <c r="F116" s="6">
        <f t="shared" si="2"/>
        <v>0</v>
      </c>
      <c r="J116" s="6">
        <f t="shared" si="3"/>
        <v>0</v>
      </c>
    </row>
    <row r="117" spans="1:10" ht="12" customHeight="1">
      <c r="A117" s="459">
        <v>114</v>
      </c>
      <c r="B117" s="142">
        <f t="shared" si="0"/>
        <v>0</v>
      </c>
      <c r="E117" s="6" t="e">
        <f t="shared" si="1"/>
        <v>#REF!</v>
      </c>
      <c r="F117" s="6">
        <f t="shared" si="2"/>
        <v>0</v>
      </c>
      <c r="J117" s="6">
        <f t="shared" si="3"/>
        <v>0</v>
      </c>
    </row>
    <row r="118" spans="1:10" ht="12" customHeight="1">
      <c r="A118" s="459">
        <v>115</v>
      </c>
      <c r="B118" s="142">
        <f t="shared" si="0"/>
        <v>0</v>
      </c>
      <c r="E118" s="6" t="e">
        <f t="shared" si="1"/>
        <v>#REF!</v>
      </c>
      <c r="F118" s="6">
        <f t="shared" si="2"/>
        <v>0</v>
      </c>
      <c r="J118" s="6">
        <f t="shared" si="3"/>
        <v>0</v>
      </c>
    </row>
    <row r="119" spans="1:10" ht="12" customHeight="1">
      <c r="A119" s="459">
        <v>116</v>
      </c>
      <c r="B119" s="142">
        <f t="shared" si="0"/>
        <v>0</v>
      </c>
      <c r="E119" s="6" t="e">
        <f t="shared" si="1"/>
        <v>#REF!</v>
      </c>
      <c r="F119" s="6">
        <f t="shared" si="2"/>
        <v>0</v>
      </c>
      <c r="J119" s="6">
        <f t="shared" si="3"/>
        <v>0</v>
      </c>
    </row>
    <row r="120" spans="1:10" ht="12" customHeight="1">
      <c r="A120" s="459">
        <v>117</v>
      </c>
      <c r="B120" s="142">
        <f t="shared" si="0"/>
        <v>0</v>
      </c>
      <c r="E120" s="6" t="e">
        <f t="shared" si="1"/>
        <v>#REF!</v>
      </c>
      <c r="F120" s="6">
        <f t="shared" si="2"/>
        <v>0</v>
      </c>
      <c r="J120" s="6">
        <f t="shared" si="3"/>
        <v>0</v>
      </c>
    </row>
    <row r="121" spans="1:10" ht="12" customHeight="1">
      <c r="A121" s="459">
        <v>118</v>
      </c>
      <c r="B121" s="142">
        <f t="shared" si="0"/>
        <v>0</v>
      </c>
      <c r="E121" s="6" t="e">
        <f t="shared" si="1"/>
        <v>#REF!</v>
      </c>
      <c r="F121" s="6">
        <f t="shared" si="2"/>
        <v>0</v>
      </c>
      <c r="J121" s="6">
        <f t="shared" si="3"/>
        <v>0</v>
      </c>
    </row>
    <row r="122" spans="1:10" ht="12" customHeight="1">
      <c r="A122" s="459">
        <v>119</v>
      </c>
      <c r="B122" s="142">
        <f t="shared" si="0"/>
        <v>0</v>
      </c>
      <c r="E122" s="6" t="e">
        <f t="shared" si="1"/>
        <v>#REF!</v>
      </c>
      <c r="F122" s="6">
        <f t="shared" si="2"/>
        <v>0</v>
      </c>
      <c r="J122" s="6">
        <f t="shared" si="3"/>
        <v>0</v>
      </c>
    </row>
    <row r="123" spans="1:10" ht="12" customHeight="1">
      <c r="A123" s="459">
        <v>120</v>
      </c>
      <c r="B123" s="142">
        <f t="shared" si="0"/>
        <v>0</v>
      </c>
      <c r="E123" s="6" t="e">
        <f t="shared" si="1"/>
        <v>#REF!</v>
      </c>
      <c r="F123" s="6">
        <f t="shared" si="2"/>
        <v>0</v>
      </c>
      <c r="J123" s="6">
        <f t="shared" si="3"/>
        <v>0</v>
      </c>
    </row>
    <row r="124" spans="1:10" ht="12" customHeight="1">
      <c r="A124" s="459">
        <v>121</v>
      </c>
      <c r="B124" s="142">
        <f t="shared" si="0"/>
        <v>0</v>
      </c>
      <c r="E124" s="6" t="e">
        <f t="shared" si="1"/>
        <v>#REF!</v>
      </c>
      <c r="F124" s="6">
        <f t="shared" si="2"/>
        <v>0</v>
      </c>
      <c r="J124" s="6">
        <f t="shared" si="3"/>
        <v>0</v>
      </c>
    </row>
    <row r="125" spans="1:10" ht="12" customHeight="1">
      <c r="A125" s="459">
        <v>122</v>
      </c>
      <c r="B125" s="142">
        <f t="shared" si="0"/>
        <v>0</v>
      </c>
      <c r="E125" s="6" t="e">
        <f t="shared" si="1"/>
        <v>#REF!</v>
      </c>
      <c r="F125" s="6">
        <f t="shared" si="2"/>
        <v>0</v>
      </c>
      <c r="J125" s="6">
        <f t="shared" si="3"/>
        <v>0</v>
      </c>
    </row>
    <row r="126" spans="1:10" ht="12" customHeight="1">
      <c r="A126" s="459">
        <v>123</v>
      </c>
      <c r="B126" s="142">
        <f t="shared" si="0"/>
        <v>0</v>
      </c>
      <c r="E126" s="6" t="e">
        <f t="shared" si="1"/>
        <v>#REF!</v>
      </c>
      <c r="F126" s="6">
        <f t="shared" si="2"/>
        <v>0</v>
      </c>
      <c r="J126" s="6">
        <f t="shared" si="3"/>
        <v>0</v>
      </c>
    </row>
    <row r="127" spans="1:10" ht="12" customHeight="1">
      <c r="A127" s="459">
        <v>124</v>
      </c>
      <c r="B127" s="142">
        <f t="shared" si="0"/>
        <v>0</v>
      </c>
      <c r="E127" s="6" t="e">
        <f t="shared" si="1"/>
        <v>#REF!</v>
      </c>
      <c r="F127" s="6">
        <f t="shared" si="2"/>
        <v>0</v>
      </c>
      <c r="J127" s="6">
        <f t="shared" si="3"/>
        <v>0</v>
      </c>
    </row>
    <row r="128" spans="1:10" ht="12" customHeight="1">
      <c r="A128" s="459">
        <v>125</v>
      </c>
      <c r="B128" s="142">
        <f t="shared" si="0"/>
        <v>0</v>
      </c>
      <c r="E128" s="6" t="e">
        <f t="shared" si="1"/>
        <v>#REF!</v>
      </c>
      <c r="F128" s="6">
        <f t="shared" si="2"/>
        <v>0</v>
      </c>
      <c r="J128" s="6">
        <f t="shared" si="3"/>
        <v>0</v>
      </c>
    </row>
    <row r="129" spans="1:10" ht="12" customHeight="1">
      <c r="A129" s="459">
        <v>126</v>
      </c>
      <c r="B129" s="142">
        <f t="shared" si="0"/>
        <v>0</v>
      </c>
      <c r="E129" s="6" t="e">
        <f t="shared" si="1"/>
        <v>#REF!</v>
      </c>
      <c r="F129" s="6">
        <f t="shared" si="2"/>
        <v>0</v>
      </c>
      <c r="J129" s="6">
        <f t="shared" si="3"/>
        <v>0</v>
      </c>
    </row>
    <row r="130" spans="1:10" ht="12" customHeight="1">
      <c r="A130" s="459">
        <v>127</v>
      </c>
      <c r="B130" s="142">
        <f t="shared" si="0"/>
        <v>0</v>
      </c>
      <c r="E130" s="6" t="e">
        <f t="shared" si="1"/>
        <v>#REF!</v>
      </c>
      <c r="F130" s="6">
        <f t="shared" si="2"/>
        <v>0</v>
      </c>
      <c r="J130" s="6">
        <f t="shared" si="3"/>
        <v>0</v>
      </c>
    </row>
    <row r="131" spans="1:10" ht="12" customHeight="1">
      <c r="A131" s="459">
        <v>128</v>
      </c>
      <c r="B131" s="142">
        <f t="shared" si="0"/>
        <v>0</v>
      </c>
      <c r="E131" s="6" t="e">
        <f t="shared" si="1"/>
        <v>#REF!</v>
      </c>
      <c r="F131" s="6">
        <f t="shared" si="2"/>
        <v>0</v>
      </c>
      <c r="J131" s="6">
        <f t="shared" si="3"/>
        <v>0</v>
      </c>
    </row>
    <row r="132" spans="1:10" ht="12" customHeight="1">
      <c r="A132" s="459">
        <v>129</v>
      </c>
      <c r="B132" s="142">
        <f t="shared" si="0"/>
        <v>0</v>
      </c>
      <c r="E132" s="6" t="e">
        <f t="shared" si="1"/>
        <v>#REF!</v>
      </c>
      <c r="F132" s="6">
        <f t="shared" si="2"/>
        <v>0</v>
      </c>
      <c r="J132" s="6">
        <f t="shared" si="3"/>
        <v>0</v>
      </c>
    </row>
    <row r="133" spans="1:10" ht="12" customHeight="1">
      <c r="A133" s="459">
        <v>130</v>
      </c>
      <c r="B133" s="142">
        <f t="shared" si="0"/>
        <v>0</v>
      </c>
      <c r="E133" s="6" t="e">
        <f t="shared" si="1"/>
        <v>#REF!</v>
      </c>
      <c r="F133" s="6">
        <f t="shared" si="2"/>
        <v>0</v>
      </c>
      <c r="J133" s="6">
        <f t="shared" si="3"/>
        <v>0</v>
      </c>
    </row>
    <row r="134" spans="1:10" ht="12" customHeight="1">
      <c r="A134" s="459">
        <v>131</v>
      </c>
      <c r="B134" s="142">
        <f t="shared" si="0"/>
        <v>0</v>
      </c>
      <c r="E134" s="6" t="e">
        <f t="shared" si="1"/>
        <v>#REF!</v>
      </c>
      <c r="F134" s="6">
        <f t="shared" si="2"/>
        <v>0</v>
      </c>
      <c r="J134" s="6">
        <f t="shared" si="3"/>
        <v>0</v>
      </c>
    </row>
    <row r="135" spans="1:10" ht="12" customHeight="1">
      <c r="A135" s="459">
        <v>132</v>
      </c>
      <c r="B135" s="142">
        <f t="shared" si="0"/>
        <v>0</v>
      </c>
      <c r="E135" s="6" t="e">
        <f t="shared" si="1"/>
        <v>#REF!</v>
      </c>
      <c r="F135" s="6">
        <f t="shared" si="2"/>
        <v>0</v>
      </c>
      <c r="J135" s="6">
        <f t="shared" si="3"/>
        <v>0</v>
      </c>
    </row>
    <row r="136" spans="1:10" ht="12" customHeight="1">
      <c r="A136" s="459">
        <v>133</v>
      </c>
      <c r="B136" s="142">
        <f t="shared" si="0"/>
        <v>0</v>
      </c>
      <c r="E136" s="6" t="e">
        <f t="shared" si="1"/>
        <v>#REF!</v>
      </c>
      <c r="F136" s="6">
        <f t="shared" si="2"/>
        <v>0</v>
      </c>
      <c r="J136" s="6">
        <f t="shared" si="3"/>
        <v>0</v>
      </c>
    </row>
    <row r="137" spans="1:10" ht="12" customHeight="1">
      <c r="A137" s="459">
        <v>134</v>
      </c>
      <c r="B137" s="142">
        <f t="shared" si="0"/>
        <v>0</v>
      </c>
      <c r="E137" s="6" t="e">
        <f t="shared" si="1"/>
        <v>#REF!</v>
      </c>
      <c r="F137" s="6">
        <f t="shared" si="2"/>
        <v>0</v>
      </c>
      <c r="J137" s="6">
        <f t="shared" si="3"/>
        <v>0</v>
      </c>
    </row>
    <row r="138" spans="1:10" ht="12" customHeight="1">
      <c r="A138" s="459">
        <v>135</v>
      </c>
      <c r="B138" s="142">
        <f t="shared" si="0"/>
        <v>0</v>
      </c>
      <c r="E138" s="6" t="e">
        <f t="shared" si="1"/>
        <v>#REF!</v>
      </c>
      <c r="F138" s="6">
        <f t="shared" si="2"/>
        <v>0</v>
      </c>
      <c r="J138" s="6">
        <f t="shared" si="3"/>
        <v>0</v>
      </c>
    </row>
    <row r="139" spans="1:10" ht="12" customHeight="1">
      <c r="A139" s="459">
        <v>136</v>
      </c>
      <c r="B139" s="142">
        <f t="shared" si="0"/>
        <v>0</v>
      </c>
      <c r="E139" s="6" t="e">
        <f t="shared" si="1"/>
        <v>#REF!</v>
      </c>
      <c r="F139" s="6">
        <f t="shared" si="2"/>
        <v>0</v>
      </c>
      <c r="J139" s="6">
        <f t="shared" si="3"/>
        <v>0</v>
      </c>
    </row>
    <row r="140" spans="1:10" ht="12" customHeight="1">
      <c r="A140" s="459">
        <v>137</v>
      </c>
      <c r="B140" s="142">
        <f t="shared" si="0"/>
        <v>0</v>
      </c>
      <c r="E140" s="6" t="e">
        <f t="shared" si="1"/>
        <v>#REF!</v>
      </c>
      <c r="F140" s="6">
        <f t="shared" si="2"/>
        <v>0</v>
      </c>
      <c r="J140" s="6">
        <f t="shared" si="3"/>
        <v>0</v>
      </c>
    </row>
    <row r="141" spans="1:10" ht="12" customHeight="1">
      <c r="A141" s="459">
        <v>138</v>
      </c>
      <c r="B141" s="142">
        <f t="shared" si="0"/>
        <v>0</v>
      </c>
      <c r="E141" s="6" t="e">
        <f t="shared" si="1"/>
        <v>#REF!</v>
      </c>
      <c r="F141" s="6">
        <f t="shared" si="2"/>
        <v>0</v>
      </c>
      <c r="J141" s="6">
        <f t="shared" si="3"/>
        <v>0</v>
      </c>
    </row>
    <row r="142" spans="1:10" ht="12" customHeight="1">
      <c r="A142" s="459">
        <v>139</v>
      </c>
      <c r="B142" s="142">
        <f t="shared" si="0"/>
        <v>0</v>
      </c>
      <c r="E142" s="6" t="e">
        <f t="shared" si="1"/>
        <v>#REF!</v>
      </c>
      <c r="F142" s="6">
        <f t="shared" si="2"/>
        <v>0</v>
      </c>
      <c r="J142" s="6">
        <f t="shared" si="3"/>
        <v>0</v>
      </c>
    </row>
    <row r="143" spans="1:10" ht="12" customHeight="1">
      <c r="A143" s="459">
        <v>140</v>
      </c>
      <c r="B143" s="142">
        <f t="shared" si="0"/>
        <v>0</v>
      </c>
      <c r="E143" s="6" t="e">
        <f t="shared" si="1"/>
        <v>#REF!</v>
      </c>
      <c r="F143" s="6">
        <f t="shared" si="2"/>
        <v>0</v>
      </c>
      <c r="J143" s="6">
        <f t="shared" si="3"/>
        <v>0</v>
      </c>
    </row>
    <row r="144" spans="1:10" ht="12" customHeight="1">
      <c r="A144" s="459">
        <v>141</v>
      </c>
      <c r="B144" s="142">
        <f t="shared" si="0"/>
        <v>0</v>
      </c>
      <c r="E144" s="6" t="e">
        <f t="shared" si="1"/>
        <v>#REF!</v>
      </c>
      <c r="F144" s="6">
        <f t="shared" si="2"/>
        <v>0</v>
      </c>
      <c r="J144" s="6">
        <f t="shared" si="3"/>
        <v>0</v>
      </c>
    </row>
    <row r="145" spans="1:10" ht="12" customHeight="1">
      <c r="A145" s="459">
        <v>142</v>
      </c>
      <c r="B145" s="142">
        <f t="shared" si="0"/>
        <v>0</v>
      </c>
      <c r="E145" s="6" t="e">
        <f t="shared" si="1"/>
        <v>#REF!</v>
      </c>
      <c r="F145" s="6">
        <f t="shared" si="2"/>
        <v>0</v>
      </c>
      <c r="J145" s="6">
        <f t="shared" si="3"/>
        <v>0</v>
      </c>
    </row>
    <row r="146" spans="1:10" ht="12" customHeight="1">
      <c r="A146" s="459">
        <v>143</v>
      </c>
      <c r="B146" s="142">
        <f t="shared" si="0"/>
        <v>0</v>
      </c>
      <c r="E146" s="6" t="e">
        <f t="shared" si="1"/>
        <v>#REF!</v>
      </c>
      <c r="F146" s="6">
        <f t="shared" si="2"/>
        <v>0</v>
      </c>
      <c r="J146" s="6">
        <f t="shared" si="3"/>
        <v>0</v>
      </c>
    </row>
    <row r="147" spans="1:10" ht="12" customHeight="1">
      <c r="A147" s="459">
        <v>144</v>
      </c>
      <c r="B147" s="142">
        <f t="shared" si="0"/>
        <v>0</v>
      </c>
      <c r="E147" s="6" t="e">
        <f t="shared" si="1"/>
        <v>#REF!</v>
      </c>
      <c r="F147" s="6">
        <f t="shared" si="2"/>
        <v>0</v>
      </c>
      <c r="J147" s="6">
        <f t="shared" si="3"/>
        <v>0</v>
      </c>
    </row>
    <row r="148" spans="1:10" ht="12" customHeight="1">
      <c r="A148" s="459">
        <v>145</v>
      </c>
      <c r="B148" s="142">
        <f t="shared" si="0"/>
        <v>0</v>
      </c>
      <c r="E148" s="6" t="e">
        <f t="shared" si="1"/>
        <v>#REF!</v>
      </c>
      <c r="F148" s="6">
        <f t="shared" si="2"/>
        <v>0</v>
      </c>
      <c r="J148" s="6">
        <f t="shared" si="3"/>
        <v>0</v>
      </c>
    </row>
    <row r="149" spans="1:10" ht="12" customHeight="1">
      <c r="A149" s="459">
        <v>146</v>
      </c>
      <c r="B149" s="142">
        <f t="shared" si="0"/>
        <v>0</v>
      </c>
      <c r="E149" s="6" t="e">
        <f t="shared" si="1"/>
        <v>#REF!</v>
      </c>
      <c r="F149" s="6">
        <f t="shared" si="2"/>
        <v>0</v>
      </c>
      <c r="J149" s="6">
        <f t="shared" si="3"/>
        <v>0</v>
      </c>
    </row>
    <row r="150" spans="1:10" ht="12" customHeight="1">
      <c r="A150" s="459">
        <v>147</v>
      </c>
      <c r="B150" s="142">
        <f t="shared" si="0"/>
        <v>0</v>
      </c>
      <c r="E150" s="6" t="e">
        <f t="shared" si="1"/>
        <v>#REF!</v>
      </c>
      <c r="F150" s="6">
        <f t="shared" si="2"/>
        <v>0</v>
      </c>
      <c r="J150" s="6">
        <f t="shared" si="3"/>
        <v>0</v>
      </c>
    </row>
    <row r="151" spans="1:10" ht="12" customHeight="1">
      <c r="A151" s="459">
        <v>148</v>
      </c>
      <c r="B151" s="142">
        <f t="shared" si="0"/>
        <v>0</v>
      </c>
      <c r="E151" s="6" t="e">
        <f t="shared" si="1"/>
        <v>#REF!</v>
      </c>
      <c r="F151" s="6">
        <f t="shared" si="2"/>
        <v>0</v>
      </c>
      <c r="J151" s="6">
        <f t="shared" si="3"/>
        <v>0</v>
      </c>
    </row>
    <row r="152" spans="1:10" ht="12" customHeight="1">
      <c r="A152" s="459">
        <v>149</v>
      </c>
      <c r="B152" s="142">
        <f t="shared" si="0"/>
        <v>0</v>
      </c>
      <c r="E152" s="6" t="e">
        <f t="shared" si="1"/>
        <v>#REF!</v>
      </c>
      <c r="F152" s="6">
        <f t="shared" si="2"/>
        <v>0</v>
      </c>
      <c r="J152" s="6">
        <f t="shared" si="3"/>
        <v>0</v>
      </c>
    </row>
    <row r="153" spans="1:10" ht="12" customHeight="1">
      <c r="A153" s="459">
        <v>150</v>
      </c>
      <c r="B153" s="142">
        <f t="shared" si="0"/>
        <v>0</v>
      </c>
      <c r="E153" s="6" t="e">
        <f t="shared" si="1"/>
        <v>#REF!</v>
      </c>
      <c r="F153" s="6">
        <f t="shared" si="2"/>
        <v>0</v>
      </c>
      <c r="J153" s="6">
        <f t="shared" si="3"/>
        <v>0</v>
      </c>
    </row>
    <row r="154" spans="1:10" ht="12" customHeight="1">
      <c r="A154" s="459">
        <v>151</v>
      </c>
      <c r="B154" s="142">
        <f t="shared" si="0"/>
        <v>0</v>
      </c>
      <c r="E154" s="6" t="e">
        <f t="shared" si="1"/>
        <v>#REF!</v>
      </c>
      <c r="F154" s="6">
        <f t="shared" si="2"/>
        <v>0</v>
      </c>
      <c r="J154" s="6">
        <f t="shared" si="3"/>
        <v>0</v>
      </c>
    </row>
    <row r="155" spans="1:10" ht="12" customHeight="1">
      <c r="A155" s="459">
        <v>152</v>
      </c>
      <c r="B155" s="142">
        <f t="shared" si="0"/>
        <v>0</v>
      </c>
      <c r="E155" s="6" t="e">
        <f t="shared" si="1"/>
        <v>#REF!</v>
      </c>
      <c r="F155" s="6">
        <f t="shared" si="2"/>
        <v>0</v>
      </c>
      <c r="J155" s="6">
        <f t="shared" si="3"/>
        <v>0</v>
      </c>
    </row>
    <row r="156" spans="1:10" ht="12" customHeight="1">
      <c r="A156" s="459">
        <v>153</v>
      </c>
      <c r="B156" s="142">
        <f t="shared" si="0"/>
        <v>0</v>
      </c>
      <c r="E156" s="6" t="e">
        <f t="shared" si="1"/>
        <v>#REF!</v>
      </c>
      <c r="F156" s="6">
        <f t="shared" si="2"/>
        <v>0</v>
      </c>
      <c r="J156" s="6">
        <f t="shared" si="3"/>
        <v>0</v>
      </c>
    </row>
    <row r="157" spans="1:10" ht="12" customHeight="1">
      <c r="A157" s="459">
        <v>154</v>
      </c>
      <c r="B157" s="142">
        <f t="shared" si="0"/>
        <v>0</v>
      </c>
      <c r="E157" s="6" t="e">
        <f t="shared" si="1"/>
        <v>#REF!</v>
      </c>
      <c r="F157" s="6">
        <f t="shared" si="2"/>
        <v>0</v>
      </c>
      <c r="J157" s="6">
        <f t="shared" si="3"/>
        <v>0</v>
      </c>
    </row>
    <row r="158" spans="1:10" ht="12" customHeight="1">
      <c r="A158" s="459">
        <v>155</v>
      </c>
      <c r="B158" s="142">
        <f t="shared" si="0"/>
        <v>0</v>
      </c>
      <c r="E158" s="6" t="e">
        <f t="shared" si="1"/>
        <v>#REF!</v>
      </c>
      <c r="F158" s="6">
        <f t="shared" si="2"/>
        <v>0</v>
      </c>
      <c r="J158" s="6">
        <f t="shared" si="3"/>
        <v>0</v>
      </c>
    </row>
    <row r="159" spans="1:10" ht="12" customHeight="1">
      <c r="A159" s="459">
        <v>156</v>
      </c>
      <c r="B159" s="142">
        <f t="shared" si="0"/>
        <v>0</v>
      </c>
      <c r="E159" s="6" t="e">
        <f t="shared" si="1"/>
        <v>#REF!</v>
      </c>
      <c r="F159" s="6">
        <f t="shared" si="2"/>
        <v>0</v>
      </c>
      <c r="J159" s="6">
        <f t="shared" si="3"/>
        <v>0</v>
      </c>
    </row>
    <row r="160" spans="1:10" ht="12" customHeight="1">
      <c r="A160" s="459">
        <v>157</v>
      </c>
      <c r="B160" s="142">
        <f t="shared" si="0"/>
        <v>0</v>
      </c>
      <c r="E160" s="6" t="e">
        <f t="shared" si="1"/>
        <v>#REF!</v>
      </c>
      <c r="F160" s="6">
        <f t="shared" si="2"/>
        <v>0</v>
      </c>
      <c r="J160" s="6">
        <f t="shared" si="3"/>
        <v>0</v>
      </c>
    </row>
    <row r="161" spans="1:10" ht="12" customHeight="1">
      <c r="A161" s="459">
        <v>158</v>
      </c>
      <c r="B161" s="142">
        <f t="shared" si="0"/>
        <v>0</v>
      </c>
      <c r="E161" s="6" t="e">
        <f t="shared" si="1"/>
        <v>#REF!</v>
      </c>
      <c r="F161" s="6">
        <f t="shared" si="2"/>
        <v>0</v>
      </c>
      <c r="J161" s="6">
        <f t="shared" si="3"/>
        <v>0</v>
      </c>
    </row>
    <row r="162" spans="1:10" ht="12" customHeight="1">
      <c r="A162" s="459">
        <v>159</v>
      </c>
      <c r="B162" s="142">
        <f t="shared" si="0"/>
        <v>0</v>
      </c>
      <c r="E162" s="6" t="e">
        <f t="shared" si="1"/>
        <v>#REF!</v>
      </c>
      <c r="F162" s="6">
        <f t="shared" si="2"/>
        <v>0</v>
      </c>
      <c r="J162" s="6">
        <f t="shared" si="3"/>
        <v>0</v>
      </c>
    </row>
    <row r="163" spans="1:10" ht="12" customHeight="1">
      <c r="A163" s="459">
        <v>160</v>
      </c>
      <c r="B163" s="142">
        <f t="shared" si="0"/>
        <v>0</v>
      </c>
      <c r="E163" s="6" t="e">
        <f t="shared" si="1"/>
        <v>#REF!</v>
      </c>
      <c r="F163" s="6">
        <f t="shared" si="2"/>
        <v>0</v>
      </c>
      <c r="J163" s="6">
        <f t="shared" si="3"/>
        <v>0</v>
      </c>
    </row>
    <row r="164" spans="1:10" ht="12" customHeight="1">
      <c r="A164" s="459">
        <v>161</v>
      </c>
      <c r="B164" s="142">
        <f t="shared" si="0"/>
        <v>0</v>
      </c>
      <c r="E164" s="6" t="e">
        <f t="shared" si="1"/>
        <v>#REF!</v>
      </c>
      <c r="F164" s="6">
        <f t="shared" si="2"/>
        <v>0</v>
      </c>
      <c r="J164" s="6">
        <f t="shared" si="3"/>
        <v>0</v>
      </c>
    </row>
    <row r="165" spans="1:10" ht="12" customHeight="1">
      <c r="A165" s="459">
        <v>162</v>
      </c>
      <c r="B165" s="142">
        <f t="shared" si="0"/>
        <v>0</v>
      </c>
      <c r="E165" s="6" t="e">
        <f t="shared" si="1"/>
        <v>#REF!</v>
      </c>
      <c r="F165" s="6">
        <f t="shared" si="2"/>
        <v>0</v>
      </c>
      <c r="J165" s="6">
        <f t="shared" si="3"/>
        <v>0</v>
      </c>
    </row>
    <row r="166" spans="1:10" ht="12" customHeight="1">
      <c r="A166" s="459">
        <v>163</v>
      </c>
      <c r="B166" s="142">
        <f t="shared" si="0"/>
        <v>0</v>
      </c>
      <c r="E166" s="6" t="e">
        <f t="shared" si="1"/>
        <v>#REF!</v>
      </c>
      <c r="F166" s="6">
        <f t="shared" si="2"/>
        <v>0</v>
      </c>
      <c r="J166" s="6">
        <f t="shared" si="3"/>
        <v>0</v>
      </c>
    </row>
    <row r="167" spans="1:10" ht="12" customHeight="1">
      <c r="A167" s="459">
        <v>164</v>
      </c>
      <c r="B167" s="142">
        <f t="shared" si="0"/>
        <v>0</v>
      </c>
      <c r="E167" s="6" t="e">
        <f t="shared" si="1"/>
        <v>#REF!</v>
      </c>
      <c r="F167" s="6">
        <f t="shared" si="2"/>
        <v>0</v>
      </c>
      <c r="J167" s="6">
        <f t="shared" si="3"/>
        <v>0</v>
      </c>
    </row>
    <row r="168" spans="1:10" ht="12" customHeight="1">
      <c r="A168" s="459">
        <v>165</v>
      </c>
      <c r="B168" s="142">
        <f t="shared" si="0"/>
        <v>0</v>
      </c>
      <c r="E168" s="6" t="e">
        <f t="shared" si="1"/>
        <v>#REF!</v>
      </c>
      <c r="F168" s="6">
        <f t="shared" si="2"/>
        <v>0</v>
      </c>
      <c r="J168" s="6">
        <f t="shared" si="3"/>
        <v>0</v>
      </c>
    </row>
    <row r="169" spans="1:10" ht="12" customHeight="1">
      <c r="A169" s="459">
        <v>166</v>
      </c>
      <c r="B169" s="142">
        <f t="shared" si="0"/>
        <v>0</v>
      </c>
      <c r="E169" s="6" t="e">
        <f t="shared" si="1"/>
        <v>#REF!</v>
      </c>
      <c r="F169" s="6">
        <f t="shared" si="2"/>
        <v>0</v>
      </c>
      <c r="J169" s="6">
        <f t="shared" si="3"/>
        <v>0</v>
      </c>
    </row>
    <row r="170" spans="1:10" ht="12" customHeight="1">
      <c r="A170" s="459">
        <v>167</v>
      </c>
      <c r="B170" s="142">
        <f t="shared" si="0"/>
        <v>0</v>
      </c>
      <c r="E170" s="6" t="e">
        <f t="shared" si="1"/>
        <v>#REF!</v>
      </c>
      <c r="F170" s="6">
        <f t="shared" si="2"/>
        <v>0</v>
      </c>
      <c r="J170" s="6">
        <f t="shared" si="3"/>
        <v>0</v>
      </c>
    </row>
    <row r="171" spans="1:10" ht="12" customHeight="1">
      <c r="A171" s="459">
        <v>168</v>
      </c>
      <c r="B171" s="142">
        <f t="shared" si="0"/>
        <v>0</v>
      </c>
      <c r="E171" s="6" t="e">
        <f t="shared" si="1"/>
        <v>#REF!</v>
      </c>
      <c r="F171" s="6">
        <f t="shared" si="2"/>
        <v>0</v>
      </c>
      <c r="J171" s="6">
        <f t="shared" si="3"/>
        <v>0</v>
      </c>
    </row>
    <row r="172" spans="1:10" ht="12" customHeight="1">
      <c r="A172" s="459">
        <v>169</v>
      </c>
      <c r="B172" s="142">
        <f t="shared" si="0"/>
        <v>0</v>
      </c>
      <c r="E172" s="6" t="e">
        <f t="shared" si="1"/>
        <v>#REF!</v>
      </c>
      <c r="F172" s="6">
        <f t="shared" si="2"/>
        <v>0</v>
      </c>
      <c r="J172" s="6">
        <f t="shared" si="3"/>
        <v>0</v>
      </c>
    </row>
    <row r="173" spans="1:10" ht="12" customHeight="1">
      <c r="A173" s="459">
        <v>170</v>
      </c>
      <c r="B173" s="142">
        <f t="shared" si="0"/>
        <v>0</v>
      </c>
      <c r="E173" s="6" t="e">
        <f t="shared" si="1"/>
        <v>#REF!</v>
      </c>
      <c r="F173" s="6">
        <f t="shared" si="2"/>
        <v>0</v>
      </c>
      <c r="J173" s="6">
        <f t="shared" si="3"/>
        <v>0</v>
      </c>
    </row>
    <row r="174" spans="1:10" ht="12" customHeight="1">
      <c r="A174" s="459">
        <v>171</v>
      </c>
      <c r="B174" s="142">
        <f t="shared" si="0"/>
        <v>0</v>
      </c>
      <c r="E174" s="6" t="e">
        <f t="shared" si="1"/>
        <v>#REF!</v>
      </c>
      <c r="F174" s="6">
        <f t="shared" si="2"/>
        <v>0</v>
      </c>
      <c r="J174" s="6">
        <f t="shared" si="3"/>
        <v>0</v>
      </c>
    </row>
    <row r="175" spans="1:10" ht="12" customHeight="1">
      <c r="A175" s="459">
        <v>172</v>
      </c>
      <c r="B175" s="142">
        <f t="shared" si="0"/>
        <v>0</v>
      </c>
      <c r="E175" s="6" t="e">
        <f t="shared" si="1"/>
        <v>#REF!</v>
      </c>
      <c r="F175" s="6">
        <f t="shared" si="2"/>
        <v>0</v>
      </c>
      <c r="J175" s="6">
        <f t="shared" si="3"/>
        <v>0</v>
      </c>
    </row>
    <row r="176" spans="1:10" ht="12" customHeight="1">
      <c r="A176" s="459">
        <v>173</v>
      </c>
      <c r="B176" s="142">
        <f t="shared" si="0"/>
        <v>0</v>
      </c>
      <c r="E176" s="6" t="e">
        <f t="shared" si="1"/>
        <v>#REF!</v>
      </c>
      <c r="F176" s="6">
        <f t="shared" si="2"/>
        <v>0</v>
      </c>
      <c r="J176" s="6">
        <f t="shared" si="3"/>
        <v>0</v>
      </c>
    </row>
    <row r="177" spans="1:10" ht="12" customHeight="1">
      <c r="A177" s="459">
        <v>174</v>
      </c>
      <c r="B177" s="142">
        <f t="shared" si="0"/>
        <v>0</v>
      </c>
      <c r="E177" s="6" t="e">
        <f t="shared" si="1"/>
        <v>#REF!</v>
      </c>
      <c r="F177" s="6">
        <f t="shared" si="2"/>
        <v>0</v>
      </c>
      <c r="J177" s="6">
        <f t="shared" si="3"/>
        <v>0</v>
      </c>
    </row>
    <row r="178" spans="1:10" ht="12" customHeight="1">
      <c r="A178" s="459">
        <v>175</v>
      </c>
      <c r="B178" s="142">
        <f t="shared" si="0"/>
        <v>0</v>
      </c>
      <c r="E178" s="6" t="e">
        <f t="shared" si="1"/>
        <v>#REF!</v>
      </c>
      <c r="F178" s="6">
        <f t="shared" si="2"/>
        <v>0</v>
      </c>
      <c r="J178" s="6">
        <f t="shared" si="3"/>
        <v>0</v>
      </c>
    </row>
    <row r="179" spans="1:10" ht="12" customHeight="1">
      <c r="A179" s="459">
        <v>176</v>
      </c>
      <c r="B179" s="142">
        <f t="shared" si="0"/>
        <v>0</v>
      </c>
      <c r="E179" s="6" t="e">
        <f t="shared" si="1"/>
        <v>#REF!</v>
      </c>
      <c r="F179" s="6">
        <f t="shared" si="2"/>
        <v>0</v>
      </c>
      <c r="J179" s="6">
        <f t="shared" si="3"/>
        <v>0</v>
      </c>
    </row>
    <row r="180" spans="1:10" ht="12" customHeight="1">
      <c r="A180" s="459">
        <v>177</v>
      </c>
      <c r="B180" s="142">
        <f t="shared" si="0"/>
        <v>0</v>
      </c>
      <c r="E180" s="6" t="e">
        <f t="shared" si="1"/>
        <v>#REF!</v>
      </c>
      <c r="F180" s="6">
        <f t="shared" si="2"/>
        <v>0</v>
      </c>
      <c r="J180" s="6">
        <f t="shared" si="3"/>
        <v>0</v>
      </c>
    </row>
    <row r="181" spans="1:10" ht="12" customHeight="1">
      <c r="A181" s="459">
        <v>178</v>
      </c>
      <c r="B181" s="142">
        <f t="shared" si="0"/>
        <v>0</v>
      </c>
      <c r="E181" s="6" t="e">
        <f t="shared" si="1"/>
        <v>#REF!</v>
      </c>
      <c r="F181" s="6">
        <f t="shared" si="2"/>
        <v>0</v>
      </c>
      <c r="J181" s="6">
        <f t="shared" si="3"/>
        <v>0</v>
      </c>
    </row>
    <row r="182" spans="1:10" ht="12" customHeight="1">
      <c r="A182" s="459">
        <v>179</v>
      </c>
      <c r="B182" s="142">
        <f t="shared" si="0"/>
        <v>0</v>
      </c>
      <c r="E182" s="6" t="e">
        <f t="shared" si="1"/>
        <v>#REF!</v>
      </c>
      <c r="F182" s="6">
        <f t="shared" si="2"/>
        <v>0</v>
      </c>
      <c r="J182" s="6">
        <f t="shared" si="3"/>
        <v>0</v>
      </c>
    </row>
    <row r="183" spans="1:10" ht="12" customHeight="1">
      <c r="A183" s="459">
        <v>180</v>
      </c>
      <c r="B183" s="142">
        <f t="shared" si="0"/>
        <v>0</v>
      </c>
      <c r="E183" s="6" t="e">
        <f t="shared" si="1"/>
        <v>#REF!</v>
      </c>
      <c r="F183" s="6">
        <f t="shared" si="2"/>
        <v>0</v>
      </c>
      <c r="J183" s="6">
        <f t="shared" si="3"/>
        <v>0</v>
      </c>
    </row>
    <row r="184" spans="1:10" ht="12" customHeight="1">
      <c r="A184" s="459">
        <v>181</v>
      </c>
      <c r="B184" s="142">
        <f t="shared" si="0"/>
        <v>0</v>
      </c>
      <c r="E184" s="6" t="e">
        <f t="shared" si="1"/>
        <v>#REF!</v>
      </c>
      <c r="F184" s="6">
        <f t="shared" si="2"/>
        <v>0</v>
      </c>
      <c r="J184" s="6">
        <f t="shared" si="3"/>
        <v>0</v>
      </c>
    </row>
    <row r="185" spans="1:10" ht="12" customHeight="1">
      <c r="A185" s="459">
        <v>182</v>
      </c>
      <c r="B185" s="142">
        <f t="shared" si="0"/>
        <v>0</v>
      </c>
      <c r="E185" s="6" t="e">
        <f t="shared" si="1"/>
        <v>#REF!</v>
      </c>
      <c r="F185" s="6">
        <f t="shared" si="2"/>
        <v>0</v>
      </c>
      <c r="J185" s="6">
        <f t="shared" si="3"/>
        <v>0</v>
      </c>
    </row>
    <row r="186" spans="1:10" ht="12" customHeight="1">
      <c r="A186" s="459">
        <v>183</v>
      </c>
      <c r="B186" s="142">
        <f t="shared" si="0"/>
        <v>0</v>
      </c>
      <c r="E186" s="6" t="e">
        <f t="shared" si="1"/>
        <v>#REF!</v>
      </c>
      <c r="F186" s="6">
        <f t="shared" si="2"/>
        <v>0</v>
      </c>
      <c r="J186" s="6">
        <f t="shared" si="3"/>
        <v>0</v>
      </c>
    </row>
    <row r="187" spans="1:10" ht="12" customHeight="1">
      <c r="A187" s="459">
        <v>184</v>
      </c>
      <c r="B187" s="142">
        <f t="shared" si="0"/>
        <v>0</v>
      </c>
      <c r="E187" s="6" t="e">
        <f t="shared" si="1"/>
        <v>#REF!</v>
      </c>
      <c r="F187" s="6">
        <f t="shared" si="2"/>
        <v>0</v>
      </c>
      <c r="J187" s="6">
        <f t="shared" si="3"/>
        <v>0</v>
      </c>
    </row>
    <row r="188" spans="1:10" ht="12" customHeight="1">
      <c r="A188" s="459">
        <v>185</v>
      </c>
      <c r="B188" s="142">
        <f t="shared" si="0"/>
        <v>0</v>
      </c>
      <c r="E188" s="6" t="e">
        <f t="shared" si="1"/>
        <v>#REF!</v>
      </c>
      <c r="F188" s="6">
        <f t="shared" si="2"/>
        <v>0</v>
      </c>
      <c r="J188" s="6">
        <f t="shared" si="3"/>
        <v>0</v>
      </c>
    </row>
    <row r="189" spans="1:10" ht="12" customHeight="1">
      <c r="A189" s="459">
        <v>186</v>
      </c>
      <c r="B189" s="142">
        <f t="shared" si="0"/>
        <v>0</v>
      </c>
      <c r="E189" s="6" t="e">
        <f t="shared" si="1"/>
        <v>#REF!</v>
      </c>
      <c r="F189" s="6">
        <f t="shared" si="2"/>
        <v>0</v>
      </c>
      <c r="J189" s="6">
        <f t="shared" si="3"/>
        <v>0</v>
      </c>
    </row>
    <row r="190" spans="1:10" ht="12" customHeight="1">
      <c r="A190" s="459">
        <v>187</v>
      </c>
      <c r="B190" s="142">
        <f t="shared" si="0"/>
        <v>0</v>
      </c>
      <c r="E190" s="6" t="e">
        <f t="shared" si="1"/>
        <v>#REF!</v>
      </c>
      <c r="F190" s="6">
        <f t="shared" si="2"/>
        <v>0</v>
      </c>
      <c r="J190" s="6">
        <f t="shared" si="3"/>
        <v>0</v>
      </c>
    </row>
    <row r="191" spans="1:10" ht="12" customHeight="1">
      <c r="A191" s="459">
        <v>188</v>
      </c>
      <c r="B191" s="142">
        <f t="shared" si="0"/>
        <v>0</v>
      </c>
      <c r="E191" s="6" t="e">
        <f t="shared" si="1"/>
        <v>#REF!</v>
      </c>
      <c r="F191" s="6">
        <f t="shared" si="2"/>
        <v>0</v>
      </c>
      <c r="J191" s="6">
        <f t="shared" si="3"/>
        <v>0</v>
      </c>
    </row>
    <row r="192" spans="1:10" ht="12" customHeight="1">
      <c r="A192" s="459">
        <v>189</v>
      </c>
      <c r="B192" s="142">
        <f t="shared" si="0"/>
        <v>0</v>
      </c>
      <c r="E192" s="6" t="e">
        <f t="shared" si="1"/>
        <v>#REF!</v>
      </c>
      <c r="F192" s="6">
        <f t="shared" si="2"/>
        <v>0</v>
      </c>
      <c r="J192" s="6">
        <f t="shared" si="3"/>
        <v>0</v>
      </c>
    </row>
    <row r="193" spans="1:10" ht="12" customHeight="1">
      <c r="A193" s="459">
        <v>190</v>
      </c>
      <c r="B193" s="142">
        <f t="shared" si="0"/>
        <v>0</v>
      </c>
      <c r="E193" s="6" t="e">
        <f t="shared" si="1"/>
        <v>#REF!</v>
      </c>
      <c r="F193" s="6">
        <f t="shared" si="2"/>
        <v>0</v>
      </c>
      <c r="J193" s="6">
        <f t="shared" si="3"/>
        <v>0</v>
      </c>
    </row>
    <row r="194" spans="1:10" ht="12" customHeight="1">
      <c r="A194" s="459">
        <v>191</v>
      </c>
      <c r="B194" s="142">
        <f t="shared" si="0"/>
        <v>0</v>
      </c>
      <c r="E194" s="6" t="e">
        <f t="shared" si="1"/>
        <v>#REF!</v>
      </c>
      <c r="F194" s="6">
        <f t="shared" si="2"/>
        <v>0</v>
      </c>
      <c r="J194" s="6">
        <f t="shared" si="3"/>
        <v>0</v>
      </c>
    </row>
    <row r="195" spans="1:10" ht="12" customHeight="1">
      <c r="A195" s="459">
        <v>192</v>
      </c>
      <c r="B195" s="142">
        <f t="shared" si="0"/>
        <v>0</v>
      </c>
      <c r="E195" s="6" t="e">
        <f t="shared" si="1"/>
        <v>#REF!</v>
      </c>
      <c r="F195" s="6">
        <f t="shared" si="2"/>
        <v>0</v>
      </c>
      <c r="J195" s="6">
        <f t="shared" si="3"/>
        <v>0</v>
      </c>
    </row>
    <row r="196" spans="1:10" ht="12" customHeight="1">
      <c r="A196" s="459">
        <v>193</v>
      </c>
      <c r="B196" s="142">
        <f t="shared" si="0"/>
        <v>0</v>
      </c>
      <c r="E196" s="6" t="e">
        <f t="shared" si="1"/>
        <v>#REF!</v>
      </c>
      <c r="F196" s="6">
        <f t="shared" si="2"/>
        <v>0</v>
      </c>
      <c r="J196" s="6">
        <f t="shared" si="3"/>
        <v>0</v>
      </c>
    </row>
    <row r="197" spans="1:10" ht="12" customHeight="1">
      <c r="A197" s="459">
        <v>194</v>
      </c>
      <c r="B197" s="142">
        <f t="shared" si="0"/>
        <v>0</v>
      </c>
      <c r="E197" s="6" t="e">
        <f t="shared" si="1"/>
        <v>#REF!</v>
      </c>
      <c r="F197" s="6">
        <f t="shared" si="2"/>
        <v>0</v>
      </c>
      <c r="J197" s="6">
        <f t="shared" si="3"/>
        <v>0</v>
      </c>
    </row>
    <row r="198" spans="1:10" ht="12" customHeight="1">
      <c r="A198" s="459">
        <v>195</v>
      </c>
      <c r="B198" s="142">
        <f t="shared" si="0"/>
        <v>0</v>
      </c>
      <c r="E198" s="6" t="e">
        <f t="shared" si="1"/>
        <v>#REF!</v>
      </c>
      <c r="F198" s="6">
        <f t="shared" si="2"/>
        <v>0</v>
      </c>
      <c r="J198" s="6">
        <f t="shared" si="3"/>
        <v>0</v>
      </c>
    </row>
    <row r="199" spans="1:10" ht="12" customHeight="1">
      <c r="A199" s="459">
        <v>196</v>
      </c>
      <c r="B199" s="142">
        <f t="shared" si="0"/>
        <v>0</v>
      </c>
      <c r="E199" s="6" t="e">
        <f t="shared" si="1"/>
        <v>#REF!</v>
      </c>
      <c r="F199" s="6">
        <f t="shared" si="2"/>
        <v>0</v>
      </c>
      <c r="J199" s="6">
        <f t="shared" si="3"/>
        <v>0</v>
      </c>
    </row>
    <row r="200" spans="1:10" ht="12" customHeight="1">
      <c r="A200" s="459">
        <v>197</v>
      </c>
      <c r="B200" s="142">
        <f t="shared" si="0"/>
        <v>0</v>
      </c>
      <c r="E200" s="6" t="e">
        <f t="shared" si="1"/>
        <v>#REF!</v>
      </c>
      <c r="F200" s="6">
        <f t="shared" si="2"/>
        <v>0</v>
      </c>
      <c r="J200" s="6">
        <f t="shared" si="3"/>
        <v>0</v>
      </c>
    </row>
    <row r="201" spans="1:10" ht="12" customHeight="1">
      <c r="A201" s="459">
        <v>198</v>
      </c>
      <c r="B201" s="142">
        <f t="shared" si="0"/>
        <v>0</v>
      </c>
      <c r="E201" s="6" t="e">
        <f t="shared" si="1"/>
        <v>#REF!</v>
      </c>
      <c r="F201" s="6">
        <f t="shared" si="2"/>
        <v>0</v>
      </c>
      <c r="J201" s="6">
        <f t="shared" si="3"/>
        <v>0</v>
      </c>
    </row>
    <row r="202" spans="1:10" ht="12" customHeight="1">
      <c r="A202" s="459">
        <v>199</v>
      </c>
      <c r="B202" s="142">
        <f t="shared" si="0"/>
        <v>0</v>
      </c>
      <c r="E202" s="6" t="e">
        <f t="shared" si="1"/>
        <v>#REF!</v>
      </c>
      <c r="F202" s="6">
        <f t="shared" si="2"/>
        <v>0</v>
      </c>
      <c r="J202" s="6">
        <f t="shared" si="3"/>
        <v>0</v>
      </c>
    </row>
    <row r="203" spans="1:10" ht="12" customHeight="1">
      <c r="A203" s="459">
        <v>200</v>
      </c>
      <c r="B203" s="142">
        <f t="shared" si="0"/>
        <v>0</v>
      </c>
      <c r="E203" s="6" t="e">
        <f t="shared" si="1"/>
        <v>#REF!</v>
      </c>
      <c r="F203" s="6">
        <f t="shared" si="2"/>
        <v>0</v>
      </c>
      <c r="J203" s="6">
        <f t="shared" si="3"/>
        <v>0</v>
      </c>
    </row>
    <row r="204" spans="1:10" ht="12" customHeight="1">
      <c r="A204" s="459">
        <v>201</v>
      </c>
      <c r="B204" s="142">
        <f t="shared" si="0"/>
        <v>0</v>
      </c>
      <c r="E204" s="6" t="e">
        <f t="shared" si="1"/>
        <v>#REF!</v>
      </c>
      <c r="F204" s="6">
        <f t="shared" si="2"/>
        <v>0</v>
      </c>
      <c r="J204" s="6">
        <f t="shared" si="3"/>
        <v>0</v>
      </c>
    </row>
    <row r="205" spans="1:10" ht="12" customHeight="1">
      <c r="A205" s="459">
        <v>202</v>
      </c>
      <c r="B205" s="142">
        <f t="shared" si="0"/>
        <v>0</v>
      </c>
      <c r="E205" s="6" t="e">
        <f t="shared" si="1"/>
        <v>#REF!</v>
      </c>
      <c r="F205" s="6">
        <f t="shared" si="2"/>
        <v>0</v>
      </c>
      <c r="J205" s="6">
        <f t="shared" si="3"/>
        <v>0</v>
      </c>
    </row>
    <row r="206" spans="1:10" ht="12" customHeight="1">
      <c r="A206" s="459">
        <v>203</v>
      </c>
      <c r="B206" s="142">
        <f t="shared" si="0"/>
        <v>0</v>
      </c>
      <c r="E206" s="6" t="e">
        <f t="shared" si="1"/>
        <v>#REF!</v>
      </c>
      <c r="F206" s="6">
        <f t="shared" si="2"/>
        <v>0</v>
      </c>
      <c r="J206" s="6">
        <f t="shared" si="3"/>
        <v>0</v>
      </c>
    </row>
    <row r="207" spans="1:10" ht="12" customHeight="1">
      <c r="A207" s="459">
        <v>204</v>
      </c>
      <c r="B207" s="142">
        <f t="shared" si="0"/>
        <v>0</v>
      </c>
      <c r="E207" s="6" t="e">
        <f t="shared" si="1"/>
        <v>#REF!</v>
      </c>
      <c r="F207" s="6">
        <f t="shared" si="2"/>
        <v>0</v>
      </c>
      <c r="J207" s="6">
        <f t="shared" si="3"/>
        <v>0</v>
      </c>
    </row>
    <row r="208" spans="1:10" ht="12" customHeight="1">
      <c r="A208" s="459">
        <v>205</v>
      </c>
      <c r="B208" s="142">
        <f t="shared" si="0"/>
        <v>0</v>
      </c>
      <c r="E208" s="6" t="e">
        <f t="shared" si="1"/>
        <v>#REF!</v>
      </c>
      <c r="F208" s="6">
        <f t="shared" si="2"/>
        <v>0</v>
      </c>
      <c r="J208" s="6">
        <f t="shared" si="3"/>
        <v>0</v>
      </c>
    </row>
    <row r="209" spans="1:10" ht="12" customHeight="1">
      <c r="A209" s="459">
        <v>206</v>
      </c>
      <c r="B209" s="142">
        <f t="shared" si="0"/>
        <v>0</v>
      </c>
      <c r="E209" s="6" t="e">
        <f t="shared" si="1"/>
        <v>#REF!</v>
      </c>
      <c r="F209" s="6">
        <f t="shared" si="2"/>
        <v>0</v>
      </c>
      <c r="J209" s="6">
        <f t="shared" si="3"/>
        <v>0</v>
      </c>
    </row>
    <row r="210" spans="1:10" ht="12" customHeight="1">
      <c r="A210" s="459">
        <v>207</v>
      </c>
      <c r="B210" s="142">
        <f t="shared" si="0"/>
        <v>0</v>
      </c>
      <c r="E210" s="6" t="e">
        <f t="shared" si="1"/>
        <v>#REF!</v>
      </c>
      <c r="F210" s="6">
        <f t="shared" si="2"/>
        <v>0</v>
      </c>
      <c r="J210" s="6">
        <f t="shared" si="3"/>
        <v>0</v>
      </c>
    </row>
    <row r="211" spans="1:10" ht="12" customHeight="1">
      <c r="A211" s="459">
        <v>208</v>
      </c>
      <c r="B211" s="142">
        <f t="shared" si="0"/>
        <v>0</v>
      </c>
      <c r="E211" s="6" t="e">
        <f t="shared" si="1"/>
        <v>#REF!</v>
      </c>
      <c r="F211" s="6">
        <f t="shared" si="2"/>
        <v>0</v>
      </c>
      <c r="J211" s="6">
        <f t="shared" si="3"/>
        <v>0</v>
      </c>
    </row>
    <row r="212" spans="1:10" ht="12" customHeight="1">
      <c r="A212" s="459">
        <v>209</v>
      </c>
      <c r="B212" s="142">
        <f t="shared" si="0"/>
        <v>0</v>
      </c>
      <c r="E212" s="6" t="e">
        <f t="shared" si="1"/>
        <v>#REF!</v>
      </c>
      <c r="F212" s="6">
        <f t="shared" si="2"/>
        <v>0</v>
      </c>
      <c r="J212" s="6">
        <f t="shared" si="3"/>
        <v>0</v>
      </c>
    </row>
    <row r="213" spans="1:10" ht="12" customHeight="1">
      <c r="A213" s="459">
        <v>210</v>
      </c>
      <c r="B213" s="142">
        <f t="shared" si="0"/>
        <v>0</v>
      </c>
      <c r="E213" s="6" t="e">
        <f t="shared" si="1"/>
        <v>#REF!</v>
      </c>
      <c r="F213" s="6">
        <f t="shared" si="2"/>
        <v>0</v>
      </c>
      <c r="J213" s="6">
        <f t="shared" si="3"/>
        <v>0</v>
      </c>
    </row>
    <row r="214" spans="1:10" ht="12" customHeight="1">
      <c r="A214" s="459">
        <v>211</v>
      </c>
      <c r="B214" s="142">
        <f t="shared" si="0"/>
        <v>0</v>
      </c>
      <c r="E214" s="6" t="e">
        <f t="shared" si="1"/>
        <v>#REF!</v>
      </c>
      <c r="F214" s="6">
        <f t="shared" si="2"/>
        <v>0</v>
      </c>
      <c r="J214" s="6">
        <f t="shared" si="3"/>
        <v>0</v>
      </c>
    </row>
    <row r="215" spans="1:10" ht="12" customHeight="1">
      <c r="A215" s="459">
        <v>212</v>
      </c>
      <c r="B215" s="142">
        <f t="shared" si="0"/>
        <v>0</v>
      </c>
      <c r="E215" s="6" t="e">
        <f t="shared" si="1"/>
        <v>#REF!</v>
      </c>
      <c r="F215" s="6">
        <f t="shared" si="2"/>
        <v>0</v>
      </c>
      <c r="J215" s="6">
        <f t="shared" si="3"/>
        <v>0</v>
      </c>
    </row>
    <row r="216" spans="1:10" ht="12" customHeight="1">
      <c r="A216" s="459">
        <v>213</v>
      </c>
      <c r="B216" s="142">
        <f t="shared" si="0"/>
        <v>0</v>
      </c>
      <c r="E216" s="6" t="e">
        <f t="shared" si="1"/>
        <v>#REF!</v>
      </c>
      <c r="F216" s="6">
        <f t="shared" si="2"/>
        <v>0</v>
      </c>
      <c r="J216" s="6">
        <f t="shared" si="3"/>
        <v>0</v>
      </c>
    </row>
    <row r="217" spans="1:10" ht="12" customHeight="1">
      <c r="A217" s="459">
        <v>214</v>
      </c>
      <c r="B217" s="142">
        <f t="shared" si="0"/>
        <v>0</v>
      </c>
      <c r="E217" s="6" t="e">
        <f t="shared" si="1"/>
        <v>#REF!</v>
      </c>
      <c r="F217" s="6">
        <f t="shared" si="2"/>
        <v>0</v>
      </c>
      <c r="J217" s="6">
        <f t="shared" si="3"/>
        <v>0</v>
      </c>
    </row>
    <row r="218" spans="1:10" ht="12" customHeight="1">
      <c r="A218" s="459">
        <v>215</v>
      </c>
      <c r="B218" s="142">
        <f t="shared" si="0"/>
        <v>0</v>
      </c>
      <c r="E218" s="6" t="e">
        <f t="shared" si="1"/>
        <v>#REF!</v>
      </c>
      <c r="F218" s="6">
        <f t="shared" si="2"/>
        <v>0</v>
      </c>
      <c r="J218" s="6">
        <f t="shared" si="3"/>
        <v>0</v>
      </c>
    </row>
    <row r="219" spans="1:10" ht="12" customHeight="1">
      <c r="A219" s="459">
        <v>216</v>
      </c>
      <c r="B219" s="142">
        <f t="shared" si="0"/>
        <v>0</v>
      </c>
      <c r="E219" s="6" t="e">
        <f t="shared" si="1"/>
        <v>#REF!</v>
      </c>
      <c r="F219" s="6">
        <f t="shared" si="2"/>
        <v>0</v>
      </c>
      <c r="J219" s="6">
        <f t="shared" si="3"/>
        <v>0</v>
      </c>
    </row>
    <row r="220" spans="1:10" ht="12" customHeight="1">
      <c r="A220" s="459">
        <v>217</v>
      </c>
      <c r="B220" s="142">
        <f t="shared" si="0"/>
        <v>0</v>
      </c>
      <c r="E220" s="6" t="e">
        <f t="shared" si="1"/>
        <v>#REF!</v>
      </c>
      <c r="F220" s="6">
        <f t="shared" si="2"/>
        <v>0</v>
      </c>
      <c r="J220" s="6">
        <f t="shared" si="3"/>
        <v>0</v>
      </c>
    </row>
    <row r="221" spans="1:10" ht="12" customHeight="1">
      <c r="A221" s="459">
        <v>218</v>
      </c>
      <c r="B221" s="142">
        <f t="shared" si="0"/>
        <v>0</v>
      </c>
      <c r="E221" s="6" t="e">
        <f t="shared" si="1"/>
        <v>#REF!</v>
      </c>
      <c r="F221" s="6">
        <f t="shared" si="2"/>
        <v>0</v>
      </c>
      <c r="J221" s="6">
        <f t="shared" si="3"/>
        <v>0</v>
      </c>
    </row>
    <row r="222" spans="1:10" ht="12" customHeight="1">
      <c r="A222" s="459">
        <v>219</v>
      </c>
      <c r="B222" s="142">
        <f t="shared" si="0"/>
        <v>0</v>
      </c>
      <c r="E222" s="6" t="e">
        <f t="shared" si="1"/>
        <v>#REF!</v>
      </c>
      <c r="F222" s="6">
        <f t="shared" si="2"/>
        <v>0</v>
      </c>
      <c r="J222" s="6">
        <f t="shared" si="3"/>
        <v>0</v>
      </c>
    </row>
    <row r="223" spans="1:10" ht="12" customHeight="1">
      <c r="A223" s="459">
        <v>220</v>
      </c>
      <c r="B223" s="142">
        <f t="shared" si="0"/>
        <v>0</v>
      </c>
      <c r="E223" s="6" t="e">
        <f t="shared" si="1"/>
        <v>#REF!</v>
      </c>
      <c r="F223" s="6">
        <f t="shared" si="2"/>
        <v>0</v>
      </c>
      <c r="J223" s="6">
        <f t="shared" si="3"/>
        <v>0</v>
      </c>
    </row>
    <row r="224" spans="1:10" ht="12" customHeight="1">
      <c r="A224" s="459">
        <v>221</v>
      </c>
      <c r="B224" s="142">
        <f t="shared" si="0"/>
        <v>0</v>
      </c>
      <c r="E224" s="6" t="e">
        <f t="shared" si="1"/>
        <v>#REF!</v>
      </c>
      <c r="F224" s="6">
        <f t="shared" si="2"/>
        <v>0</v>
      </c>
      <c r="J224" s="6">
        <f t="shared" si="3"/>
        <v>0</v>
      </c>
    </row>
    <row r="225" spans="1:10" ht="12" customHeight="1">
      <c r="A225" s="459">
        <v>222</v>
      </c>
      <c r="B225" s="142">
        <f t="shared" si="0"/>
        <v>0</v>
      </c>
      <c r="E225" s="6" t="e">
        <f t="shared" si="1"/>
        <v>#REF!</v>
      </c>
      <c r="F225" s="6">
        <f t="shared" si="2"/>
        <v>0</v>
      </c>
      <c r="J225" s="6">
        <f t="shared" si="3"/>
        <v>0</v>
      </c>
    </row>
    <row r="226" spans="1:10" ht="12" customHeight="1">
      <c r="A226" s="459">
        <v>223</v>
      </c>
      <c r="B226" s="142">
        <f t="shared" si="0"/>
        <v>0</v>
      </c>
      <c r="E226" s="6" t="e">
        <f t="shared" si="1"/>
        <v>#REF!</v>
      </c>
      <c r="F226" s="6">
        <f t="shared" si="2"/>
        <v>0</v>
      </c>
      <c r="J226" s="6">
        <f t="shared" si="3"/>
        <v>0</v>
      </c>
    </row>
    <row r="227" spans="1:10" ht="12" customHeight="1">
      <c r="A227" s="459">
        <v>224</v>
      </c>
      <c r="B227" s="142">
        <f t="shared" si="0"/>
        <v>0</v>
      </c>
      <c r="E227" s="6" t="e">
        <f t="shared" si="1"/>
        <v>#REF!</v>
      </c>
      <c r="F227" s="6">
        <f t="shared" si="2"/>
        <v>0</v>
      </c>
      <c r="J227" s="6">
        <f t="shared" si="3"/>
        <v>0</v>
      </c>
    </row>
    <row r="228" spans="1:10" ht="12" customHeight="1">
      <c r="A228" s="459">
        <v>225</v>
      </c>
      <c r="B228" s="142">
        <f t="shared" si="0"/>
        <v>0</v>
      </c>
      <c r="E228" s="6" t="e">
        <f t="shared" si="1"/>
        <v>#REF!</v>
      </c>
      <c r="F228" s="6">
        <f t="shared" si="2"/>
        <v>0</v>
      </c>
      <c r="J228" s="6">
        <f t="shared" si="3"/>
        <v>0</v>
      </c>
    </row>
    <row r="229" spans="1:10" ht="12" customHeight="1">
      <c r="A229" s="459">
        <v>226</v>
      </c>
      <c r="B229" s="142">
        <f t="shared" si="0"/>
        <v>0</v>
      </c>
      <c r="E229" s="6" t="e">
        <f t="shared" si="1"/>
        <v>#REF!</v>
      </c>
      <c r="F229" s="6">
        <f t="shared" si="2"/>
        <v>0</v>
      </c>
      <c r="J229" s="6">
        <f t="shared" si="3"/>
        <v>0</v>
      </c>
    </row>
    <row r="230" spans="1:10" ht="12" customHeight="1">
      <c r="A230" s="459">
        <v>227</v>
      </c>
      <c r="B230" s="142">
        <f t="shared" si="0"/>
        <v>0</v>
      </c>
      <c r="E230" s="6" t="e">
        <f t="shared" si="1"/>
        <v>#REF!</v>
      </c>
      <c r="F230" s="6">
        <f t="shared" si="2"/>
        <v>0</v>
      </c>
      <c r="J230" s="6">
        <f t="shared" si="3"/>
        <v>0</v>
      </c>
    </row>
    <row r="231" spans="1:10" ht="12" customHeight="1">
      <c r="A231" s="459">
        <v>228</v>
      </c>
      <c r="B231" s="142">
        <f t="shared" si="0"/>
        <v>0</v>
      </c>
      <c r="E231" s="6" t="e">
        <f t="shared" si="1"/>
        <v>#REF!</v>
      </c>
      <c r="F231" s="6">
        <f t="shared" si="2"/>
        <v>0</v>
      </c>
      <c r="J231" s="6">
        <f t="shared" si="3"/>
        <v>0</v>
      </c>
    </row>
    <row r="232" spans="1:10" ht="12" customHeight="1">
      <c r="A232" s="459">
        <v>229</v>
      </c>
      <c r="B232" s="142">
        <f t="shared" si="0"/>
        <v>0</v>
      </c>
      <c r="E232" s="6" t="e">
        <f t="shared" si="1"/>
        <v>#REF!</v>
      </c>
      <c r="F232" s="6">
        <f t="shared" si="2"/>
        <v>0</v>
      </c>
      <c r="J232" s="6">
        <f t="shared" si="3"/>
        <v>0</v>
      </c>
    </row>
    <row r="233" spans="1:10" ht="12" customHeight="1">
      <c r="A233" s="459">
        <v>230</v>
      </c>
      <c r="B233" s="142">
        <f t="shared" si="0"/>
        <v>0</v>
      </c>
      <c r="E233" s="6" t="e">
        <f t="shared" si="1"/>
        <v>#REF!</v>
      </c>
      <c r="F233" s="6">
        <f t="shared" si="2"/>
        <v>0</v>
      </c>
      <c r="J233" s="6">
        <f t="shared" si="3"/>
        <v>0</v>
      </c>
    </row>
    <row r="234" spans="1:10" ht="12" customHeight="1">
      <c r="A234" s="459">
        <v>231</v>
      </c>
      <c r="B234" s="142">
        <f t="shared" si="0"/>
        <v>0</v>
      </c>
      <c r="E234" s="6" t="e">
        <f t="shared" si="1"/>
        <v>#REF!</v>
      </c>
      <c r="F234" s="6">
        <f t="shared" si="2"/>
        <v>0</v>
      </c>
      <c r="J234" s="6">
        <f t="shared" si="3"/>
        <v>0</v>
      </c>
    </row>
    <row r="235" spans="1:10" ht="12" customHeight="1">
      <c r="A235" s="459">
        <v>232</v>
      </c>
      <c r="B235" s="142">
        <f t="shared" si="0"/>
        <v>0</v>
      </c>
      <c r="E235" s="6" t="e">
        <f t="shared" si="1"/>
        <v>#REF!</v>
      </c>
      <c r="F235" s="6">
        <f t="shared" si="2"/>
        <v>0</v>
      </c>
      <c r="J235" s="6">
        <f t="shared" si="3"/>
        <v>0</v>
      </c>
    </row>
    <row r="236" spans="1:10" ht="12" customHeight="1">
      <c r="A236" s="459">
        <v>233</v>
      </c>
      <c r="B236" s="142">
        <f t="shared" si="0"/>
        <v>0</v>
      </c>
      <c r="E236" s="6" t="e">
        <f t="shared" si="1"/>
        <v>#REF!</v>
      </c>
      <c r="F236" s="6">
        <f t="shared" si="2"/>
        <v>0</v>
      </c>
      <c r="J236" s="6">
        <f t="shared" si="3"/>
        <v>0</v>
      </c>
    </row>
    <row r="237" spans="1:10" ht="12" customHeight="1">
      <c r="A237" s="459">
        <v>234</v>
      </c>
      <c r="B237" s="142">
        <f t="shared" si="0"/>
        <v>0</v>
      </c>
      <c r="E237" s="6" t="e">
        <f t="shared" si="1"/>
        <v>#REF!</v>
      </c>
      <c r="F237" s="6">
        <f t="shared" si="2"/>
        <v>0</v>
      </c>
      <c r="J237" s="6">
        <f t="shared" si="3"/>
        <v>0</v>
      </c>
    </row>
    <row r="238" spans="1:10" ht="12" customHeight="1">
      <c r="A238" s="459">
        <v>235</v>
      </c>
      <c r="B238" s="142">
        <f t="shared" si="0"/>
        <v>0</v>
      </c>
      <c r="E238" s="6" t="e">
        <f t="shared" si="1"/>
        <v>#REF!</v>
      </c>
      <c r="F238" s="6">
        <f t="shared" si="2"/>
        <v>0</v>
      </c>
      <c r="J238" s="6">
        <f t="shared" si="3"/>
        <v>0</v>
      </c>
    </row>
    <row r="239" spans="1:10" ht="12" customHeight="1">
      <c r="A239" s="459">
        <v>236</v>
      </c>
      <c r="B239" s="142">
        <f t="shared" si="0"/>
        <v>0</v>
      </c>
      <c r="E239" s="6" t="e">
        <f t="shared" si="1"/>
        <v>#REF!</v>
      </c>
      <c r="F239" s="6">
        <f t="shared" si="2"/>
        <v>0</v>
      </c>
      <c r="J239" s="6">
        <f t="shared" si="3"/>
        <v>0</v>
      </c>
    </row>
    <row r="240" spans="1:10" ht="12" customHeight="1">
      <c r="A240" s="459">
        <v>237</v>
      </c>
      <c r="B240" s="142">
        <f t="shared" si="0"/>
        <v>0</v>
      </c>
      <c r="E240" s="6" t="e">
        <f t="shared" si="1"/>
        <v>#REF!</v>
      </c>
      <c r="F240" s="6">
        <f t="shared" si="2"/>
        <v>0</v>
      </c>
      <c r="J240" s="6">
        <f t="shared" si="3"/>
        <v>0</v>
      </c>
    </row>
    <row r="241" spans="1:10" ht="12" customHeight="1">
      <c r="A241" s="459">
        <v>238</v>
      </c>
      <c r="B241" s="142">
        <f t="shared" si="0"/>
        <v>0</v>
      </c>
      <c r="E241" s="6" t="e">
        <f t="shared" si="1"/>
        <v>#REF!</v>
      </c>
      <c r="F241" s="6">
        <f t="shared" si="2"/>
        <v>0</v>
      </c>
      <c r="J241" s="6">
        <f t="shared" si="3"/>
        <v>0</v>
      </c>
    </row>
    <row r="242" spans="1:10" ht="12" customHeight="1">
      <c r="A242" s="459">
        <v>239</v>
      </c>
      <c r="B242" s="142">
        <f t="shared" si="0"/>
        <v>0</v>
      </c>
      <c r="E242" s="6" t="e">
        <f t="shared" si="1"/>
        <v>#REF!</v>
      </c>
      <c r="F242" s="6">
        <f t="shared" si="2"/>
        <v>0</v>
      </c>
      <c r="J242" s="6">
        <f t="shared" si="3"/>
        <v>0</v>
      </c>
    </row>
    <row r="243" spans="1:10" ht="12" customHeight="1">
      <c r="A243" s="459">
        <v>240</v>
      </c>
      <c r="B243" s="142">
        <f t="shared" si="0"/>
        <v>0</v>
      </c>
      <c r="E243" s="6" t="e">
        <f t="shared" si="1"/>
        <v>#REF!</v>
      </c>
      <c r="F243" s="6">
        <f t="shared" si="2"/>
        <v>0</v>
      </c>
      <c r="J243" s="6">
        <f t="shared" si="3"/>
        <v>0</v>
      </c>
    </row>
    <row r="244" spans="1:10" ht="12" customHeight="1">
      <c r="A244" s="459">
        <v>241</v>
      </c>
      <c r="B244" s="142">
        <f t="shared" si="0"/>
        <v>0</v>
      </c>
      <c r="E244" s="6" t="e">
        <f t="shared" si="1"/>
        <v>#REF!</v>
      </c>
      <c r="F244" s="6">
        <f t="shared" si="2"/>
        <v>0</v>
      </c>
      <c r="J244" s="6">
        <f t="shared" si="3"/>
        <v>0</v>
      </c>
    </row>
    <row r="245" spans="1:10" ht="12" customHeight="1">
      <c r="A245" s="459">
        <v>242</v>
      </c>
      <c r="B245" s="142">
        <f t="shared" si="0"/>
        <v>0</v>
      </c>
      <c r="E245" s="6" t="e">
        <f t="shared" si="1"/>
        <v>#REF!</v>
      </c>
      <c r="F245" s="6">
        <f t="shared" si="2"/>
        <v>0</v>
      </c>
      <c r="J245" s="6">
        <f t="shared" si="3"/>
        <v>0</v>
      </c>
    </row>
    <row r="246" spans="1:10" ht="12" customHeight="1">
      <c r="A246" s="459">
        <v>243</v>
      </c>
      <c r="B246" s="142">
        <f t="shared" si="0"/>
        <v>0</v>
      </c>
      <c r="E246" s="6" t="e">
        <f t="shared" si="1"/>
        <v>#REF!</v>
      </c>
      <c r="F246" s="6">
        <f t="shared" si="2"/>
        <v>0</v>
      </c>
      <c r="J246" s="6">
        <f t="shared" si="3"/>
        <v>0</v>
      </c>
    </row>
    <row r="247" spans="1:10" ht="12" customHeight="1">
      <c r="A247" s="459">
        <v>244</v>
      </c>
      <c r="B247" s="142">
        <f t="shared" si="0"/>
        <v>0</v>
      </c>
      <c r="E247" s="6" t="e">
        <f t="shared" si="1"/>
        <v>#REF!</v>
      </c>
      <c r="F247" s="6">
        <f t="shared" si="2"/>
        <v>0</v>
      </c>
      <c r="J247" s="6">
        <f t="shared" si="3"/>
        <v>0</v>
      </c>
    </row>
    <row r="248" spans="1:10" ht="12" customHeight="1">
      <c r="A248" s="459">
        <v>245</v>
      </c>
      <c r="B248" s="142">
        <f t="shared" si="0"/>
        <v>0</v>
      </c>
      <c r="E248" s="6" t="e">
        <f t="shared" si="1"/>
        <v>#REF!</v>
      </c>
      <c r="F248" s="6">
        <f t="shared" si="2"/>
        <v>0</v>
      </c>
      <c r="J248" s="6">
        <f t="shared" si="3"/>
        <v>0</v>
      </c>
    </row>
    <row r="249" spans="1:10" ht="12" customHeight="1">
      <c r="A249" s="459">
        <v>246</v>
      </c>
      <c r="B249" s="142">
        <f t="shared" si="0"/>
        <v>0</v>
      </c>
      <c r="E249" s="6" t="e">
        <f t="shared" si="1"/>
        <v>#REF!</v>
      </c>
      <c r="F249" s="6">
        <f t="shared" si="2"/>
        <v>0</v>
      </c>
      <c r="J249" s="6">
        <f t="shared" si="3"/>
        <v>0</v>
      </c>
    </row>
    <row r="250" spans="1:10" ht="12" customHeight="1">
      <c r="A250" s="459">
        <v>247</v>
      </c>
      <c r="B250" s="142">
        <f t="shared" si="0"/>
        <v>0</v>
      </c>
      <c r="E250" s="6" t="e">
        <f t="shared" si="1"/>
        <v>#REF!</v>
      </c>
      <c r="F250" s="6">
        <f t="shared" si="2"/>
        <v>0</v>
      </c>
      <c r="J250" s="6">
        <f t="shared" si="3"/>
        <v>0</v>
      </c>
    </row>
    <row r="251" spans="1:10" ht="12" customHeight="1">
      <c r="A251" s="459">
        <v>248</v>
      </c>
      <c r="B251" s="142">
        <f t="shared" si="0"/>
        <v>0</v>
      </c>
      <c r="E251" s="6" t="e">
        <f t="shared" si="1"/>
        <v>#REF!</v>
      </c>
      <c r="F251" s="6">
        <f t="shared" si="2"/>
        <v>0</v>
      </c>
      <c r="J251" s="6">
        <f t="shared" si="3"/>
        <v>0</v>
      </c>
    </row>
    <row r="252" spans="1:10" ht="12" customHeight="1">
      <c r="A252" s="459">
        <v>249</v>
      </c>
      <c r="B252" s="142">
        <f t="shared" si="0"/>
        <v>0</v>
      </c>
      <c r="E252" s="6" t="e">
        <f t="shared" si="1"/>
        <v>#REF!</v>
      </c>
      <c r="F252" s="6">
        <f t="shared" si="2"/>
        <v>0</v>
      </c>
      <c r="J252" s="6">
        <f t="shared" si="3"/>
        <v>0</v>
      </c>
    </row>
    <row r="253" spans="1:10" ht="12" customHeight="1">
      <c r="A253" s="459">
        <v>250</v>
      </c>
      <c r="B253" s="142">
        <f t="shared" si="0"/>
        <v>0</v>
      </c>
      <c r="E253" s="6" t="e">
        <f t="shared" si="1"/>
        <v>#REF!</v>
      </c>
      <c r="F253" s="6">
        <f t="shared" si="2"/>
        <v>0</v>
      </c>
      <c r="J253" s="6">
        <f t="shared" si="3"/>
        <v>0</v>
      </c>
    </row>
    <row r="254" spans="1:10" ht="12" customHeight="1">
      <c r="A254" s="459">
        <v>251</v>
      </c>
      <c r="B254" s="142">
        <f t="shared" si="0"/>
        <v>0</v>
      </c>
      <c r="E254" s="6" t="e">
        <f t="shared" si="1"/>
        <v>#REF!</v>
      </c>
      <c r="F254" s="6">
        <f t="shared" si="2"/>
        <v>0</v>
      </c>
      <c r="J254" s="6">
        <f t="shared" si="3"/>
        <v>0</v>
      </c>
    </row>
    <row r="255" spans="1:10" ht="12" customHeight="1">
      <c r="A255" s="459">
        <v>252</v>
      </c>
      <c r="B255" s="142">
        <f t="shared" si="0"/>
        <v>0</v>
      </c>
      <c r="E255" s="6" t="e">
        <f t="shared" si="1"/>
        <v>#REF!</v>
      </c>
      <c r="F255" s="6">
        <f t="shared" si="2"/>
        <v>0</v>
      </c>
      <c r="J255" s="6">
        <f t="shared" si="3"/>
        <v>0</v>
      </c>
    </row>
    <row r="256" spans="1:10" ht="12" customHeight="1">
      <c r="A256" s="459">
        <v>253</v>
      </c>
      <c r="B256" s="142">
        <f t="shared" si="0"/>
        <v>0</v>
      </c>
      <c r="E256" s="6" t="e">
        <f t="shared" si="1"/>
        <v>#REF!</v>
      </c>
      <c r="F256" s="6">
        <f t="shared" si="2"/>
        <v>0</v>
      </c>
      <c r="J256" s="6">
        <f t="shared" si="3"/>
        <v>0</v>
      </c>
    </row>
    <row r="257" spans="1:10" ht="12" customHeight="1">
      <c r="A257" s="459">
        <v>254</v>
      </c>
      <c r="B257" s="142">
        <f t="shared" si="0"/>
        <v>0</v>
      </c>
      <c r="E257" s="6" t="e">
        <f t="shared" si="1"/>
        <v>#REF!</v>
      </c>
      <c r="F257" s="6">
        <f t="shared" si="2"/>
        <v>0</v>
      </c>
      <c r="J257" s="6">
        <f t="shared" si="3"/>
        <v>0</v>
      </c>
    </row>
    <row r="258" spans="1:10" ht="12" customHeight="1">
      <c r="A258" s="459">
        <v>255</v>
      </c>
      <c r="B258" s="142">
        <f t="shared" si="0"/>
        <v>0</v>
      </c>
      <c r="E258" s="6" t="e">
        <f t="shared" si="1"/>
        <v>#REF!</v>
      </c>
      <c r="F258" s="6">
        <f t="shared" si="2"/>
        <v>0</v>
      </c>
      <c r="J258" s="6">
        <f t="shared" si="3"/>
        <v>0</v>
      </c>
    </row>
    <row r="259" spans="1:10" ht="12" customHeight="1">
      <c r="A259" s="459">
        <v>256</v>
      </c>
      <c r="B259" s="142">
        <f t="shared" ref="B259" si="4">J259*($H$3-C259+D259)</f>
        <v>0</v>
      </c>
      <c r="E259" s="6" t="e">
        <f t="shared" ref="E259" si="5">J259*(B259*$L$1+F259)-(J259-1)*$L$3</f>
        <v>#REF!</v>
      </c>
      <c r="F259" s="6">
        <f t="shared" ref="F259" si="6">IF(A259&lt;$I$3,$L$2,0)</f>
        <v>0</v>
      </c>
      <c r="J259" s="6">
        <f t="shared" ref="J259" si="7">IF($I$3&lt;=A259,0,1)</f>
        <v>0</v>
      </c>
    </row>
    <row r="260" spans="1:10" ht="12" customHeight="1"/>
    <row r="261" spans="1:10" ht="12" customHeight="1"/>
    <row r="262" spans="1:10" ht="12" customHeight="1"/>
    <row r="263" spans="1:10" ht="12" customHeight="1"/>
    <row r="264" spans="1:10" ht="12" customHeight="1"/>
    <row r="265" spans="1:10" ht="12" customHeight="1"/>
    <row r="266" spans="1:10" ht="12" customHeight="1"/>
    <row r="267" spans="1:10" ht="12" customHeight="1"/>
    <row r="268" spans="1:10" ht="12" customHeight="1"/>
    <row r="269" spans="1:10" ht="12" customHeight="1"/>
    <row r="270" spans="1:10" ht="12" customHeight="1"/>
    <row r="271" spans="1:10" ht="12" customHeight="1"/>
    <row r="272" spans="1:10"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1000"/>
  <sheetViews>
    <sheetView workbookViewId="0"/>
  </sheetViews>
  <sheetFormatPr defaultColWidth="14.375" defaultRowHeight="15" customHeight="1"/>
  <cols>
    <col min="1" max="26" width="8" customWidth="1"/>
  </cols>
  <sheetData>
    <row r="1" spans="1:3" ht="12" customHeight="1">
      <c r="A1" s="450" t="s">
        <v>1940</v>
      </c>
      <c r="B1" s="451"/>
      <c r="C1" s="451"/>
    </row>
    <row r="2" spans="1:3" ht="12" customHeight="1"/>
    <row r="3" spans="1:3" ht="24" customHeight="1">
      <c r="A3" s="460" t="s">
        <v>1941</v>
      </c>
      <c r="B3" s="453" t="s">
        <v>1741</v>
      </c>
    </row>
    <row r="4" spans="1:3" ht="12" customHeight="1">
      <c r="A4" s="160" t="s">
        <v>1836</v>
      </c>
      <c r="B4" s="6">
        <v>250</v>
      </c>
    </row>
    <row r="5" spans="1:3" ht="12" customHeight="1">
      <c r="A5" s="160" t="s">
        <v>1842</v>
      </c>
      <c r="B5" s="6">
        <v>200</v>
      </c>
    </row>
    <row r="6" spans="1:3" ht="12" customHeight="1">
      <c r="A6" s="160" t="s">
        <v>310</v>
      </c>
      <c r="B6" s="6">
        <v>150</v>
      </c>
    </row>
    <row r="7" spans="1:3" ht="12" customHeight="1">
      <c r="A7" s="160" t="s">
        <v>1845</v>
      </c>
      <c r="B7" s="6">
        <v>100</v>
      </c>
    </row>
    <row r="8" spans="1:3" ht="12" customHeight="1">
      <c r="A8" s="160" t="s">
        <v>1690</v>
      </c>
      <c r="B8" s="6">
        <v>0</v>
      </c>
    </row>
    <row r="9" spans="1:3" ht="12" customHeight="1"/>
    <row r="10" spans="1:3" ht="12" customHeight="1"/>
    <row r="11" spans="1:3" ht="12" customHeight="1"/>
    <row r="12" spans="1:3" ht="12" customHeight="1"/>
    <row r="13" spans="1:3" ht="12" customHeight="1"/>
    <row r="14" spans="1:3" ht="12" customHeight="1"/>
    <row r="15" spans="1:3" ht="12" customHeight="1"/>
    <row r="16" spans="1:3"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1000"/>
  <sheetViews>
    <sheetView workbookViewId="0"/>
  </sheetViews>
  <sheetFormatPr defaultColWidth="14.375" defaultRowHeight="15" customHeight="1"/>
  <cols>
    <col min="1" max="1" width="8.125" customWidth="1"/>
    <col min="2" max="2" width="12.25" customWidth="1"/>
    <col min="3" max="4" width="8" customWidth="1"/>
    <col min="5" max="5" width="11.375" customWidth="1"/>
    <col min="6" max="26" width="8" customWidth="1"/>
  </cols>
  <sheetData>
    <row r="1" spans="1:3" ht="12" customHeight="1">
      <c r="A1" s="450" t="s">
        <v>1942</v>
      </c>
      <c r="B1" s="451"/>
      <c r="C1" s="451"/>
    </row>
    <row r="2" spans="1:3" ht="12" customHeight="1"/>
    <row r="3" spans="1:3" ht="24" customHeight="1">
      <c r="A3" s="460" t="s">
        <v>1941</v>
      </c>
      <c r="B3" s="453" t="s">
        <v>1943</v>
      </c>
    </row>
    <row r="4" spans="1:3" ht="12" customHeight="1">
      <c r="A4" s="160" t="s">
        <v>1842</v>
      </c>
      <c r="B4" s="6">
        <v>20</v>
      </c>
    </row>
    <row r="5" spans="1:3" ht="12" customHeight="1">
      <c r="A5" s="160" t="s">
        <v>310</v>
      </c>
      <c r="B5" s="6">
        <v>15</v>
      </c>
    </row>
    <row r="6" spans="1:3" ht="12" customHeight="1">
      <c r="A6" s="160" t="s">
        <v>1845</v>
      </c>
      <c r="B6" s="6">
        <v>10</v>
      </c>
    </row>
    <row r="7" spans="1:3" ht="12" customHeight="1">
      <c r="A7" s="160" t="s">
        <v>1847</v>
      </c>
      <c r="B7" s="6">
        <v>1</v>
      </c>
    </row>
    <row r="8" spans="1:3" ht="12" customHeight="1"/>
    <row r="9" spans="1:3" ht="12" customHeight="1"/>
    <row r="10" spans="1:3" ht="12" customHeight="1"/>
    <row r="11" spans="1:3" ht="12" customHeight="1"/>
    <row r="12" spans="1:3" ht="12" customHeight="1"/>
    <row r="13" spans="1:3" ht="12" customHeight="1"/>
    <row r="14" spans="1:3" ht="12" customHeight="1"/>
    <row r="15" spans="1:3" ht="12" customHeight="1"/>
    <row r="16" spans="1:3"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D7">
    <cfRule type="cellIs" dxfId="1" priority="1" operator="equal">
      <formula>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6699"/>
  </sheetPr>
  <dimension ref="A1:AR1000"/>
  <sheetViews>
    <sheetView tabSelected="1" workbookViewId="0">
      <pane xSplit="8" ySplit="10" topLeftCell="I11" activePane="bottomRight" state="frozen"/>
      <selection pane="topRight" activeCell="I1" sqref="I1"/>
      <selection pane="bottomLeft" activeCell="A11" sqref="A11"/>
      <selection pane="bottomRight" activeCell="I11" sqref="I11"/>
    </sheetView>
  </sheetViews>
  <sheetFormatPr defaultColWidth="14.375" defaultRowHeight="15" customHeight="1"/>
  <cols>
    <col min="1" max="1" width="9" hidden="1" customWidth="1"/>
    <col min="2" max="2" width="3.875" hidden="1" customWidth="1"/>
    <col min="3" max="5" width="9" hidden="1" customWidth="1"/>
    <col min="6" max="6" width="24.375" hidden="1" customWidth="1"/>
    <col min="7" max="7" width="3.625" customWidth="1"/>
    <col min="8" max="9" width="9.125" customWidth="1"/>
    <col min="10" max="10" width="13.375" customWidth="1"/>
    <col min="11" max="11" width="13.75" customWidth="1"/>
    <col min="12" max="12" width="20.375" customWidth="1"/>
    <col min="13" max="13" width="6.125" customWidth="1"/>
    <col min="14" max="14" width="6.625" customWidth="1"/>
    <col min="15" max="15" width="9.125" customWidth="1"/>
    <col min="16" max="16" width="14.375" customWidth="1"/>
    <col min="17" max="17" width="11.625" customWidth="1"/>
    <col min="18" max="18" width="20.375" customWidth="1"/>
    <col min="19" max="19" width="6.125" customWidth="1"/>
    <col min="20" max="20" width="6.625" customWidth="1"/>
    <col min="21" max="21" width="9.125" customWidth="1"/>
    <col min="22" max="22" width="14.375" customWidth="1"/>
    <col min="23" max="23" width="11.625" customWidth="1"/>
    <col min="24" max="24" width="20.375" customWidth="1"/>
    <col min="25" max="25" width="6.125" customWidth="1"/>
    <col min="26" max="26" width="6.75" customWidth="1"/>
    <col min="27" max="27" width="8" customWidth="1"/>
    <col min="28" max="28" width="14.375" customWidth="1"/>
    <col min="29" max="29" width="11.625" customWidth="1"/>
    <col min="30" max="30" width="20.375" customWidth="1"/>
    <col min="31" max="31" width="5" customWidth="1"/>
    <col min="32" max="32" width="5.375" customWidth="1"/>
    <col min="33" max="33" width="1.625" customWidth="1"/>
    <col min="34" max="34" width="7.25" customWidth="1"/>
    <col min="35" max="37" width="8.125" customWidth="1"/>
    <col min="38" max="38" width="34.75" customWidth="1"/>
    <col min="39" max="39" width="9.125" customWidth="1"/>
    <col min="40" max="40" width="7.75" customWidth="1"/>
    <col min="41" max="41" width="8.375" customWidth="1"/>
    <col min="42" max="42" width="7.875" customWidth="1"/>
    <col min="43" max="43" width="8.25" customWidth="1"/>
    <col min="44" max="44" width="9.125" customWidth="1"/>
  </cols>
  <sheetData>
    <row r="1" spans="1:44" ht="30" customHeight="1">
      <c r="A1" s="69"/>
      <c r="B1" s="69"/>
      <c r="C1" s="69"/>
      <c r="D1" s="69"/>
      <c r="E1" s="69"/>
      <c r="F1" s="69"/>
      <c r="G1" s="69"/>
      <c r="H1" s="70" t="s">
        <v>1692</v>
      </c>
      <c r="I1" s="71" t="s">
        <v>1693</v>
      </c>
      <c r="J1" s="72"/>
      <c r="K1" s="72"/>
      <c r="L1" s="72"/>
      <c r="M1" s="73"/>
      <c r="N1" s="73"/>
      <c r="O1" s="73"/>
      <c r="P1" s="73"/>
      <c r="Q1" s="69"/>
      <c r="R1" s="74" t="s">
        <v>1694</v>
      </c>
      <c r="S1" s="75">
        <f>'Kvalita turnaje'!F1</f>
        <v>45.671937499999999</v>
      </c>
      <c r="T1" s="76"/>
      <c r="U1" s="69"/>
      <c r="V1" s="69"/>
      <c r="W1" s="69"/>
      <c r="X1" s="69"/>
      <c r="Y1" s="69"/>
      <c r="Z1" s="69"/>
      <c r="AA1" s="69"/>
      <c r="AB1" s="69"/>
      <c r="AC1" s="69"/>
      <c r="AD1" s="69"/>
      <c r="AE1" s="69"/>
      <c r="AF1" s="69"/>
      <c r="AG1" s="69"/>
      <c r="AH1" s="69"/>
      <c r="AI1" s="69"/>
      <c r="AJ1" s="69"/>
      <c r="AK1" s="69"/>
      <c r="AL1" s="69"/>
      <c r="AM1" s="69"/>
      <c r="AN1" s="17"/>
      <c r="AO1" s="17"/>
      <c r="AP1" s="17"/>
      <c r="AQ1" s="17"/>
      <c r="AR1" s="17"/>
    </row>
    <row r="2" spans="1:44" ht="18" customHeight="1">
      <c r="A2" s="69"/>
      <c r="B2" s="69"/>
      <c r="C2" s="69"/>
      <c r="D2" s="69"/>
      <c r="E2" s="69"/>
      <c r="F2" s="69"/>
      <c r="G2" s="69"/>
      <c r="H2" s="77"/>
      <c r="I2" s="78" t="s">
        <v>1695</v>
      </c>
      <c r="J2" s="79"/>
      <c r="K2" s="80">
        <f>IF(Internet!$E$1=0,Turnaje!A4,Internet!$E$1)</f>
        <v>23014</v>
      </c>
      <c r="L2" s="17"/>
      <c r="M2" s="81" t="s">
        <v>1696</v>
      </c>
      <c r="N2" s="82" t="str">
        <f>IF(AND(S1&gt;=40,OR(AND(K6=2,K7&gt;=48),AND(K6=3,K7&gt;=32),AND(K6=1,K7&gt;=64))),"P","R")</f>
        <v>P</v>
      </c>
      <c r="O2" s="69"/>
      <c r="P2" s="69"/>
      <c r="Q2" s="69"/>
      <c r="R2" s="74" t="s">
        <v>1697</v>
      </c>
      <c r="S2" s="76">
        <f>IF(TYPE(VLOOKUP(Start.listina!N2,Bonusy!A4:B8,2,0))&gt;3,0,VLOOKUP(Start.listina!N2,Bonusy!A4:B8,2,0))</f>
        <v>100</v>
      </c>
      <c r="T2" s="76"/>
      <c r="U2" s="69"/>
      <c r="V2" s="69"/>
      <c r="W2" s="69"/>
      <c r="X2" s="69"/>
      <c r="Y2" s="69"/>
      <c r="Z2" s="69"/>
      <c r="AA2" s="69"/>
      <c r="AB2" s="69"/>
      <c r="AC2" s="69"/>
      <c r="AD2" s="69"/>
      <c r="AE2" s="69"/>
      <c r="AF2" s="69"/>
      <c r="AG2" s="69"/>
      <c r="AH2" s="69"/>
      <c r="AI2" s="69"/>
      <c r="AJ2" s="69"/>
      <c r="AK2" s="69"/>
      <c r="AL2" s="69"/>
      <c r="AM2" s="69"/>
      <c r="AN2" s="17"/>
      <c r="AO2" s="17"/>
      <c r="AP2" s="17"/>
      <c r="AQ2" s="17"/>
      <c r="AR2" s="17"/>
    </row>
    <row r="3" spans="1:44" ht="17.25" customHeight="1">
      <c r="A3" s="69"/>
      <c r="B3" s="69"/>
      <c r="C3" s="69"/>
      <c r="D3" s="69"/>
      <c r="E3" s="69"/>
      <c r="F3" s="69"/>
      <c r="G3" s="69"/>
      <c r="H3" s="77"/>
      <c r="I3" s="83" t="s">
        <v>1698</v>
      </c>
      <c r="J3" s="79"/>
      <c r="K3" s="84" t="str">
        <f>IF(ISBLANK(K2)," ",VLOOKUP(K2,Turnaje!$A$1:$G$147,3,0))</f>
        <v>22.04.2023</v>
      </c>
      <c r="L3" s="69"/>
      <c r="M3" s="81" t="s">
        <v>1699</v>
      </c>
      <c r="N3" s="82" t="s">
        <v>1700</v>
      </c>
      <c r="O3" s="69"/>
      <c r="P3" s="69"/>
      <c r="Q3" s="69"/>
      <c r="R3" s="74" t="s">
        <v>1701</v>
      </c>
      <c r="S3" s="76">
        <f>IF(TYPE(VLOOKUP(Start.listina!N2,Paušál!A4:B7,2,0))&gt;3,0,VLOOKUP(Start.listina!N2,Paušál!A4:B7,2,0))</f>
        <v>10</v>
      </c>
      <c r="T3" s="76"/>
      <c r="U3" s="69"/>
      <c r="V3" s="69"/>
      <c r="W3" s="69"/>
      <c r="X3" s="69"/>
      <c r="Y3" s="69"/>
      <c r="Z3" s="69"/>
      <c r="AA3" s="69"/>
      <c r="AB3" s="69"/>
      <c r="AC3" s="69"/>
      <c r="AD3" s="69"/>
      <c r="AE3" s="69"/>
      <c r="AF3" s="69"/>
      <c r="AG3" s="69"/>
      <c r="AH3" s="69"/>
      <c r="AI3" s="69"/>
      <c r="AJ3" s="69"/>
      <c r="AK3" s="69"/>
      <c r="AL3" s="69"/>
      <c r="AM3" s="69"/>
      <c r="AN3" s="17"/>
      <c r="AO3" s="17"/>
      <c r="AP3" s="17"/>
      <c r="AQ3" s="17"/>
      <c r="AR3" s="17"/>
    </row>
    <row r="4" spans="1:44" ht="18" customHeight="1">
      <c r="A4" s="69"/>
      <c r="B4" s="69"/>
      <c r="C4" s="69"/>
      <c r="D4" s="69"/>
      <c r="E4" s="69"/>
      <c r="F4" s="69"/>
      <c r="G4" s="69"/>
      <c r="H4" s="77"/>
      <c r="I4" s="85" t="s">
        <v>1702</v>
      </c>
      <c r="J4" s="86"/>
      <c r="K4" s="87" t="str">
        <f>IF(ISBLANK(K2)," ",VLOOKUP(K2,Turnaje!$A$1:$G$147,2,0))</f>
        <v>Prestige Litovel</v>
      </c>
      <c r="L4" s="88"/>
      <c r="M4" s="88"/>
      <c r="N4" s="89"/>
      <c r="O4" s="69"/>
      <c r="P4" s="90">
        <v>1</v>
      </c>
      <c r="Q4" s="69"/>
      <c r="R4" s="74" t="s">
        <v>1703</v>
      </c>
      <c r="S4" s="76">
        <f>'Počet kol'!$D$3</f>
        <v>6</v>
      </c>
      <c r="T4" s="76"/>
      <c r="U4" s="69"/>
      <c r="V4" s="69"/>
      <c r="W4" s="69"/>
      <c r="X4" s="69"/>
      <c r="Y4" s="69"/>
      <c r="Z4" s="69"/>
      <c r="AA4" s="69"/>
      <c r="AB4" s="69"/>
      <c r="AC4" s="69"/>
      <c r="AD4" s="69"/>
      <c r="AE4" s="69"/>
      <c r="AF4" s="69"/>
      <c r="AG4" s="69"/>
      <c r="AH4" s="69"/>
      <c r="AI4" s="69"/>
      <c r="AJ4" s="69"/>
      <c r="AK4" s="69"/>
      <c r="AL4" s="69"/>
      <c r="AM4" s="69"/>
      <c r="AN4" s="17"/>
      <c r="AO4" s="17"/>
      <c r="AP4" s="17"/>
      <c r="AQ4" s="17"/>
      <c r="AR4" s="17"/>
    </row>
    <row r="5" spans="1:44" ht="18" customHeight="1">
      <c r="A5" s="91"/>
      <c r="B5" s="91"/>
      <c r="C5" s="91"/>
      <c r="D5" s="91"/>
      <c r="E5" s="91"/>
      <c r="F5" s="91"/>
      <c r="G5" s="69"/>
      <c r="H5" s="77"/>
      <c r="I5" s="78" t="s">
        <v>1704</v>
      </c>
      <c r="J5" s="92"/>
      <c r="K5" s="93" t="str">
        <f>IF(ISBLANK(K2)," ",VLOOKUP(K2,Turnaje!$A$1:$G$147,4,0))</f>
        <v>Litovel</v>
      </c>
      <c r="L5" s="94"/>
      <c r="M5" s="95"/>
      <c r="N5" s="89"/>
      <c r="O5" s="69"/>
      <c r="P5" s="69">
        <v>2</v>
      </c>
      <c r="Q5" s="69"/>
      <c r="R5" s="74" t="s">
        <v>1705</v>
      </c>
      <c r="S5" s="96">
        <f>IF(M7&lt;5,3,5)*U5/60</f>
        <v>5.833333333333333</v>
      </c>
      <c r="T5" s="76" t="s">
        <v>1706</v>
      </c>
      <c r="U5" s="97">
        <v>70</v>
      </c>
      <c r="V5" s="76" t="s">
        <v>1707</v>
      </c>
      <c r="W5" s="69"/>
      <c r="X5" s="69"/>
      <c r="Y5" s="69"/>
      <c r="Z5" s="69"/>
      <c r="AA5" s="69"/>
      <c r="AB5" s="69"/>
      <c r="AC5" s="69"/>
      <c r="AD5" s="69"/>
      <c r="AE5" s="69"/>
      <c r="AF5" s="69"/>
      <c r="AG5" s="69"/>
      <c r="AH5" s="69"/>
      <c r="AI5" s="69"/>
      <c r="AJ5" s="69"/>
      <c r="AK5" s="69"/>
      <c r="AL5" s="69"/>
      <c r="AM5" s="69"/>
      <c r="AN5" s="17"/>
      <c r="AO5" s="17"/>
      <c r="AP5" s="17"/>
      <c r="AQ5" s="17"/>
      <c r="AR5" s="17"/>
    </row>
    <row r="6" spans="1:44" ht="18" customHeight="1">
      <c r="A6" s="69"/>
      <c r="B6" s="69"/>
      <c r="C6" s="69"/>
      <c r="D6" s="69"/>
      <c r="E6" s="69"/>
      <c r="F6" s="98"/>
      <c r="G6" s="69"/>
      <c r="H6" s="77"/>
      <c r="I6" s="78" t="s">
        <v>1708</v>
      </c>
      <c r="J6" s="92"/>
      <c r="K6" s="99">
        <f>IF(ISBLANK(K2)," ",VLOOKUP(K2,Turnaje!$A$1:$G$147,6,0))</f>
        <v>3</v>
      </c>
      <c r="L6" s="100" t="s">
        <v>1709</v>
      </c>
      <c r="M6" s="101">
        <f>IF(TYPE(M7-1)&gt;3,"",M7-1)</f>
        <v>5</v>
      </c>
      <c r="N6" s="102">
        <f>IF(TYPE((K7-M7*N7)/M6)&gt;3,"",(K7-M7*N7)/M6)</f>
        <v>3</v>
      </c>
      <c r="O6" s="69"/>
      <c r="P6" s="69"/>
      <c r="Q6" s="69"/>
      <c r="R6" s="74" t="s">
        <v>1710</v>
      </c>
      <c r="S6" s="96">
        <f>IF(S7=0,0,ROUNDUP(LOG(S7,2),0)*U5/60)</f>
        <v>4.666666666666667</v>
      </c>
      <c r="T6" s="76" t="s">
        <v>1706</v>
      </c>
      <c r="U6" s="97">
        <v>1</v>
      </c>
      <c r="V6" s="76" t="s">
        <v>1711</v>
      </c>
      <c r="W6" s="69"/>
      <c r="X6" s="69"/>
      <c r="Y6" s="69"/>
      <c r="Z6" s="69"/>
      <c r="AA6" s="69"/>
      <c r="AB6" s="69"/>
      <c r="AC6" s="69"/>
      <c r="AD6" s="69"/>
      <c r="AE6" s="69"/>
      <c r="AF6" s="69"/>
      <c r="AG6" s="69"/>
      <c r="AH6" s="69"/>
      <c r="AI6" s="69"/>
      <c r="AJ6" s="69"/>
      <c r="AK6" s="69"/>
      <c r="AL6" s="69"/>
      <c r="AM6" s="69"/>
      <c r="AN6" s="17"/>
      <c r="AO6" s="17"/>
      <c r="AP6" s="17"/>
      <c r="AQ6" s="17"/>
      <c r="AR6" s="17"/>
    </row>
    <row r="7" spans="1:44" ht="18.75" customHeight="1">
      <c r="A7" s="69"/>
      <c r="B7" s="69"/>
      <c r="C7" s="69"/>
      <c r="D7" s="69"/>
      <c r="E7" s="69"/>
      <c r="F7" s="98"/>
      <c r="G7" s="69"/>
      <c r="H7" s="77"/>
      <c r="I7" s="78" t="s">
        <v>1712</v>
      </c>
      <c r="J7" s="92"/>
      <c r="K7" s="99">
        <f>SUM(B11:B202)</f>
        <v>45</v>
      </c>
      <c r="L7" s="103" t="s">
        <v>1713</v>
      </c>
      <c r="M7" s="104">
        <v>6</v>
      </c>
      <c r="N7" s="105">
        <v>5</v>
      </c>
      <c r="O7" s="106">
        <f>CEILING(IF(TYPE(N6+N7)&gt;3,K7/M7,N6+N7),1)</f>
        <v>8</v>
      </c>
      <c r="P7" s="69" t="s">
        <v>1714</v>
      </c>
      <c r="Q7" s="69"/>
      <c r="R7" s="74" t="s">
        <v>1715</v>
      </c>
      <c r="S7" s="76">
        <f>O7*U7</f>
        <v>16</v>
      </c>
      <c r="T7" s="76" t="s">
        <v>1716</v>
      </c>
      <c r="U7" s="97">
        <v>2</v>
      </c>
      <c r="V7" s="76" t="s">
        <v>1717</v>
      </c>
      <c r="W7" s="69"/>
      <c r="X7" s="69"/>
      <c r="Y7" s="69"/>
      <c r="Z7" s="69"/>
      <c r="AA7" s="69"/>
      <c r="AB7" s="69"/>
      <c r="AC7" s="69"/>
      <c r="AD7" s="69"/>
      <c r="AE7" s="69"/>
      <c r="AF7" s="69"/>
      <c r="AG7" s="69"/>
      <c r="AH7" s="69"/>
      <c r="AI7" s="69"/>
      <c r="AJ7" s="69"/>
      <c r="AK7" s="17"/>
      <c r="AL7" s="17"/>
      <c r="AM7" s="69"/>
      <c r="AN7" s="17"/>
      <c r="AO7" s="17"/>
      <c r="AP7" s="17"/>
      <c r="AQ7" s="17"/>
      <c r="AR7" s="17"/>
    </row>
    <row r="8" spans="1:44" ht="13.5" customHeight="1">
      <c r="A8" s="69"/>
      <c r="B8" s="69"/>
      <c r="C8" s="69"/>
      <c r="D8" s="69"/>
      <c r="E8" s="69"/>
      <c r="F8" s="98"/>
      <c r="G8" s="69"/>
      <c r="H8" s="69"/>
      <c r="I8" s="69"/>
      <c r="J8" s="107"/>
      <c r="K8" s="69"/>
      <c r="L8" s="69"/>
      <c r="M8" s="69"/>
      <c r="N8" s="69"/>
      <c r="O8" s="69"/>
      <c r="P8" s="69"/>
      <c r="Q8" s="69"/>
      <c r="R8" s="74" t="s">
        <v>1718</v>
      </c>
      <c r="S8" s="76">
        <f>INT(IF(TYPE(M7)=1,M7,0)/2)*IF(TYPE(N7)=1,N7,0)+INT(IF(TYPE(M6)=1,M6,0)/2)*IF(TYPE(N6)=1,N6,0)</f>
        <v>21</v>
      </c>
      <c r="T8" s="76"/>
      <c r="U8" s="97"/>
      <c r="V8" s="76" t="s">
        <v>1719</v>
      </c>
      <c r="W8" s="69"/>
      <c r="X8" s="69"/>
      <c r="Y8" s="69"/>
      <c r="Z8" s="69"/>
      <c r="AA8" s="69"/>
      <c r="AB8" s="69"/>
      <c r="AC8" s="69"/>
      <c r="AD8" s="69"/>
      <c r="AE8" s="69"/>
      <c r="AF8" s="69"/>
      <c r="AG8" s="69"/>
      <c r="AH8" s="69"/>
      <c r="AI8" s="69"/>
      <c r="AJ8" s="69"/>
      <c r="AK8" s="69"/>
      <c r="AL8" s="69"/>
      <c r="AM8" s="69"/>
      <c r="AN8" s="17"/>
      <c r="AO8" s="17"/>
      <c r="AP8" s="17"/>
      <c r="AQ8" s="17"/>
      <c r="AR8" s="17"/>
    </row>
    <row r="9" spans="1:44" ht="12" customHeight="1">
      <c r="A9" s="69">
        <v>7</v>
      </c>
      <c r="B9" s="69"/>
      <c r="C9" s="69"/>
      <c r="D9" s="69"/>
      <c r="E9" s="69"/>
      <c r="F9" s="98"/>
      <c r="G9" s="69"/>
      <c r="H9" s="69"/>
      <c r="I9" s="108" t="s">
        <v>1720</v>
      </c>
      <c r="J9" s="109" t="s">
        <v>1721</v>
      </c>
      <c r="K9" s="110"/>
      <c r="L9" s="110"/>
      <c r="M9" s="110"/>
      <c r="N9" s="110"/>
      <c r="O9" s="111" t="s">
        <v>1722</v>
      </c>
      <c r="P9" s="69"/>
      <c r="Q9" s="69"/>
      <c r="R9" s="69"/>
      <c r="S9" s="69"/>
      <c r="T9" s="69"/>
      <c r="U9" s="112" t="s">
        <v>1723</v>
      </c>
      <c r="V9" s="69"/>
      <c r="W9" s="69"/>
      <c r="X9" s="69"/>
      <c r="Y9" s="69"/>
      <c r="Z9" s="69"/>
      <c r="AA9" s="113" t="s">
        <v>1724</v>
      </c>
      <c r="AB9" s="69" t="s">
        <v>1725</v>
      </c>
      <c r="AC9" s="69"/>
      <c r="AD9" s="69"/>
      <c r="AE9" s="69"/>
      <c r="AF9" s="69"/>
      <c r="AG9" s="69"/>
      <c r="AH9" s="69"/>
      <c r="AI9" s="69"/>
      <c r="AJ9" s="69"/>
      <c r="AK9" s="69"/>
      <c r="AL9" s="69"/>
      <c r="AM9" s="69"/>
      <c r="AN9" s="17"/>
      <c r="AO9" s="17"/>
      <c r="AP9" s="17"/>
      <c r="AQ9" s="17"/>
      <c r="AR9" s="17"/>
    </row>
    <row r="10" spans="1:44" ht="36" customHeight="1">
      <c r="A10" s="91" t="s">
        <v>1726</v>
      </c>
      <c r="B10" s="91" t="s">
        <v>1727</v>
      </c>
      <c r="C10" s="91" t="s">
        <v>1728</v>
      </c>
      <c r="D10" s="91" t="s">
        <v>1729</v>
      </c>
      <c r="E10" s="91" t="s">
        <v>1730</v>
      </c>
      <c r="F10" s="91" t="s">
        <v>1731</v>
      </c>
      <c r="G10" s="114" t="s">
        <v>1732</v>
      </c>
      <c r="H10" s="115" t="s">
        <v>1733</v>
      </c>
      <c r="I10" s="116" t="s">
        <v>1734</v>
      </c>
      <c r="J10" s="117" t="s">
        <v>1735</v>
      </c>
      <c r="K10" s="118" t="s">
        <v>1736</v>
      </c>
      <c r="L10" s="118" t="s">
        <v>1502</v>
      </c>
      <c r="M10" s="118" t="s">
        <v>1503</v>
      </c>
      <c r="N10" s="119" t="s">
        <v>1737</v>
      </c>
      <c r="O10" s="120" t="s">
        <v>1734</v>
      </c>
      <c r="P10" s="121" t="s">
        <v>1736</v>
      </c>
      <c r="Q10" s="121" t="s">
        <v>1738</v>
      </c>
      <c r="R10" s="121" t="s">
        <v>1502</v>
      </c>
      <c r="S10" s="121" t="s">
        <v>1503</v>
      </c>
      <c r="T10" s="122" t="s">
        <v>1737</v>
      </c>
      <c r="U10" s="123" t="s">
        <v>1734</v>
      </c>
      <c r="V10" s="124" t="s">
        <v>1735</v>
      </c>
      <c r="W10" s="125" t="s">
        <v>1736</v>
      </c>
      <c r="X10" s="125" t="s">
        <v>1502</v>
      </c>
      <c r="Y10" s="125" t="s">
        <v>1503</v>
      </c>
      <c r="Z10" s="126" t="s">
        <v>1737</v>
      </c>
      <c r="AA10" s="127" t="s">
        <v>1734</v>
      </c>
      <c r="AB10" s="128" t="s">
        <v>1735</v>
      </c>
      <c r="AC10" s="129" t="s">
        <v>1736</v>
      </c>
      <c r="AD10" s="129" t="s">
        <v>1502</v>
      </c>
      <c r="AE10" s="129" t="s">
        <v>1503</v>
      </c>
      <c r="AF10" s="129" t="s">
        <v>1737</v>
      </c>
      <c r="AG10" s="130"/>
      <c r="AH10" s="131" t="s">
        <v>1739</v>
      </c>
      <c r="AI10" s="132" t="s">
        <v>1740</v>
      </c>
      <c r="AJ10" s="132" t="s">
        <v>1741</v>
      </c>
      <c r="AK10" s="133" t="s">
        <v>1742</v>
      </c>
      <c r="AL10" s="134" t="s">
        <v>1743</v>
      </c>
      <c r="AM10" s="135" t="s">
        <v>1744</v>
      </c>
      <c r="AN10" s="136" t="s">
        <v>1745</v>
      </c>
      <c r="AO10" s="136" t="s">
        <v>1746</v>
      </c>
      <c r="AP10" s="136" t="s">
        <v>1747</v>
      </c>
      <c r="AQ10" s="136" t="s">
        <v>1748</v>
      </c>
      <c r="AR10" s="136" t="s">
        <v>1749</v>
      </c>
    </row>
    <row r="11" spans="1:44" ht="13.5" customHeight="1">
      <c r="A11" s="137">
        <f t="shared" ref="A11:A202" si="0">IF(OR(LEFT(J11,1)=" ",ISBLANK(J11)),0,1)+IF(OR(LEFT(P11,1)=" ",ISBLANK(P11)),0,1)+IF(OR(LEFT(V11,1)=" ",ISBLANK(V11)),0,1)</f>
        <v>3</v>
      </c>
      <c r="B11" s="137">
        <f t="shared" ref="B11:B202" si="1">IF(AND(TYPE(G11&lt;15),G11=FALSE),1,0)</f>
        <v>1</v>
      </c>
      <c r="C11" s="138">
        <f t="shared" ref="C11:C202" si="2">IF(B11=0,0,N11+T11+Z11)</f>
        <v>150.375</v>
      </c>
      <c r="D11" s="137">
        <f t="shared" ref="D11:D202" si="3">IF(B11=0,99999,M11+S11+Y11)</f>
        <v>30</v>
      </c>
      <c r="E11" s="69">
        <f t="shared" ref="E11:E202" si="4">MIN(M11,S11,Y11)</f>
        <v>2</v>
      </c>
      <c r="F11" s="98" t="str">
        <f t="shared" ref="F11:F202" ca="1" si="5">CONCATENATE(IF(AND($P$4=1,H11&gt;2*$O$7),"0","9"),TEXT(B11,"0"),IF(AND($P$4=1,H11&gt;2*$O$7),"000000",TEXT(1000*C11,"000000")),IF(AND($P$4=1,H11&gt;2*$O$7),"000000",TEXT(999999-D11,"000000")),IF(AND($P$4=1,H11&gt;2*$O$7),"000000",TEXT(999999-E11,"000000")),TEXT(999999*RAND(),"000000"))</f>
        <v>91150375999969999997628501</v>
      </c>
      <c r="G11" s="139" t="b">
        <f t="shared" ref="G11:G202" si="6">IF(OR($K$6&gt;A11,AR11&gt;0),TRUE,FALSE)</f>
        <v>0</v>
      </c>
      <c r="H11" s="140">
        <f t="shared" ref="H11:H202" si="7">ROW(H11)-10</f>
        <v>1</v>
      </c>
      <c r="I11" s="130">
        <v>99532</v>
      </c>
      <c r="J11" s="141" t="s">
        <v>1055</v>
      </c>
      <c r="K11" s="17" t="s">
        <v>563</v>
      </c>
      <c r="L11" s="17" t="s">
        <v>221</v>
      </c>
      <c r="M11" s="17">
        <v>2</v>
      </c>
      <c r="N11" s="142">
        <v>55.375</v>
      </c>
      <c r="O11" s="130">
        <v>21774</v>
      </c>
      <c r="P11" s="141" t="s">
        <v>1055</v>
      </c>
      <c r="Q11" s="17" t="s">
        <v>441</v>
      </c>
      <c r="R11" s="17" t="s">
        <v>221</v>
      </c>
      <c r="S11" s="17">
        <v>8</v>
      </c>
      <c r="T11" s="142">
        <v>57.5</v>
      </c>
      <c r="U11" s="130">
        <v>21775</v>
      </c>
      <c r="V11" s="141" t="s">
        <v>1055</v>
      </c>
      <c r="W11" s="17" t="s">
        <v>492</v>
      </c>
      <c r="X11" s="17" t="s">
        <v>221</v>
      </c>
      <c r="Y11" s="17">
        <v>20</v>
      </c>
      <c r="Z11" s="142">
        <v>37.5</v>
      </c>
      <c r="AA11" s="130" t="s">
        <v>1750</v>
      </c>
      <c r="AB11" s="141" t="s">
        <v>1690</v>
      </c>
      <c r="AC11" s="17" t="s">
        <v>1690</v>
      </c>
      <c r="AD11" s="17" t="s">
        <v>1690</v>
      </c>
      <c r="AE11" s="17">
        <v>9999</v>
      </c>
      <c r="AF11" s="142">
        <v>0</v>
      </c>
      <c r="AG11" s="130"/>
      <c r="AH11" s="143">
        <f ca="1">IF(TYPE(VLOOKUP(H11,Nasazení!$A$3:$E$130,5,0))&lt;4,VLOOKUP(H11,Nasazení!$A$3:$E$130,5,0),0)</f>
        <v>1</v>
      </c>
      <c r="AI11" s="144" t="e">
        <f ca="1">IF(N($AH11)&gt;0,VLOOKUP($AH11,Body!$A$4:$F$259,5,0),"")</f>
        <v>#REF!</v>
      </c>
      <c r="AJ11" s="145">
        <f ca="1">IF(N($AH11)&gt;0,VLOOKUP($AH11,Body!$A$4:$F$259,6,0),"")</f>
        <v>100</v>
      </c>
      <c r="AK11" s="144">
        <f ca="1">IF(N($AH11)&gt;0,VLOOKUP($AH11,Body!$A$4:$F$259,2,0),"")</f>
        <v>6</v>
      </c>
      <c r="AL11" s="146" t="str">
        <f t="shared" ref="AL11:AL202" si="8">IF(N(H11)&gt;$K$7,"",CONCATENATE(IF($U$8="","",H11&amp;" "),L11,IF(L11="",""," - "),J11," ",K11))</f>
        <v>Carreau Brno - Michálek Ivo</v>
      </c>
      <c r="AM11" s="142">
        <f t="shared" ref="AM11:AM202" si="9">C11</f>
        <v>150.375</v>
      </c>
      <c r="AN11" s="17">
        <f t="shared" ref="AN11:AN178" si="10">IF(OR(TYPE(I11)&gt;1,TYPE(MATCH(I11,I12:I$203,0))&gt;1),0,MATCH(I11,I12:I$203,0))+IF(OR(TYPE(I11)&gt;1,TYPE(MATCH(I11,O$11:O$203,0))&gt;1),0,MATCH(I11,O$11:O$203,0))+IF(OR(TYPE(I11)&gt;1,TYPE(MATCH(I11,U$11:U$203,0))&gt;1),0,MATCH(I11,U$11:U$203,0))+IF(OR(TYPE(I11)&gt;1,TYPE(MATCH(I11,AA$11:AA$203,0))&gt;1),0,MATCH(I11,AA$11:AA$203,0))</f>
        <v>0</v>
      </c>
      <c r="AO11" s="17">
        <f t="shared" ref="AO11:AO178" si="11">IF(OR(TYPE(O11)&gt;1,TYPE(MATCH(O11,I$11:I$203,0))&gt;1),0,MATCH(O11,I$11:I$203,0))+IF(OR(TYPE(O11)&gt;1,TYPE(MATCH(O11,O12:O$203,0))&gt;1),0,MATCH(O11,O12:O$203,0))+IF(OR(TYPE(O11)&gt;1,TYPE(MATCH(O11,U$11:U$203,0))&gt;1),0,MATCH(O11,U$11:U$203,0))+IF(OR(TYPE(O11)&gt;1,TYPE(MATCH(O11,AA$11:AA$203,0))&gt;1),0,MATCH(O11,AA$11:AA$203,0))</f>
        <v>0</v>
      </c>
      <c r="AP11" s="17">
        <f t="shared" ref="AP11:AP178" si="12">IF(OR(TYPE(U11)&gt;1,TYPE(MATCH(U11,I$11:I$203,0))&gt;1),0,MATCH(U11,I$11:I$203,0))+IF(OR(TYPE(U11)&gt;1,TYPE(MATCH(U11,O$11:O$203,0))&gt;1),0,MATCH(U11,O$11:O$203,0))+IF(OR(TYPE(U11)&gt;1,TYPE(MATCH(U11,U12:U$203,0))&gt;1),0,MATCH(U11,U12:U$203,0))+IF(OR(TYPE(U11)&gt;1,TYPE(MATCH(U11,AA$11:AA$203,0))&gt;1),0,MATCH(U11,AA$11:AA$203,0))</f>
        <v>0</v>
      </c>
      <c r="AQ11" s="17">
        <f t="shared" ref="AQ11:AQ178" si="13">IF(OR(TYPE(AA11)&gt;1,TYPE(MATCH(AA11,I$11:I$203,0))&gt;1),0,MATCH(AA11,I$11:I$203,0))+IF(OR(TYPE(AA11)&gt;1,TYPE(MATCH(AA11,O$11:O$203,0))&gt;1),0,MATCH(AA11,O$11:O$203,0))+IF(OR(TYPE(AA11)&gt;1,TYPE(MATCH(AA11,U$11:U$203,0))&gt;1),0,MATCH(U11,U$11:U$203,0))+IF(OR(TYPE(AA11)&gt;1,TYPE(MATCH(AA11,AA12:AA$203,0))&gt;1),0,MATCH(AA11,AA12:AA$203,0))</f>
        <v>0</v>
      </c>
      <c r="AR11" s="17">
        <f t="shared" ref="AR11:AR202" si="14">SUM(AN11:AQ11)</f>
        <v>0</v>
      </c>
    </row>
    <row r="12" spans="1:44" ht="12.75" customHeight="1">
      <c r="A12" s="69">
        <f t="shared" si="0"/>
        <v>3</v>
      </c>
      <c r="B12" s="69">
        <f t="shared" si="1"/>
        <v>1</v>
      </c>
      <c r="C12" s="147">
        <f t="shared" si="2"/>
        <v>127</v>
      </c>
      <c r="D12" s="69">
        <f t="shared" si="3"/>
        <v>208</v>
      </c>
      <c r="E12" s="69">
        <f t="shared" si="4"/>
        <v>5</v>
      </c>
      <c r="F12" s="98" t="str">
        <f t="shared" ca="1" si="5"/>
        <v>91127000999791999994835221</v>
      </c>
      <c r="G12" s="139" t="b">
        <f t="shared" si="6"/>
        <v>0</v>
      </c>
      <c r="H12" s="140">
        <f t="shared" si="7"/>
        <v>2</v>
      </c>
      <c r="I12" s="130">
        <v>11039</v>
      </c>
      <c r="J12" s="141" t="s">
        <v>418</v>
      </c>
      <c r="K12" s="17" t="s">
        <v>548</v>
      </c>
      <c r="L12" s="17" t="s">
        <v>1011</v>
      </c>
      <c r="M12" s="17">
        <v>5</v>
      </c>
      <c r="N12" s="142">
        <v>61.5</v>
      </c>
      <c r="O12" s="130">
        <v>28007</v>
      </c>
      <c r="P12" s="141" t="s">
        <v>865</v>
      </c>
      <c r="Q12" s="17" t="s">
        <v>648</v>
      </c>
      <c r="R12" s="17" t="s">
        <v>239</v>
      </c>
      <c r="S12" s="17">
        <v>190</v>
      </c>
      <c r="T12" s="142">
        <v>22.25</v>
      </c>
      <c r="U12" s="130">
        <v>21912</v>
      </c>
      <c r="V12" s="141" t="s">
        <v>918</v>
      </c>
      <c r="W12" s="17" t="s">
        <v>482</v>
      </c>
      <c r="X12" s="17" t="s">
        <v>714</v>
      </c>
      <c r="Y12" s="17">
        <v>13</v>
      </c>
      <c r="Z12" s="142">
        <v>43.25</v>
      </c>
      <c r="AA12" s="130" t="s">
        <v>1750</v>
      </c>
      <c r="AB12" s="141" t="s">
        <v>1690</v>
      </c>
      <c r="AC12" s="17" t="s">
        <v>1690</v>
      </c>
      <c r="AD12" s="17" t="s">
        <v>1690</v>
      </c>
      <c r="AE12" s="17">
        <v>9999</v>
      </c>
      <c r="AF12" s="142">
        <v>0</v>
      </c>
      <c r="AG12" s="130"/>
      <c r="AH12" s="143">
        <f ca="1">IF(TYPE(VLOOKUP(H12,Nasazení!$A$3:$E$130,5,0))&lt;4,VLOOKUP(H12,Nasazení!$A$3:$E$130,5,0),0)</f>
        <v>6</v>
      </c>
      <c r="AI12" s="144" t="e">
        <f ca="1">IF(N($AH12)&gt;0,VLOOKUP($AH12,Body!$A$4:$F$259,5,0),"")</f>
        <v>#REF!</v>
      </c>
      <c r="AJ12" s="145">
        <f ca="1">IF(N($AH12)&gt;0,VLOOKUP($AH12,Body!$A$4:$F$259,6,0),"")</f>
        <v>100</v>
      </c>
      <c r="AK12" s="144">
        <f ca="1">IF(N($AH12)&gt;0,VLOOKUP($AH12,Body!$A$4:$F$259,2,0),"")</f>
        <v>3.5</v>
      </c>
      <c r="AL12" s="146" t="str">
        <f t="shared" si="8"/>
        <v>PLUK Jablonec - Lukáš Vojtěch</v>
      </c>
      <c r="AM12" s="142">
        <f t="shared" si="9"/>
        <v>127</v>
      </c>
      <c r="AN12" s="17">
        <f t="shared" si="10"/>
        <v>0</v>
      </c>
      <c r="AO12" s="17">
        <f t="shared" si="11"/>
        <v>0</v>
      </c>
      <c r="AP12" s="17">
        <f t="shared" si="12"/>
        <v>0</v>
      </c>
      <c r="AQ12" s="17">
        <f t="shared" si="13"/>
        <v>0</v>
      </c>
      <c r="AR12" s="17">
        <f t="shared" si="14"/>
        <v>0</v>
      </c>
    </row>
    <row r="13" spans="1:44" ht="12.75" customHeight="1">
      <c r="A13" s="69">
        <f t="shared" si="0"/>
        <v>3</v>
      </c>
      <c r="B13" s="69">
        <f t="shared" si="1"/>
        <v>1</v>
      </c>
      <c r="C13" s="147">
        <f t="shared" si="2"/>
        <v>121.375</v>
      </c>
      <c r="D13" s="69">
        <f t="shared" si="3"/>
        <v>97</v>
      </c>
      <c r="E13" s="69">
        <f t="shared" si="4"/>
        <v>22</v>
      </c>
      <c r="F13" s="98" t="str">
        <f t="shared" ca="1" si="5"/>
        <v>91121375999902999977643098</v>
      </c>
      <c r="G13" s="139" t="b">
        <f t="shared" si="6"/>
        <v>0</v>
      </c>
      <c r="H13" s="140">
        <f t="shared" si="7"/>
        <v>3</v>
      </c>
      <c r="I13" s="130">
        <v>27030</v>
      </c>
      <c r="J13" s="141" t="s">
        <v>977</v>
      </c>
      <c r="K13" s="17" t="s">
        <v>978</v>
      </c>
      <c r="L13" s="17" t="s">
        <v>174</v>
      </c>
      <c r="M13" s="17">
        <v>22</v>
      </c>
      <c r="N13" s="142">
        <v>40.375</v>
      </c>
      <c r="O13" s="130">
        <v>28004</v>
      </c>
      <c r="P13" s="141" t="s">
        <v>1283</v>
      </c>
      <c r="Q13" s="17" t="s">
        <v>422</v>
      </c>
      <c r="R13" s="17" t="s">
        <v>174</v>
      </c>
      <c r="S13" s="17">
        <v>28</v>
      </c>
      <c r="T13" s="142">
        <v>43.625</v>
      </c>
      <c r="U13" s="130">
        <v>15001</v>
      </c>
      <c r="V13" s="141" t="s">
        <v>1301</v>
      </c>
      <c r="W13" s="17" t="s">
        <v>482</v>
      </c>
      <c r="X13" s="17" t="s">
        <v>163</v>
      </c>
      <c r="Y13" s="17">
        <v>47</v>
      </c>
      <c r="Z13" s="142">
        <v>37.375</v>
      </c>
      <c r="AA13" s="130" t="s">
        <v>1750</v>
      </c>
      <c r="AB13" s="141" t="s">
        <v>1690</v>
      </c>
      <c r="AC13" s="17" t="s">
        <v>1690</v>
      </c>
      <c r="AD13" s="17" t="s">
        <v>1690</v>
      </c>
      <c r="AE13" s="17">
        <v>9999</v>
      </c>
      <c r="AF13" s="142">
        <v>0</v>
      </c>
      <c r="AG13" s="130"/>
      <c r="AH13" s="143">
        <f ca="1">IF(TYPE(VLOOKUP(H13,Nasazení!$A$3:$E$130,5,0))&lt;4,VLOOKUP(H13,Nasazení!$A$3:$E$130,5,0),0)</f>
        <v>4</v>
      </c>
      <c r="AI13" s="144" t="e">
        <f ca="1">IF(N($AH13)&gt;0,VLOOKUP($AH13,Body!$A$4:$F$259,5,0),"")</f>
        <v>#REF!</v>
      </c>
      <c r="AJ13" s="145">
        <f ca="1">IF(N($AH13)&gt;0,VLOOKUP($AH13,Body!$A$4:$F$259,6,0),"")</f>
        <v>100</v>
      </c>
      <c r="AK13" s="144">
        <f ca="1">IF(N($AH13)&gt;0,VLOOKUP($AH13,Body!$A$4:$F$259,2,0),"")</f>
        <v>4</v>
      </c>
      <c r="AL13" s="146" t="str">
        <f t="shared" si="8"/>
        <v>SKP Hranice VI-Valšovice - Kutá Miloslava</v>
      </c>
      <c r="AM13" s="142">
        <f t="shared" si="9"/>
        <v>121.375</v>
      </c>
      <c r="AN13" s="17">
        <f t="shared" si="10"/>
        <v>0</v>
      </c>
      <c r="AO13" s="17">
        <f t="shared" si="11"/>
        <v>0</v>
      </c>
      <c r="AP13" s="17">
        <f t="shared" si="12"/>
        <v>0</v>
      </c>
      <c r="AQ13" s="17">
        <f t="shared" si="13"/>
        <v>0</v>
      </c>
      <c r="AR13" s="17">
        <f t="shared" si="14"/>
        <v>0</v>
      </c>
    </row>
    <row r="14" spans="1:44" ht="12.75" customHeight="1">
      <c r="A14" s="69">
        <f t="shared" si="0"/>
        <v>3</v>
      </c>
      <c r="B14" s="69">
        <f t="shared" si="1"/>
        <v>1</v>
      </c>
      <c r="C14" s="147">
        <f t="shared" si="2"/>
        <v>114.813</v>
      </c>
      <c r="D14" s="69">
        <f t="shared" si="3"/>
        <v>390</v>
      </c>
      <c r="E14" s="69">
        <f t="shared" si="4"/>
        <v>94</v>
      </c>
      <c r="F14" s="98" t="str">
        <f t="shared" ca="1" si="5"/>
        <v>91114813999609999905323754</v>
      </c>
      <c r="G14" s="139" t="b">
        <f t="shared" si="6"/>
        <v>0</v>
      </c>
      <c r="H14" s="140">
        <f t="shared" si="7"/>
        <v>4</v>
      </c>
      <c r="I14" s="130">
        <v>10048</v>
      </c>
      <c r="J14" s="141" t="s">
        <v>1315</v>
      </c>
      <c r="K14" s="17" t="s">
        <v>624</v>
      </c>
      <c r="L14" s="17" t="s">
        <v>144</v>
      </c>
      <c r="M14" s="17">
        <v>134</v>
      </c>
      <c r="N14" s="142">
        <v>37.688000000000002</v>
      </c>
      <c r="O14" s="130">
        <v>10047</v>
      </c>
      <c r="P14" s="141" t="s">
        <v>1432</v>
      </c>
      <c r="Q14" s="17" t="s">
        <v>548</v>
      </c>
      <c r="R14" s="17" t="s">
        <v>144</v>
      </c>
      <c r="S14" s="17">
        <v>162</v>
      </c>
      <c r="T14" s="142">
        <v>36.625</v>
      </c>
      <c r="U14" s="130">
        <v>99555</v>
      </c>
      <c r="V14" s="141" t="s">
        <v>1181</v>
      </c>
      <c r="W14" s="17" t="s">
        <v>424</v>
      </c>
      <c r="X14" s="17" t="s">
        <v>239</v>
      </c>
      <c r="Y14" s="17">
        <v>94</v>
      </c>
      <c r="Z14" s="142">
        <v>40.5</v>
      </c>
      <c r="AA14" s="130" t="s">
        <v>1750</v>
      </c>
      <c r="AB14" s="141" t="s">
        <v>1690</v>
      </c>
      <c r="AC14" s="17" t="s">
        <v>1690</v>
      </c>
      <c r="AD14" s="17" t="s">
        <v>1690</v>
      </c>
      <c r="AE14" s="17">
        <v>9999</v>
      </c>
      <c r="AF14" s="142">
        <v>0</v>
      </c>
      <c r="AG14" s="130"/>
      <c r="AH14" s="143">
        <f ca="1">IF(TYPE(VLOOKUP(H14,Nasazení!$A$3:$E$130,5,0))&lt;4,VLOOKUP(H14,Nasazení!$A$3:$E$130,5,0),0)</f>
        <v>16</v>
      </c>
      <c r="AI14" s="144" t="e">
        <f ca="1">IF(N($AH14)&gt;0,VLOOKUP($AH14,Body!$A$4:$F$259,5,0),"")</f>
        <v>#REF!</v>
      </c>
      <c r="AJ14" s="145">
        <f ca="1">IF(N($AH14)&gt;0,VLOOKUP($AH14,Body!$A$4:$F$259,6,0),"")</f>
        <v>100</v>
      </c>
      <c r="AK14" s="144">
        <f ca="1">IF(N($AH14)&gt;0,VLOOKUP($AH14,Body!$A$4:$F$259,2,0),"")</f>
        <v>2</v>
      </c>
      <c r="AL14" s="146" t="str">
        <f t="shared" si="8"/>
        <v>PAK Albrechtice - Valík Václav</v>
      </c>
      <c r="AM14" s="142">
        <f t="shared" si="9"/>
        <v>114.813</v>
      </c>
      <c r="AN14" s="17">
        <f t="shared" si="10"/>
        <v>0</v>
      </c>
      <c r="AO14" s="17">
        <f t="shared" si="11"/>
        <v>0</v>
      </c>
      <c r="AP14" s="17">
        <f t="shared" si="12"/>
        <v>0</v>
      </c>
      <c r="AQ14" s="17">
        <f t="shared" si="13"/>
        <v>0</v>
      </c>
      <c r="AR14" s="17">
        <f t="shared" si="14"/>
        <v>0</v>
      </c>
    </row>
    <row r="15" spans="1:44" ht="12.75" customHeight="1">
      <c r="A15" s="69">
        <f t="shared" si="0"/>
        <v>3</v>
      </c>
      <c r="B15" s="69">
        <f t="shared" si="1"/>
        <v>1</v>
      </c>
      <c r="C15" s="147">
        <f t="shared" si="2"/>
        <v>108.43899999999999</v>
      </c>
      <c r="D15" s="69">
        <f t="shared" si="3"/>
        <v>184</v>
      </c>
      <c r="E15" s="69">
        <f t="shared" si="4"/>
        <v>27</v>
      </c>
      <c r="F15" s="98" t="str">
        <f t="shared" ca="1" si="5"/>
        <v>91108439999815999972057043</v>
      </c>
      <c r="G15" s="139" t="b">
        <f t="shared" si="6"/>
        <v>0</v>
      </c>
      <c r="H15" s="140">
        <f t="shared" si="7"/>
        <v>5</v>
      </c>
      <c r="I15" s="130">
        <v>29040</v>
      </c>
      <c r="J15" s="141" t="s">
        <v>953</v>
      </c>
      <c r="K15" s="17" t="s">
        <v>440</v>
      </c>
      <c r="L15" s="17" t="s">
        <v>239</v>
      </c>
      <c r="M15" s="17">
        <v>27</v>
      </c>
      <c r="N15" s="142">
        <v>40.438000000000002</v>
      </c>
      <c r="O15" s="130">
        <v>16105</v>
      </c>
      <c r="P15" s="141" t="s">
        <v>953</v>
      </c>
      <c r="Q15" s="17" t="s">
        <v>648</v>
      </c>
      <c r="R15" s="17" t="s">
        <v>239</v>
      </c>
      <c r="S15" s="17">
        <v>103</v>
      </c>
      <c r="T15" s="142">
        <v>34</v>
      </c>
      <c r="U15" s="130">
        <v>29039</v>
      </c>
      <c r="V15" s="141" t="s">
        <v>952</v>
      </c>
      <c r="W15" s="17" t="s">
        <v>537</v>
      </c>
      <c r="X15" s="17" t="s">
        <v>239</v>
      </c>
      <c r="Y15" s="17">
        <v>54</v>
      </c>
      <c r="Z15" s="142">
        <v>34.000999999999998</v>
      </c>
      <c r="AA15" s="130" t="s">
        <v>1750</v>
      </c>
      <c r="AB15" s="141" t="s">
        <v>1690</v>
      </c>
      <c r="AC15" s="17" t="s">
        <v>1690</v>
      </c>
      <c r="AD15" s="17" t="s">
        <v>1690</v>
      </c>
      <c r="AE15" s="17">
        <v>9999</v>
      </c>
      <c r="AF15" s="142">
        <v>0</v>
      </c>
      <c r="AG15" s="130"/>
      <c r="AH15" s="143">
        <f ca="1">IF(TYPE(VLOOKUP(H15,Nasazení!$A$3:$E$130,5,0))&lt;4,VLOOKUP(H15,Nasazení!$A$3:$E$130,5,0),0)</f>
        <v>7</v>
      </c>
      <c r="AI15" s="144" t="e">
        <f ca="1">IF(N($AH15)&gt;0,VLOOKUP($AH15,Body!$A$4:$F$259,5,0),"")</f>
        <v>#REF!</v>
      </c>
      <c r="AJ15" s="145">
        <f ca="1">IF(N($AH15)&gt;0,VLOOKUP($AH15,Body!$A$4:$F$259,6,0),"")</f>
        <v>100</v>
      </c>
      <c r="AK15" s="144">
        <f ca="1">IF(N($AH15)&gt;0,VLOOKUP($AH15,Body!$A$4:$F$259,2,0),"")</f>
        <v>3.25</v>
      </c>
      <c r="AL15" s="146" t="str">
        <f t="shared" si="8"/>
        <v>HRODE KRUMSÍN - Krpec Miroslav</v>
      </c>
      <c r="AM15" s="142">
        <f t="shared" si="9"/>
        <v>108.43899999999999</v>
      </c>
      <c r="AN15" s="17">
        <f t="shared" si="10"/>
        <v>0</v>
      </c>
      <c r="AO15" s="17">
        <f t="shared" si="11"/>
        <v>0</v>
      </c>
      <c r="AP15" s="17">
        <f t="shared" si="12"/>
        <v>0</v>
      </c>
      <c r="AQ15" s="17">
        <f t="shared" si="13"/>
        <v>0</v>
      </c>
      <c r="AR15" s="17">
        <f t="shared" si="14"/>
        <v>0</v>
      </c>
    </row>
    <row r="16" spans="1:44" ht="12.75" customHeight="1">
      <c r="A16" s="69">
        <f t="shared" si="0"/>
        <v>3</v>
      </c>
      <c r="B16" s="69">
        <f t="shared" si="1"/>
        <v>1</v>
      </c>
      <c r="C16" s="147">
        <f t="shared" si="2"/>
        <v>105</v>
      </c>
      <c r="D16" s="69">
        <f t="shared" si="3"/>
        <v>326</v>
      </c>
      <c r="E16" s="69">
        <f t="shared" si="4"/>
        <v>38</v>
      </c>
      <c r="F16" s="98" t="str">
        <f t="shared" ca="1" si="5"/>
        <v>91105000999673999961274238</v>
      </c>
      <c r="G16" s="139" t="b">
        <f t="shared" si="6"/>
        <v>0</v>
      </c>
      <c r="H16" s="140">
        <f t="shared" si="7"/>
        <v>6</v>
      </c>
      <c r="I16" s="130">
        <v>14008</v>
      </c>
      <c r="J16" s="141" t="s">
        <v>447</v>
      </c>
      <c r="K16" s="17" t="s">
        <v>448</v>
      </c>
      <c r="L16" s="17" t="s">
        <v>163</v>
      </c>
      <c r="M16" s="17">
        <v>38</v>
      </c>
      <c r="N16" s="142">
        <v>45</v>
      </c>
      <c r="O16" s="130">
        <v>98307</v>
      </c>
      <c r="P16" s="141" t="s">
        <v>851</v>
      </c>
      <c r="Q16" s="17" t="s">
        <v>852</v>
      </c>
      <c r="R16" s="17" t="s">
        <v>163</v>
      </c>
      <c r="S16" s="17">
        <v>142</v>
      </c>
      <c r="T16" s="142">
        <v>26.75</v>
      </c>
      <c r="U16" s="130">
        <v>18001</v>
      </c>
      <c r="V16" s="141" t="s">
        <v>1033</v>
      </c>
      <c r="W16" s="17" t="s">
        <v>445</v>
      </c>
      <c r="X16" s="17" t="s">
        <v>685</v>
      </c>
      <c r="Y16" s="17">
        <v>146</v>
      </c>
      <c r="Z16" s="142">
        <v>33.25</v>
      </c>
      <c r="AA16" s="130" t="s">
        <v>1750</v>
      </c>
      <c r="AB16" s="141" t="s">
        <v>1690</v>
      </c>
      <c r="AC16" s="17" t="s">
        <v>1690</v>
      </c>
      <c r="AD16" s="17" t="s">
        <v>1690</v>
      </c>
      <c r="AE16" s="17">
        <v>9999</v>
      </c>
      <c r="AF16" s="142">
        <v>0</v>
      </c>
      <c r="AG16" s="130"/>
      <c r="AH16" s="143">
        <f ca="1">IF(TYPE(VLOOKUP(H16,Nasazení!$A$3:$E$130,5,0))&lt;4,VLOOKUP(H16,Nasazení!$A$3:$E$130,5,0),0)</f>
        <v>10</v>
      </c>
      <c r="AI16" s="144" t="e">
        <f ca="1">IF(N($AH16)&gt;0,VLOOKUP($AH16,Body!$A$4:$F$259,5,0),"")</f>
        <v>#REF!</v>
      </c>
      <c r="AJ16" s="145">
        <f ca="1">IF(N($AH16)&gt;0,VLOOKUP($AH16,Body!$A$4:$F$259,6,0),"")</f>
        <v>100</v>
      </c>
      <c r="AK16" s="144">
        <f ca="1">IF(N($AH16)&gt;0,VLOOKUP($AH16,Body!$A$4:$F$259,2,0),"")</f>
        <v>2.75</v>
      </c>
      <c r="AL16" s="146" t="str">
        <f t="shared" si="8"/>
        <v>TOP - ORLOVÁ - Bačo David</v>
      </c>
      <c r="AM16" s="142">
        <f t="shared" si="9"/>
        <v>105</v>
      </c>
      <c r="AN16" s="17">
        <f t="shared" si="10"/>
        <v>0</v>
      </c>
      <c r="AO16" s="17">
        <f t="shared" si="11"/>
        <v>0</v>
      </c>
      <c r="AP16" s="17">
        <f t="shared" si="12"/>
        <v>0</v>
      </c>
      <c r="AQ16" s="17">
        <f t="shared" si="13"/>
        <v>0</v>
      </c>
      <c r="AR16" s="17">
        <f t="shared" si="14"/>
        <v>0</v>
      </c>
    </row>
    <row r="17" spans="1:44" ht="12.75" customHeight="1">
      <c r="A17" s="69">
        <f t="shared" si="0"/>
        <v>3</v>
      </c>
      <c r="B17" s="69">
        <f t="shared" si="1"/>
        <v>1</v>
      </c>
      <c r="C17" s="147">
        <f t="shared" si="2"/>
        <v>102.063</v>
      </c>
      <c r="D17" s="69">
        <f t="shared" si="3"/>
        <v>155</v>
      </c>
      <c r="E17" s="69">
        <f t="shared" si="4"/>
        <v>19</v>
      </c>
      <c r="F17" s="98" t="str">
        <f t="shared" ca="1" si="5"/>
        <v>91102063999844999980431270</v>
      </c>
      <c r="G17" s="139" t="b">
        <f t="shared" si="6"/>
        <v>0</v>
      </c>
      <c r="H17" s="140">
        <f t="shared" si="7"/>
        <v>7</v>
      </c>
      <c r="I17" s="130">
        <v>21053</v>
      </c>
      <c r="J17" s="141" t="s">
        <v>1175</v>
      </c>
      <c r="K17" s="17" t="s">
        <v>487</v>
      </c>
      <c r="L17" s="17" t="s">
        <v>239</v>
      </c>
      <c r="M17" s="17">
        <v>71</v>
      </c>
      <c r="N17" s="142">
        <v>24.562999999999999</v>
      </c>
      <c r="O17" s="130">
        <v>20554</v>
      </c>
      <c r="P17" s="141" t="s">
        <v>1174</v>
      </c>
      <c r="Q17" s="17" t="s">
        <v>552</v>
      </c>
      <c r="R17" s="17" t="s">
        <v>239</v>
      </c>
      <c r="S17" s="17">
        <v>65</v>
      </c>
      <c r="T17" s="142">
        <v>28.75</v>
      </c>
      <c r="U17" s="130">
        <v>11046</v>
      </c>
      <c r="V17" s="141" t="s">
        <v>651</v>
      </c>
      <c r="W17" s="17" t="s">
        <v>448</v>
      </c>
      <c r="X17" s="17" t="s">
        <v>239</v>
      </c>
      <c r="Y17" s="17">
        <v>19</v>
      </c>
      <c r="Z17" s="142">
        <v>48.75</v>
      </c>
      <c r="AA17" s="130" t="s">
        <v>1750</v>
      </c>
      <c r="AB17" s="141" t="s">
        <v>1690</v>
      </c>
      <c r="AC17" s="17" t="s">
        <v>1690</v>
      </c>
      <c r="AD17" s="17" t="s">
        <v>1690</v>
      </c>
      <c r="AE17" s="17">
        <v>9999</v>
      </c>
      <c r="AF17" s="142">
        <v>0</v>
      </c>
      <c r="AG17" s="130"/>
      <c r="AH17" s="143">
        <v>20</v>
      </c>
      <c r="AI17" s="144" t="e">
        <f>IF(N($AH17)&gt;0,VLOOKUP($AH17,Body!$A$4:$F$259,5,0),"")</f>
        <v>#REF!</v>
      </c>
      <c r="AJ17" s="145">
        <f>IF(N($AH17)&gt;0,VLOOKUP($AH17,Body!$A$4:$F$259,6,0),"")</f>
        <v>100</v>
      </c>
      <c r="AK17" s="144">
        <f>IF(N($AH17)&gt;0,VLOOKUP($AH17,Body!$A$4:$F$259,2,0),"")</f>
        <v>1.75</v>
      </c>
      <c r="AL17" s="146" t="str">
        <f t="shared" si="8"/>
        <v>HRODE KRUMSÍN - Ptáčková Eliška</v>
      </c>
      <c r="AM17" s="142">
        <f t="shared" si="9"/>
        <v>102.063</v>
      </c>
      <c r="AN17" s="17">
        <f t="shared" si="10"/>
        <v>0</v>
      </c>
      <c r="AO17" s="17">
        <f t="shared" si="11"/>
        <v>0</v>
      </c>
      <c r="AP17" s="17">
        <f t="shared" si="12"/>
        <v>0</v>
      </c>
      <c r="AQ17" s="17">
        <f t="shared" si="13"/>
        <v>0</v>
      </c>
      <c r="AR17" s="17">
        <f t="shared" si="14"/>
        <v>0</v>
      </c>
    </row>
    <row r="18" spans="1:44" ht="12.75" customHeight="1">
      <c r="A18" s="69">
        <f t="shared" si="0"/>
        <v>3</v>
      </c>
      <c r="B18" s="69">
        <f t="shared" si="1"/>
        <v>1</v>
      </c>
      <c r="C18" s="147">
        <f t="shared" si="2"/>
        <v>96.329000000000008</v>
      </c>
      <c r="D18" s="69">
        <f t="shared" si="3"/>
        <v>215</v>
      </c>
      <c r="E18" s="69">
        <f t="shared" si="4"/>
        <v>21</v>
      </c>
      <c r="F18" s="98" t="str">
        <f t="shared" ca="1" si="5"/>
        <v>91096329999784999978877667</v>
      </c>
      <c r="G18" s="139" t="b">
        <f t="shared" si="6"/>
        <v>0</v>
      </c>
      <c r="H18" s="140">
        <f t="shared" si="7"/>
        <v>8</v>
      </c>
      <c r="I18" s="130">
        <v>28006</v>
      </c>
      <c r="J18" s="141" t="s">
        <v>701</v>
      </c>
      <c r="K18" s="17" t="s">
        <v>482</v>
      </c>
      <c r="L18" s="17" t="s">
        <v>221</v>
      </c>
      <c r="M18" s="17">
        <v>21</v>
      </c>
      <c r="N18" s="142">
        <v>36.25</v>
      </c>
      <c r="O18" s="130">
        <v>15009</v>
      </c>
      <c r="P18" s="141" t="s">
        <v>1242</v>
      </c>
      <c r="Q18" s="17" t="s">
        <v>424</v>
      </c>
      <c r="R18" s="17" t="s">
        <v>141</v>
      </c>
      <c r="S18" s="17">
        <v>45</v>
      </c>
      <c r="T18" s="142">
        <v>39.75</v>
      </c>
      <c r="U18" s="130">
        <v>22017</v>
      </c>
      <c r="V18" s="141" t="s">
        <v>658</v>
      </c>
      <c r="W18" s="17" t="s">
        <v>659</v>
      </c>
      <c r="X18" s="17" t="s">
        <v>221</v>
      </c>
      <c r="Y18" s="17">
        <v>149</v>
      </c>
      <c r="Z18" s="142">
        <v>20.329000000000001</v>
      </c>
      <c r="AA18" s="130" t="s">
        <v>1750</v>
      </c>
      <c r="AB18" s="141" t="s">
        <v>1690</v>
      </c>
      <c r="AC18" s="17" t="s">
        <v>1690</v>
      </c>
      <c r="AD18" s="17" t="s">
        <v>1690</v>
      </c>
      <c r="AE18" s="17">
        <v>9999</v>
      </c>
      <c r="AF18" s="142">
        <v>0</v>
      </c>
      <c r="AG18" s="130"/>
      <c r="AH18" s="143">
        <f ca="1">IF(TYPE(VLOOKUP(H18,Nasazení!$A$3:$E$130,5,0))&lt;4,VLOOKUP(H18,Nasazení!$A$3:$E$130,5,0),0)</f>
        <v>8</v>
      </c>
      <c r="AI18" s="144" t="e">
        <f ca="1">IF(N($AH18)&gt;0,VLOOKUP($AH18,Body!$A$4:$F$259,5,0),"")</f>
        <v>#REF!</v>
      </c>
      <c r="AJ18" s="145">
        <f ca="1">IF(N($AH18)&gt;0,VLOOKUP($AH18,Body!$A$4:$F$259,6,0),"")</f>
        <v>100</v>
      </c>
      <c r="AK18" s="144">
        <f ca="1">IF(N($AH18)&gt;0,VLOOKUP($AH18,Body!$A$4:$F$259,2,0),"")</f>
        <v>3</v>
      </c>
      <c r="AL18" s="146" t="str">
        <f t="shared" si="8"/>
        <v>Carreau Brno - Grepl Jiří</v>
      </c>
      <c r="AM18" s="142">
        <f t="shared" si="9"/>
        <v>96.329000000000008</v>
      </c>
      <c r="AN18" s="17">
        <f t="shared" si="10"/>
        <v>0</v>
      </c>
      <c r="AO18" s="17">
        <f t="shared" si="11"/>
        <v>0</v>
      </c>
      <c r="AP18" s="17">
        <f t="shared" si="12"/>
        <v>0</v>
      </c>
      <c r="AQ18" s="17">
        <f t="shared" si="13"/>
        <v>0</v>
      </c>
      <c r="AR18" s="17">
        <f t="shared" si="14"/>
        <v>0</v>
      </c>
    </row>
    <row r="19" spans="1:44" ht="12.75" customHeight="1">
      <c r="A19" s="69">
        <f t="shared" si="0"/>
        <v>3</v>
      </c>
      <c r="B19" s="69">
        <f t="shared" si="1"/>
        <v>1</v>
      </c>
      <c r="C19" s="147">
        <f t="shared" si="2"/>
        <v>95.438999999999993</v>
      </c>
      <c r="D19" s="69">
        <f t="shared" si="3"/>
        <v>379</v>
      </c>
      <c r="E19" s="69">
        <f t="shared" si="4"/>
        <v>9</v>
      </c>
      <c r="F19" s="98" t="str">
        <f t="shared" ca="1" si="5"/>
        <v>91095439999620999990945230</v>
      </c>
      <c r="G19" s="139" t="b">
        <f t="shared" si="6"/>
        <v>0</v>
      </c>
      <c r="H19" s="140">
        <f t="shared" si="7"/>
        <v>9</v>
      </c>
      <c r="I19" s="130">
        <v>98373</v>
      </c>
      <c r="J19" s="141" t="s">
        <v>761</v>
      </c>
      <c r="K19" s="17" t="s">
        <v>762</v>
      </c>
      <c r="L19" s="17" t="s">
        <v>502</v>
      </c>
      <c r="M19" s="17">
        <v>255</v>
      </c>
      <c r="N19" s="142">
        <v>11</v>
      </c>
      <c r="O19" s="130">
        <v>14075</v>
      </c>
      <c r="P19" s="141" t="s">
        <v>672</v>
      </c>
      <c r="Q19" s="17" t="s">
        <v>673</v>
      </c>
      <c r="R19" s="17" t="s">
        <v>138</v>
      </c>
      <c r="S19" s="17">
        <v>9</v>
      </c>
      <c r="T19" s="142">
        <v>55.5</v>
      </c>
      <c r="U19" s="130">
        <v>24235</v>
      </c>
      <c r="V19" s="141" t="s">
        <v>1056</v>
      </c>
      <c r="W19" s="17" t="s">
        <v>537</v>
      </c>
      <c r="X19" s="17" t="s">
        <v>141</v>
      </c>
      <c r="Y19" s="17">
        <v>115</v>
      </c>
      <c r="Z19" s="142">
        <v>28.939</v>
      </c>
      <c r="AA19" s="130" t="s">
        <v>1750</v>
      </c>
      <c r="AB19" s="141" t="s">
        <v>1690</v>
      </c>
      <c r="AC19" s="17" t="s">
        <v>1690</v>
      </c>
      <c r="AD19" s="17" t="s">
        <v>1690</v>
      </c>
      <c r="AE19" s="17">
        <v>9999</v>
      </c>
      <c r="AF19" s="142">
        <v>0</v>
      </c>
      <c r="AG19" s="130"/>
      <c r="AH19" s="143">
        <v>24</v>
      </c>
      <c r="AI19" s="144" t="e">
        <f>IF(N($AH19)&gt;0,VLOOKUP($AH19,Body!$A$4:$F$259,5,0),"")</f>
        <v>#REF!</v>
      </c>
      <c r="AJ19" s="145">
        <f>IF(N($AH19)&gt;0,VLOOKUP($AH19,Body!$A$4:$F$259,6,0),"")</f>
        <v>100</v>
      </c>
      <c r="AK19" s="144">
        <f>IF(N($AH19)&gt;0,VLOOKUP($AH19,Body!$A$4:$F$259,2,0),"")</f>
        <v>1.5</v>
      </c>
      <c r="AL19" s="146" t="str">
        <f t="shared" si="8"/>
        <v>POP Praha - Hodboďová Romana</v>
      </c>
      <c r="AM19" s="142">
        <f t="shared" si="9"/>
        <v>95.438999999999993</v>
      </c>
      <c r="AN19" s="17">
        <f t="shared" si="10"/>
        <v>0</v>
      </c>
      <c r="AO19" s="17">
        <f t="shared" si="11"/>
        <v>0</v>
      </c>
      <c r="AP19" s="17">
        <f t="shared" si="12"/>
        <v>0</v>
      </c>
      <c r="AQ19" s="17">
        <f t="shared" si="13"/>
        <v>0</v>
      </c>
      <c r="AR19" s="17">
        <f t="shared" si="14"/>
        <v>0</v>
      </c>
    </row>
    <row r="20" spans="1:44" ht="12.75" customHeight="1">
      <c r="A20" s="69">
        <f t="shared" si="0"/>
        <v>3</v>
      </c>
      <c r="B20" s="69">
        <f t="shared" si="1"/>
        <v>1</v>
      </c>
      <c r="C20" s="147">
        <f t="shared" si="2"/>
        <v>94.063000000000002</v>
      </c>
      <c r="D20" s="69">
        <f t="shared" si="3"/>
        <v>179</v>
      </c>
      <c r="E20" s="69">
        <f t="shared" si="4"/>
        <v>32</v>
      </c>
      <c r="F20" s="98" t="str">
        <f t="shared" ca="1" si="5"/>
        <v>91094063999820999967981215</v>
      </c>
      <c r="G20" s="139" t="b">
        <f t="shared" si="6"/>
        <v>0</v>
      </c>
      <c r="H20" s="140">
        <f t="shared" si="7"/>
        <v>10</v>
      </c>
      <c r="I20" s="130">
        <v>16077</v>
      </c>
      <c r="J20" s="141" t="s">
        <v>771</v>
      </c>
      <c r="K20" s="17" t="s">
        <v>532</v>
      </c>
      <c r="L20" s="17" t="s">
        <v>572</v>
      </c>
      <c r="M20" s="17">
        <v>99</v>
      </c>
      <c r="N20" s="142">
        <v>26.375</v>
      </c>
      <c r="O20" s="130">
        <v>99510</v>
      </c>
      <c r="P20" s="141" t="s">
        <v>590</v>
      </c>
      <c r="Q20" s="17" t="s">
        <v>437</v>
      </c>
      <c r="R20" s="17" t="s">
        <v>120</v>
      </c>
      <c r="S20" s="17">
        <v>48</v>
      </c>
      <c r="T20" s="142">
        <v>30.812999999999999</v>
      </c>
      <c r="U20" s="130">
        <v>99574</v>
      </c>
      <c r="V20" s="141" t="s">
        <v>591</v>
      </c>
      <c r="W20" s="17" t="s">
        <v>592</v>
      </c>
      <c r="X20" s="17" t="s">
        <v>120</v>
      </c>
      <c r="Y20" s="17">
        <v>32</v>
      </c>
      <c r="Z20" s="142">
        <v>36.875</v>
      </c>
      <c r="AA20" s="130" t="s">
        <v>1750</v>
      </c>
      <c r="AB20" s="141" t="s">
        <v>1690</v>
      </c>
      <c r="AC20" s="17" t="s">
        <v>1690</v>
      </c>
      <c r="AD20" s="17" t="s">
        <v>1690</v>
      </c>
      <c r="AE20" s="17">
        <v>9999</v>
      </c>
      <c r="AF20" s="142">
        <v>0</v>
      </c>
      <c r="AG20" s="130"/>
      <c r="AH20" s="143">
        <v>32</v>
      </c>
      <c r="AI20" s="144" t="e">
        <f>IF(N($AH20)&gt;0,VLOOKUP($AH20,Body!$A$4:$F$259,5,0),"")</f>
        <v>#REF!</v>
      </c>
      <c r="AJ20" s="145">
        <f>IF(N($AH20)&gt;0,VLOOKUP($AH20,Body!$A$4:$F$259,6,0),"")</f>
        <v>100</v>
      </c>
      <c r="AK20" s="144">
        <f>IF(N($AH20)&gt;0,VLOOKUP($AH20,Body!$A$4:$F$259,2,0),"")</f>
        <v>1</v>
      </c>
      <c r="AL20" s="146" t="str">
        <f t="shared" si="8"/>
        <v>SK Pétanque Řepy - Holoubek Pavel</v>
      </c>
      <c r="AM20" s="142">
        <f t="shared" si="9"/>
        <v>94.063000000000002</v>
      </c>
      <c r="AN20" s="17">
        <f t="shared" si="10"/>
        <v>0</v>
      </c>
      <c r="AO20" s="17">
        <f t="shared" si="11"/>
        <v>0</v>
      </c>
      <c r="AP20" s="17">
        <f t="shared" si="12"/>
        <v>0</v>
      </c>
      <c r="AQ20" s="17">
        <f t="shared" si="13"/>
        <v>0</v>
      </c>
      <c r="AR20" s="17">
        <f t="shared" si="14"/>
        <v>0</v>
      </c>
    </row>
    <row r="21" spans="1:44" ht="12.75" customHeight="1">
      <c r="A21" s="69">
        <f t="shared" si="0"/>
        <v>3</v>
      </c>
      <c r="B21" s="69">
        <f t="shared" si="1"/>
        <v>1</v>
      </c>
      <c r="C21" s="147">
        <f t="shared" si="2"/>
        <v>92.361000000000004</v>
      </c>
      <c r="D21" s="69">
        <f t="shared" si="3"/>
        <v>240</v>
      </c>
      <c r="E21" s="69">
        <f t="shared" si="4"/>
        <v>24</v>
      </c>
      <c r="F21" s="98" t="str">
        <f t="shared" ca="1" si="5"/>
        <v>91092361999759999975842118</v>
      </c>
      <c r="G21" s="139" t="b">
        <f t="shared" si="6"/>
        <v>0</v>
      </c>
      <c r="H21" s="140">
        <f t="shared" si="7"/>
        <v>11</v>
      </c>
      <c r="I21" s="130">
        <v>25055</v>
      </c>
      <c r="J21" s="141" t="s">
        <v>819</v>
      </c>
      <c r="K21" s="17" t="s">
        <v>702</v>
      </c>
      <c r="L21" s="17" t="s">
        <v>174</v>
      </c>
      <c r="M21" s="17">
        <v>24</v>
      </c>
      <c r="N21" s="142">
        <v>40.25</v>
      </c>
      <c r="O21" s="130">
        <v>25054</v>
      </c>
      <c r="P21" s="141" t="s">
        <v>700</v>
      </c>
      <c r="Q21" s="17" t="s">
        <v>482</v>
      </c>
      <c r="R21" s="17" t="s">
        <v>174</v>
      </c>
      <c r="S21" s="17">
        <v>127</v>
      </c>
      <c r="T21" s="142">
        <v>27.36</v>
      </c>
      <c r="U21" s="130">
        <v>28055</v>
      </c>
      <c r="V21" s="141" t="s">
        <v>1276</v>
      </c>
      <c r="W21" s="17" t="s">
        <v>1240</v>
      </c>
      <c r="X21" s="17" t="s">
        <v>174</v>
      </c>
      <c r="Y21" s="17">
        <v>89</v>
      </c>
      <c r="Z21" s="142">
        <v>24.751000000000001</v>
      </c>
      <c r="AA21" s="130" t="s">
        <v>1750</v>
      </c>
      <c r="AB21" s="141" t="s">
        <v>1690</v>
      </c>
      <c r="AC21" s="17" t="s">
        <v>1690</v>
      </c>
      <c r="AD21" s="17" t="s">
        <v>1690</v>
      </c>
      <c r="AE21" s="17">
        <v>9999</v>
      </c>
      <c r="AF21" s="142">
        <v>0</v>
      </c>
      <c r="AG21" s="130"/>
      <c r="AH21" s="143">
        <f ca="1">IF(TYPE(VLOOKUP(H21,Nasazení!$A$3:$E$130,5,0))&lt;4,VLOOKUP(H21,Nasazení!$A$3:$E$130,5,0),0)</f>
        <v>5</v>
      </c>
      <c r="AI21" s="144" t="e">
        <f ca="1">IF(N($AH21)&gt;0,VLOOKUP($AH21,Body!$A$4:$F$259,5,0),"")</f>
        <v>#REF!</v>
      </c>
      <c r="AJ21" s="145">
        <f ca="1">IF(N($AH21)&gt;0,VLOOKUP($AH21,Body!$A$4:$F$259,6,0),"")</f>
        <v>100</v>
      </c>
      <c r="AK21" s="144">
        <f ca="1">IF(N($AH21)&gt;0,VLOOKUP($AH21,Body!$A$4:$F$259,2,0),"")</f>
        <v>3.75</v>
      </c>
      <c r="AL21" s="146" t="str">
        <f t="shared" si="8"/>
        <v>SKP Hranice VI-Valšovice - Jakeš Zbyněk</v>
      </c>
      <c r="AM21" s="142">
        <f t="shared" si="9"/>
        <v>92.361000000000004</v>
      </c>
      <c r="AN21" s="17">
        <f t="shared" si="10"/>
        <v>0</v>
      </c>
      <c r="AO21" s="17">
        <f t="shared" si="11"/>
        <v>0</v>
      </c>
      <c r="AP21" s="17">
        <f t="shared" si="12"/>
        <v>0</v>
      </c>
      <c r="AQ21" s="17">
        <f t="shared" si="13"/>
        <v>0</v>
      </c>
      <c r="AR21" s="17">
        <f t="shared" si="14"/>
        <v>0</v>
      </c>
    </row>
    <row r="22" spans="1:44" ht="12.75" customHeight="1">
      <c r="A22" s="69">
        <f t="shared" si="0"/>
        <v>3</v>
      </c>
      <c r="B22" s="69">
        <f t="shared" si="1"/>
        <v>1</v>
      </c>
      <c r="C22" s="147">
        <f t="shared" si="2"/>
        <v>86.555000000000007</v>
      </c>
      <c r="D22" s="69">
        <f t="shared" si="3"/>
        <v>280</v>
      </c>
      <c r="E22" s="69">
        <f t="shared" si="4"/>
        <v>40</v>
      </c>
      <c r="F22" s="98" t="str">
        <f t="shared" ca="1" si="5"/>
        <v>91086555999719999959183267</v>
      </c>
      <c r="G22" s="139" t="b">
        <f t="shared" si="6"/>
        <v>0</v>
      </c>
      <c r="H22" s="140">
        <f t="shared" si="7"/>
        <v>12</v>
      </c>
      <c r="I22" s="130">
        <v>12038</v>
      </c>
      <c r="J22" s="141" t="s">
        <v>946</v>
      </c>
      <c r="K22" s="17" t="s">
        <v>947</v>
      </c>
      <c r="L22" s="17" t="s">
        <v>488</v>
      </c>
      <c r="M22" s="17">
        <v>53</v>
      </c>
      <c r="N22" s="142">
        <v>32.125</v>
      </c>
      <c r="O22" s="130">
        <v>11031</v>
      </c>
      <c r="P22" s="141" t="s">
        <v>1397</v>
      </c>
      <c r="Q22" s="17" t="s">
        <v>482</v>
      </c>
      <c r="R22" s="17" t="s">
        <v>476</v>
      </c>
      <c r="S22" s="17">
        <v>187</v>
      </c>
      <c r="T22" s="142">
        <v>17.305</v>
      </c>
      <c r="U22" s="130">
        <v>12037</v>
      </c>
      <c r="V22" s="141" t="s">
        <v>948</v>
      </c>
      <c r="W22" s="17" t="s">
        <v>745</v>
      </c>
      <c r="X22" s="17" t="s">
        <v>488</v>
      </c>
      <c r="Y22" s="17">
        <v>40</v>
      </c>
      <c r="Z22" s="142">
        <v>37.125</v>
      </c>
      <c r="AA22" s="130" t="s">
        <v>1750</v>
      </c>
      <c r="AB22" s="141" t="s">
        <v>1690</v>
      </c>
      <c r="AC22" s="17" t="s">
        <v>1690</v>
      </c>
      <c r="AD22" s="17" t="s">
        <v>1690</v>
      </c>
      <c r="AE22" s="17">
        <v>9999</v>
      </c>
      <c r="AF22" s="142">
        <v>0</v>
      </c>
      <c r="AG22" s="130"/>
      <c r="AH22" s="143">
        <f ca="1">IF(TYPE(VLOOKUP(H22,Nasazení!$A$3:$E$130,5,0))&lt;4,VLOOKUP(H22,Nasazení!$A$3:$E$130,5,0),0)</f>
        <v>9</v>
      </c>
      <c r="AI22" s="144" t="e">
        <f ca="1">IF(N($AH22)&gt;0,VLOOKUP($AH22,Body!$A$4:$F$259,5,0),"")</f>
        <v>#REF!</v>
      </c>
      <c r="AJ22" s="145">
        <f ca="1">IF(N($AH22)&gt;0,VLOOKUP($AH22,Body!$A$4:$F$259,6,0),"")</f>
        <v>100</v>
      </c>
      <c r="AK22" s="144">
        <f ca="1">IF(N($AH22)&gt;0,VLOOKUP($AH22,Body!$A$4:$F$259,2,0),"")</f>
        <v>2.875</v>
      </c>
      <c r="AL22" s="146" t="str">
        <f t="shared" si="8"/>
        <v>SKP Kulová osma - Krejčín Leoš</v>
      </c>
      <c r="AM22" s="142">
        <f t="shared" si="9"/>
        <v>86.555000000000007</v>
      </c>
      <c r="AN22" s="17">
        <f t="shared" si="10"/>
        <v>0</v>
      </c>
      <c r="AO22" s="17">
        <f t="shared" si="11"/>
        <v>0</v>
      </c>
      <c r="AP22" s="17">
        <f t="shared" si="12"/>
        <v>0</v>
      </c>
      <c r="AQ22" s="17">
        <f t="shared" si="13"/>
        <v>0</v>
      </c>
      <c r="AR22" s="17">
        <f t="shared" si="14"/>
        <v>0</v>
      </c>
    </row>
    <row r="23" spans="1:44" ht="12.75" customHeight="1">
      <c r="A23" s="69">
        <f t="shared" si="0"/>
        <v>3</v>
      </c>
      <c r="B23" s="69">
        <f t="shared" si="1"/>
        <v>1</v>
      </c>
      <c r="C23" s="147">
        <f t="shared" si="2"/>
        <v>83.001999999999995</v>
      </c>
      <c r="D23" s="69">
        <f t="shared" si="3"/>
        <v>345</v>
      </c>
      <c r="E23" s="69">
        <f t="shared" si="4"/>
        <v>81</v>
      </c>
      <c r="F23" s="98" t="str">
        <f t="shared" ca="1" si="5"/>
        <v>91083002999654999918953045</v>
      </c>
      <c r="G23" s="139" t="b">
        <f t="shared" si="6"/>
        <v>0</v>
      </c>
      <c r="H23" s="140">
        <f t="shared" si="7"/>
        <v>13</v>
      </c>
      <c r="I23" s="130">
        <v>18124</v>
      </c>
      <c r="J23" s="141" t="s">
        <v>1313</v>
      </c>
      <c r="K23" s="17" t="s">
        <v>1314</v>
      </c>
      <c r="L23" s="17" t="s">
        <v>199</v>
      </c>
      <c r="M23" s="17">
        <v>81</v>
      </c>
      <c r="N23" s="142">
        <v>27.312999999999999</v>
      </c>
      <c r="O23" s="130">
        <v>16106</v>
      </c>
      <c r="P23" s="141" t="s">
        <v>913</v>
      </c>
      <c r="Q23" s="17" t="s">
        <v>914</v>
      </c>
      <c r="R23" s="17" t="s">
        <v>239</v>
      </c>
      <c r="S23" s="17">
        <v>131</v>
      </c>
      <c r="T23" s="142">
        <v>29.501000000000001</v>
      </c>
      <c r="U23" s="130">
        <v>18132</v>
      </c>
      <c r="V23" s="141" t="s">
        <v>1324</v>
      </c>
      <c r="W23" s="17" t="s">
        <v>445</v>
      </c>
      <c r="X23" s="17" t="s">
        <v>199</v>
      </c>
      <c r="Y23" s="17">
        <v>133</v>
      </c>
      <c r="Z23" s="142">
        <v>26.187999999999999</v>
      </c>
      <c r="AA23" s="130" t="s">
        <v>1750</v>
      </c>
      <c r="AB23" s="141" t="s">
        <v>1690</v>
      </c>
      <c r="AC23" s="17" t="s">
        <v>1690</v>
      </c>
      <c r="AD23" s="17" t="s">
        <v>1690</v>
      </c>
      <c r="AE23" s="17">
        <v>9999</v>
      </c>
      <c r="AF23" s="142">
        <v>0</v>
      </c>
      <c r="AG23" s="130"/>
      <c r="AH23" s="143">
        <v>32</v>
      </c>
      <c r="AI23" s="144" t="e">
        <f>IF(N($AH23)&gt;0,VLOOKUP($AH23,Body!$A$4:$F$259,5,0),"")</f>
        <v>#REF!</v>
      </c>
      <c r="AJ23" s="145">
        <f>IF(N($AH23)&gt;0,VLOOKUP($AH23,Body!$A$4:$F$259,6,0),"")</f>
        <v>100</v>
      </c>
      <c r="AK23" s="144">
        <f>IF(N($AH23)&gt;0,VLOOKUP($AH23,Body!$A$4:$F$259,2,0),"")</f>
        <v>1</v>
      </c>
      <c r="AL23" s="146" t="str">
        <f t="shared" si="8"/>
        <v>PK Polouvsí - Valošková Sára</v>
      </c>
      <c r="AM23" s="142">
        <f t="shared" si="9"/>
        <v>83.001999999999995</v>
      </c>
      <c r="AN23" s="17">
        <f t="shared" si="10"/>
        <v>0</v>
      </c>
      <c r="AO23" s="17">
        <f t="shared" si="11"/>
        <v>0</v>
      </c>
      <c r="AP23" s="17">
        <f t="shared" si="12"/>
        <v>0</v>
      </c>
      <c r="AQ23" s="17">
        <f t="shared" si="13"/>
        <v>0</v>
      </c>
      <c r="AR23" s="17">
        <f t="shared" si="14"/>
        <v>0</v>
      </c>
    </row>
    <row r="24" spans="1:44" ht="12.75" customHeight="1">
      <c r="A24" s="69">
        <f t="shared" si="0"/>
        <v>3</v>
      </c>
      <c r="B24" s="69">
        <f t="shared" si="1"/>
        <v>1</v>
      </c>
      <c r="C24" s="147">
        <f t="shared" si="2"/>
        <v>78.484000000000009</v>
      </c>
      <c r="D24" s="69">
        <f t="shared" si="3"/>
        <v>500</v>
      </c>
      <c r="E24" s="69">
        <f t="shared" si="4"/>
        <v>123</v>
      </c>
      <c r="F24" s="98" t="str">
        <f t="shared" ca="1" si="5"/>
        <v>91078484999499999876515512</v>
      </c>
      <c r="G24" s="139" t="b">
        <f t="shared" si="6"/>
        <v>0</v>
      </c>
      <c r="H24" s="140">
        <f t="shared" si="7"/>
        <v>14</v>
      </c>
      <c r="I24" s="130">
        <v>96005</v>
      </c>
      <c r="J24" s="141" t="s">
        <v>530</v>
      </c>
      <c r="K24" s="17" t="s">
        <v>492</v>
      </c>
      <c r="L24" s="17" t="s">
        <v>144</v>
      </c>
      <c r="M24" s="17">
        <v>209</v>
      </c>
      <c r="N24" s="142">
        <v>17.859000000000002</v>
      </c>
      <c r="O24" s="130">
        <v>23060</v>
      </c>
      <c r="P24" s="141" t="s">
        <v>1393</v>
      </c>
      <c r="Q24" s="17" t="s">
        <v>499</v>
      </c>
      <c r="R24" s="17" t="s">
        <v>144</v>
      </c>
      <c r="S24" s="17">
        <v>123</v>
      </c>
      <c r="T24" s="142">
        <v>31.375</v>
      </c>
      <c r="U24" s="130">
        <v>17093</v>
      </c>
      <c r="V24" s="141" t="s">
        <v>1432</v>
      </c>
      <c r="W24" s="17" t="s">
        <v>1354</v>
      </c>
      <c r="X24" s="17" t="s">
        <v>144</v>
      </c>
      <c r="Y24" s="17">
        <v>168</v>
      </c>
      <c r="Z24" s="142">
        <v>29.25</v>
      </c>
      <c r="AA24" s="130" t="s">
        <v>1750</v>
      </c>
      <c r="AB24" s="141" t="s">
        <v>1690</v>
      </c>
      <c r="AC24" s="17" t="s">
        <v>1690</v>
      </c>
      <c r="AD24" s="17" t="s">
        <v>1690</v>
      </c>
      <c r="AE24" s="17">
        <v>9999</v>
      </c>
      <c r="AF24" s="142">
        <v>0</v>
      </c>
      <c r="AG24" s="130"/>
      <c r="AH24" s="143">
        <v>32</v>
      </c>
      <c r="AI24" s="144" t="e">
        <f>IF(N($AH24)&gt;0,VLOOKUP($AH24,Body!$A$4:$F$259,5,0),"")</f>
        <v>#REF!</v>
      </c>
      <c r="AJ24" s="145">
        <f>IF(N($AH24)&gt;0,VLOOKUP($AH24,Body!$A$4:$F$259,6,0),"")</f>
        <v>100</v>
      </c>
      <c r="AK24" s="144">
        <f>IF(N($AH24)&gt;0,VLOOKUP($AH24,Body!$A$4:$F$259,2,0),"")</f>
        <v>1</v>
      </c>
      <c r="AL24" s="146" t="str">
        <f t="shared" si="8"/>
        <v>PAK Albrechtice - Bukovčík Jan</v>
      </c>
      <c r="AM24" s="142">
        <f t="shared" si="9"/>
        <v>78.484000000000009</v>
      </c>
      <c r="AN24" s="17">
        <f t="shared" si="10"/>
        <v>0</v>
      </c>
      <c r="AO24" s="17">
        <f t="shared" si="11"/>
        <v>0</v>
      </c>
      <c r="AP24" s="17">
        <f t="shared" si="12"/>
        <v>0</v>
      </c>
      <c r="AQ24" s="17">
        <f t="shared" si="13"/>
        <v>0</v>
      </c>
      <c r="AR24" s="17">
        <f t="shared" si="14"/>
        <v>0</v>
      </c>
    </row>
    <row r="25" spans="1:44" ht="12.75" customHeight="1">
      <c r="A25" s="69">
        <f t="shared" si="0"/>
        <v>3</v>
      </c>
      <c r="B25" s="69">
        <f t="shared" si="1"/>
        <v>1</v>
      </c>
      <c r="C25" s="147">
        <f t="shared" si="2"/>
        <v>77.44</v>
      </c>
      <c r="D25" s="69">
        <f t="shared" si="3"/>
        <v>483</v>
      </c>
      <c r="E25" s="69">
        <f t="shared" si="4"/>
        <v>100</v>
      </c>
      <c r="F25" s="98" t="str">
        <f t="shared" ca="1" si="5"/>
        <v>91077440999516999899471770</v>
      </c>
      <c r="G25" s="139" t="b">
        <f t="shared" si="6"/>
        <v>0</v>
      </c>
      <c r="H25" s="140">
        <f t="shared" si="7"/>
        <v>15</v>
      </c>
      <c r="I25" s="130">
        <v>26043</v>
      </c>
      <c r="J25" s="141" t="s">
        <v>959</v>
      </c>
      <c r="K25" s="17" t="s">
        <v>532</v>
      </c>
      <c r="L25" s="17" t="s">
        <v>704</v>
      </c>
      <c r="M25" s="17">
        <v>100</v>
      </c>
      <c r="N25" s="142">
        <v>29.22</v>
      </c>
      <c r="O25" s="130">
        <v>18136</v>
      </c>
      <c r="P25" s="141" t="s">
        <v>724</v>
      </c>
      <c r="Q25" s="17" t="s">
        <v>532</v>
      </c>
      <c r="R25" s="17" t="s">
        <v>685</v>
      </c>
      <c r="S25" s="17">
        <v>158</v>
      </c>
      <c r="T25" s="142">
        <v>28.751000000000001</v>
      </c>
      <c r="U25" s="130">
        <v>16020</v>
      </c>
      <c r="V25" s="141" t="s">
        <v>719</v>
      </c>
      <c r="W25" s="17" t="s">
        <v>526</v>
      </c>
      <c r="X25" s="17" t="s">
        <v>704</v>
      </c>
      <c r="Y25" s="17">
        <v>225</v>
      </c>
      <c r="Z25" s="142">
        <v>19.469000000000001</v>
      </c>
      <c r="AA25" s="130" t="s">
        <v>1750</v>
      </c>
      <c r="AB25" s="141" t="s">
        <v>1690</v>
      </c>
      <c r="AC25" s="17" t="s">
        <v>1690</v>
      </c>
      <c r="AD25" s="17" t="s">
        <v>1690</v>
      </c>
      <c r="AE25" s="17">
        <v>9999</v>
      </c>
      <c r="AF25" s="142">
        <v>0</v>
      </c>
      <c r="AG25" s="130"/>
      <c r="AH25" s="143">
        <v>40</v>
      </c>
      <c r="AI25" s="144" t="e">
        <f>IF(N($AH25)&gt;0,VLOOKUP($AH25,Body!$A$4:$F$259,5,0),"")</f>
        <v>#REF!</v>
      </c>
      <c r="AJ25" s="145">
        <f>IF(N($AH25)&gt;0,VLOOKUP($AH25,Body!$A$4:$F$259,6,0),"")</f>
        <v>100</v>
      </c>
      <c r="AK25" s="144">
        <f>IF(N($AH25)&gt;0,VLOOKUP($AH25,Body!$A$4:$F$259,2,0),"")</f>
        <v>0.75</v>
      </c>
      <c r="AL25" s="146" t="str">
        <f t="shared" si="8"/>
        <v>FENYX Adamov - Král Pavel</v>
      </c>
      <c r="AM25" s="142">
        <f t="shared" si="9"/>
        <v>77.44</v>
      </c>
      <c r="AN25" s="17">
        <f t="shared" si="10"/>
        <v>0</v>
      </c>
      <c r="AO25" s="17">
        <f t="shared" si="11"/>
        <v>0</v>
      </c>
      <c r="AP25" s="17">
        <f t="shared" si="12"/>
        <v>0</v>
      </c>
      <c r="AQ25" s="17">
        <f t="shared" si="13"/>
        <v>0</v>
      </c>
      <c r="AR25" s="17">
        <f t="shared" si="14"/>
        <v>0</v>
      </c>
    </row>
    <row r="26" spans="1:44" ht="12.75" customHeight="1">
      <c r="A26" s="69">
        <f t="shared" si="0"/>
        <v>3</v>
      </c>
      <c r="B26" s="69">
        <f t="shared" si="1"/>
        <v>1</v>
      </c>
      <c r="C26" s="147">
        <f t="shared" si="2"/>
        <v>74.376000000000005</v>
      </c>
      <c r="D26" s="69">
        <f t="shared" si="3"/>
        <v>563</v>
      </c>
      <c r="E26" s="69">
        <f t="shared" si="4"/>
        <v>95</v>
      </c>
      <c r="F26" s="98" t="str">
        <f t="shared" ca="1" si="5"/>
        <v>91074376999436999904813966</v>
      </c>
      <c r="G26" s="139" t="b">
        <f t="shared" si="6"/>
        <v>0</v>
      </c>
      <c r="H26" s="140">
        <f t="shared" si="7"/>
        <v>16</v>
      </c>
      <c r="I26" s="130">
        <v>16133</v>
      </c>
      <c r="J26" s="141" t="s">
        <v>1269</v>
      </c>
      <c r="K26" s="17" t="s">
        <v>1270</v>
      </c>
      <c r="L26" s="17" t="s">
        <v>476</v>
      </c>
      <c r="M26" s="17">
        <v>192</v>
      </c>
      <c r="N26" s="142">
        <v>24.25</v>
      </c>
      <c r="O26" s="130">
        <v>18099</v>
      </c>
      <c r="P26" s="141" t="s">
        <v>1047</v>
      </c>
      <c r="Q26" s="17" t="s">
        <v>418</v>
      </c>
      <c r="R26" s="17" t="s">
        <v>476</v>
      </c>
      <c r="S26" s="17">
        <v>276</v>
      </c>
      <c r="T26" s="142">
        <v>16.376000000000001</v>
      </c>
      <c r="U26" s="130">
        <v>15008</v>
      </c>
      <c r="V26" s="141" t="s">
        <v>1242</v>
      </c>
      <c r="W26" s="17" t="s">
        <v>1001</v>
      </c>
      <c r="X26" s="17" t="s">
        <v>141</v>
      </c>
      <c r="Y26" s="17">
        <v>95</v>
      </c>
      <c r="Z26" s="142">
        <v>33.75</v>
      </c>
      <c r="AA26" s="130" t="s">
        <v>1750</v>
      </c>
      <c r="AB26" s="141" t="s">
        <v>1690</v>
      </c>
      <c r="AC26" s="17" t="s">
        <v>1690</v>
      </c>
      <c r="AD26" s="17" t="s">
        <v>1690</v>
      </c>
      <c r="AE26" s="17">
        <v>9999</v>
      </c>
      <c r="AF26" s="142">
        <v>0</v>
      </c>
      <c r="AG26" s="130"/>
      <c r="AH26" s="143">
        <f ca="1">IF(TYPE(VLOOKUP(H26,Nasazení!$A$3:$E$130,5,0))&lt;4,VLOOKUP(H26,Nasazení!$A$3:$E$130,5,0),0)</f>
        <v>11</v>
      </c>
      <c r="AI26" s="144" t="e">
        <f ca="1">IF(N($AH26)&gt;0,VLOOKUP($AH26,Body!$A$4:$F$259,5,0),"")</f>
        <v>#REF!</v>
      </c>
      <c r="AJ26" s="145">
        <f ca="1">IF(N($AH26)&gt;0,VLOOKUP($AH26,Body!$A$4:$F$259,6,0),"")</f>
        <v>100</v>
      </c>
      <c r="AK26" s="144">
        <f ca="1">IF(N($AH26)&gt;0,VLOOKUP($AH26,Body!$A$4:$F$259,2,0),"")</f>
        <v>2.625</v>
      </c>
      <c r="AL26" s="146" t="str">
        <f t="shared" si="8"/>
        <v>1. Starobrněnský PK - Strouhalová Terezie</v>
      </c>
      <c r="AM26" s="142">
        <f t="shared" si="9"/>
        <v>74.376000000000005</v>
      </c>
      <c r="AN26" s="17">
        <f t="shared" si="10"/>
        <v>0</v>
      </c>
      <c r="AO26" s="17">
        <f t="shared" si="11"/>
        <v>0</v>
      </c>
      <c r="AP26" s="17">
        <f t="shared" si="12"/>
        <v>0</v>
      </c>
      <c r="AQ26" s="17">
        <f t="shared" si="13"/>
        <v>0</v>
      </c>
      <c r="AR26" s="17">
        <f t="shared" si="14"/>
        <v>0</v>
      </c>
    </row>
    <row r="27" spans="1:44" ht="12.75" customHeight="1">
      <c r="A27" s="69">
        <f t="shared" si="0"/>
        <v>3</v>
      </c>
      <c r="B27" s="69">
        <f t="shared" si="1"/>
        <v>1</v>
      </c>
      <c r="C27" s="147">
        <f t="shared" si="2"/>
        <v>44.65</v>
      </c>
      <c r="D27" s="17">
        <f t="shared" si="3"/>
        <v>715</v>
      </c>
      <c r="E27" s="69">
        <f t="shared" si="4"/>
        <v>171</v>
      </c>
      <c r="F27" s="98" t="str">
        <f t="shared" ca="1" si="5"/>
        <v>01000000000000000000933912</v>
      </c>
      <c r="G27" s="139" t="b">
        <f t="shared" si="6"/>
        <v>0</v>
      </c>
      <c r="H27" s="140">
        <f t="shared" si="7"/>
        <v>17</v>
      </c>
      <c r="I27" s="130">
        <v>18131</v>
      </c>
      <c r="J27" s="141" t="s">
        <v>1028</v>
      </c>
      <c r="K27" s="17" t="s">
        <v>1029</v>
      </c>
      <c r="L27" s="17" t="s">
        <v>685</v>
      </c>
      <c r="M27" s="17">
        <v>171</v>
      </c>
      <c r="N27" s="142">
        <v>24.5</v>
      </c>
      <c r="O27" s="130">
        <v>20503</v>
      </c>
      <c r="P27" s="141" t="s">
        <v>1154</v>
      </c>
      <c r="Q27" s="17" t="s">
        <v>688</v>
      </c>
      <c r="R27" s="17" t="s">
        <v>221</v>
      </c>
      <c r="S27" s="17">
        <v>215</v>
      </c>
      <c r="T27" s="142">
        <v>15.407999999999999</v>
      </c>
      <c r="U27" s="130">
        <v>21004</v>
      </c>
      <c r="V27" s="141" t="s">
        <v>830</v>
      </c>
      <c r="W27" s="17" t="s">
        <v>662</v>
      </c>
      <c r="X27" s="17" t="s">
        <v>221</v>
      </c>
      <c r="Y27" s="17">
        <v>329</v>
      </c>
      <c r="Z27" s="142">
        <v>4.742</v>
      </c>
      <c r="AA27" s="130" t="s">
        <v>1750</v>
      </c>
      <c r="AB27" s="141" t="s">
        <v>1690</v>
      </c>
      <c r="AC27" s="17" t="s">
        <v>1690</v>
      </c>
      <c r="AD27" s="17" t="s">
        <v>1690</v>
      </c>
      <c r="AE27" s="17">
        <v>9999</v>
      </c>
      <c r="AF27" s="142">
        <v>0</v>
      </c>
      <c r="AG27" s="130"/>
      <c r="AH27" s="143">
        <v>32</v>
      </c>
      <c r="AI27" s="144" t="e">
        <f>IF(N($AH27)&gt;0,VLOOKUP($AH27,Body!$A$4:$F$259,5,0),"")</f>
        <v>#REF!</v>
      </c>
      <c r="AJ27" s="145">
        <f>IF(N($AH27)&gt;0,VLOOKUP($AH27,Body!$A$4:$F$259,6,0),"")</f>
        <v>100</v>
      </c>
      <c r="AK27" s="144">
        <f>IF(N($AH27)&gt;0,VLOOKUP($AH27,Body!$A$4:$F$259,2,0),"")</f>
        <v>1</v>
      </c>
      <c r="AL27" s="146" t="str">
        <f t="shared" si="8"/>
        <v>Orel Řečkovice - Marečková Yvonne</v>
      </c>
      <c r="AM27" s="142">
        <f t="shared" si="9"/>
        <v>44.65</v>
      </c>
      <c r="AN27" s="17">
        <f t="shared" si="10"/>
        <v>0</v>
      </c>
      <c r="AO27" s="17">
        <f t="shared" si="11"/>
        <v>0</v>
      </c>
      <c r="AP27" s="17">
        <f t="shared" si="12"/>
        <v>0</v>
      </c>
      <c r="AQ27" s="17">
        <f t="shared" si="13"/>
        <v>0</v>
      </c>
      <c r="AR27" s="17">
        <f t="shared" si="14"/>
        <v>0</v>
      </c>
    </row>
    <row r="28" spans="1:44" ht="12.75" customHeight="1">
      <c r="A28" s="69">
        <f t="shared" si="0"/>
        <v>3</v>
      </c>
      <c r="B28" s="69">
        <f t="shared" si="1"/>
        <v>1</v>
      </c>
      <c r="C28" s="147">
        <f t="shared" si="2"/>
        <v>63.783000000000001</v>
      </c>
      <c r="D28" s="69">
        <f t="shared" si="3"/>
        <v>563</v>
      </c>
      <c r="E28" s="69">
        <f t="shared" si="4"/>
        <v>156</v>
      </c>
      <c r="F28" s="98" t="str">
        <f t="shared" ca="1" si="5"/>
        <v>01000000000000000000852159</v>
      </c>
      <c r="G28" s="139" t="b">
        <f t="shared" si="6"/>
        <v>0</v>
      </c>
      <c r="H28" s="140">
        <f t="shared" si="7"/>
        <v>18</v>
      </c>
      <c r="I28" s="130">
        <v>13077</v>
      </c>
      <c r="J28" s="141" t="s">
        <v>922</v>
      </c>
      <c r="K28" s="17" t="s">
        <v>532</v>
      </c>
      <c r="L28" s="17" t="s">
        <v>438</v>
      </c>
      <c r="M28" s="17">
        <v>203</v>
      </c>
      <c r="N28" s="142">
        <v>20.032</v>
      </c>
      <c r="O28" s="130">
        <v>13078</v>
      </c>
      <c r="P28" s="141" t="s">
        <v>925</v>
      </c>
      <c r="Q28" s="17" t="s">
        <v>592</v>
      </c>
      <c r="R28" s="17" t="s">
        <v>438</v>
      </c>
      <c r="S28" s="17">
        <v>204</v>
      </c>
      <c r="T28" s="142">
        <v>20.032</v>
      </c>
      <c r="U28" s="130">
        <v>21021</v>
      </c>
      <c r="V28" s="141" t="s">
        <v>1232</v>
      </c>
      <c r="W28" s="17" t="s">
        <v>1233</v>
      </c>
      <c r="X28" s="17" t="s">
        <v>120</v>
      </c>
      <c r="Y28" s="17">
        <v>156</v>
      </c>
      <c r="Z28" s="142">
        <v>23.719000000000001</v>
      </c>
      <c r="AA28" s="130" t="s">
        <v>1750</v>
      </c>
      <c r="AB28" s="141" t="s">
        <v>1690</v>
      </c>
      <c r="AC28" s="17" t="s">
        <v>1690</v>
      </c>
      <c r="AD28" s="17" t="s">
        <v>1690</v>
      </c>
      <c r="AE28" s="17">
        <v>9999</v>
      </c>
      <c r="AF28" s="142">
        <v>0</v>
      </c>
      <c r="AG28" s="130"/>
      <c r="AH28" s="143">
        <f ca="1">IF(TYPE(VLOOKUP(H28,Nasazení!$A$3:$E$130,5,0))&lt;4,VLOOKUP(H28,Nasazení!$A$3:$E$130,5,0),0)</f>
        <v>12</v>
      </c>
      <c r="AI28" s="144" t="e">
        <f ca="1">IF(N($AH28)&gt;0,VLOOKUP($AH28,Body!$A$4:$F$259,5,0),"")</f>
        <v>#REF!</v>
      </c>
      <c r="AJ28" s="145">
        <f ca="1">IF(N($AH28)&gt;0,VLOOKUP($AH28,Body!$A$4:$F$259,6,0),"")</f>
        <v>100</v>
      </c>
      <c r="AK28" s="144">
        <f ca="1">IF(N($AH28)&gt;0,VLOOKUP($AH28,Body!$A$4:$F$259,2,0),"")</f>
        <v>2.5</v>
      </c>
      <c r="AL28" s="146" t="str">
        <f t="shared" si="8"/>
        <v>UBU Únětice - Kot Pavel</v>
      </c>
      <c r="AM28" s="142">
        <f t="shared" si="9"/>
        <v>63.783000000000001</v>
      </c>
      <c r="AN28" s="17">
        <f t="shared" si="10"/>
        <v>0</v>
      </c>
      <c r="AO28" s="17">
        <f t="shared" si="11"/>
        <v>0</v>
      </c>
      <c r="AP28" s="17">
        <f t="shared" si="12"/>
        <v>0</v>
      </c>
      <c r="AQ28" s="17">
        <f t="shared" si="13"/>
        <v>0</v>
      </c>
      <c r="AR28" s="17">
        <f t="shared" si="14"/>
        <v>0</v>
      </c>
    </row>
    <row r="29" spans="1:44" ht="12.75" customHeight="1">
      <c r="A29" s="69">
        <f t="shared" si="0"/>
        <v>3</v>
      </c>
      <c r="B29" s="69">
        <f t="shared" si="1"/>
        <v>1</v>
      </c>
      <c r="C29" s="147">
        <f t="shared" si="2"/>
        <v>9.6260000000000012</v>
      </c>
      <c r="D29" s="69">
        <f t="shared" si="3"/>
        <v>1607</v>
      </c>
      <c r="E29" s="69">
        <f t="shared" si="4"/>
        <v>501</v>
      </c>
      <c r="F29" s="98" t="str">
        <f t="shared" ca="1" si="5"/>
        <v>01000000000000000000459326</v>
      </c>
      <c r="G29" s="139" t="b">
        <f t="shared" si="6"/>
        <v>0</v>
      </c>
      <c r="H29" s="140">
        <f t="shared" si="7"/>
        <v>19</v>
      </c>
      <c r="I29" s="130">
        <v>13054</v>
      </c>
      <c r="J29" s="141" t="s">
        <v>749</v>
      </c>
      <c r="K29" s="17" t="s">
        <v>750</v>
      </c>
      <c r="L29" s="17" t="s">
        <v>141</v>
      </c>
      <c r="M29" s="17">
        <v>604</v>
      </c>
      <c r="N29" s="142">
        <v>2</v>
      </c>
      <c r="O29" s="130">
        <v>98312</v>
      </c>
      <c r="P29" s="141" t="s">
        <v>904</v>
      </c>
      <c r="Q29" s="17" t="s">
        <v>905</v>
      </c>
      <c r="R29" s="17" t="s">
        <v>141</v>
      </c>
      <c r="S29" s="17">
        <v>501</v>
      </c>
      <c r="T29" s="142">
        <v>3.8130000000000002</v>
      </c>
      <c r="U29" s="130">
        <v>98311</v>
      </c>
      <c r="V29" s="141" t="s">
        <v>906</v>
      </c>
      <c r="W29" s="17" t="s">
        <v>532</v>
      </c>
      <c r="X29" s="17" t="s">
        <v>141</v>
      </c>
      <c r="Y29" s="17">
        <v>502</v>
      </c>
      <c r="Z29" s="142">
        <v>3.8130000000000002</v>
      </c>
      <c r="AA29" s="130" t="s">
        <v>1750</v>
      </c>
      <c r="AB29" s="141" t="s">
        <v>1690</v>
      </c>
      <c r="AC29" s="17" t="s">
        <v>1690</v>
      </c>
      <c r="AD29" s="17" t="s">
        <v>1690</v>
      </c>
      <c r="AE29" s="17">
        <v>9999</v>
      </c>
      <c r="AF29" s="142">
        <v>0</v>
      </c>
      <c r="AG29" s="130"/>
      <c r="AH29" s="143">
        <v>16</v>
      </c>
      <c r="AI29" s="144" t="e">
        <f>IF(N($AH29)&gt;0,VLOOKUP($AH29,Body!$A$4:$F$259,5,0),"")</f>
        <v>#REF!</v>
      </c>
      <c r="AJ29" s="145">
        <f>IF(N($AH29)&gt;0,VLOOKUP($AH29,Body!$A$4:$F$259,6,0),"")</f>
        <v>100</v>
      </c>
      <c r="AK29" s="144">
        <f>IF(N($AH29)&gt;0,VLOOKUP($AH29,Body!$A$4:$F$259,2,0),"")</f>
        <v>2</v>
      </c>
      <c r="AL29" s="146" t="str">
        <f t="shared" si="8"/>
        <v>Kulový blesk Olomouc - Hildenbrand Benjamin</v>
      </c>
      <c r="AM29" s="142">
        <f t="shared" si="9"/>
        <v>9.6260000000000012</v>
      </c>
      <c r="AN29" s="17">
        <f t="shared" si="10"/>
        <v>0</v>
      </c>
      <c r="AO29" s="17">
        <f t="shared" si="11"/>
        <v>0</v>
      </c>
      <c r="AP29" s="17">
        <f t="shared" si="12"/>
        <v>0</v>
      </c>
      <c r="AQ29" s="17">
        <f t="shared" si="13"/>
        <v>0</v>
      </c>
      <c r="AR29" s="17">
        <f t="shared" si="14"/>
        <v>0</v>
      </c>
    </row>
    <row r="30" spans="1:44" ht="12.75" customHeight="1">
      <c r="A30" s="69">
        <f t="shared" si="0"/>
        <v>3</v>
      </c>
      <c r="B30" s="69">
        <f t="shared" si="1"/>
        <v>1</v>
      </c>
      <c r="C30" s="147">
        <f t="shared" si="2"/>
        <v>38.628</v>
      </c>
      <c r="D30" s="69">
        <f t="shared" si="3"/>
        <v>844</v>
      </c>
      <c r="E30" s="69">
        <f t="shared" si="4"/>
        <v>237</v>
      </c>
      <c r="F30" s="98" t="str">
        <f t="shared" ca="1" si="5"/>
        <v>01000000000000000000238063</v>
      </c>
      <c r="G30" s="139" t="b">
        <f t="shared" si="6"/>
        <v>0</v>
      </c>
      <c r="H30" s="140">
        <f t="shared" si="7"/>
        <v>20</v>
      </c>
      <c r="I30" s="130">
        <v>19067</v>
      </c>
      <c r="J30" s="141" t="s">
        <v>1134</v>
      </c>
      <c r="K30" s="17" t="s">
        <v>427</v>
      </c>
      <c r="L30" s="17" t="s">
        <v>476</v>
      </c>
      <c r="M30" s="17">
        <v>237</v>
      </c>
      <c r="N30" s="142">
        <v>13.345000000000001</v>
      </c>
      <c r="O30" s="130">
        <v>20565</v>
      </c>
      <c r="P30" s="141" t="s">
        <v>1024</v>
      </c>
      <c r="Q30" s="17" t="s">
        <v>1025</v>
      </c>
      <c r="R30" s="17" t="s">
        <v>476</v>
      </c>
      <c r="S30" s="17">
        <v>243</v>
      </c>
      <c r="T30" s="142">
        <v>17.094999999999999</v>
      </c>
      <c r="U30" s="130">
        <v>15083</v>
      </c>
      <c r="V30" s="141" t="s">
        <v>636</v>
      </c>
      <c r="W30" s="17" t="s">
        <v>437</v>
      </c>
      <c r="X30" s="17" t="s">
        <v>476</v>
      </c>
      <c r="Y30" s="17">
        <v>364</v>
      </c>
      <c r="Z30" s="142">
        <v>8.1880000000000006</v>
      </c>
      <c r="AA30" s="130" t="s">
        <v>1750</v>
      </c>
      <c r="AB30" s="141" t="s">
        <v>1690</v>
      </c>
      <c r="AC30" s="17" t="s">
        <v>1690</v>
      </c>
      <c r="AD30" s="17" t="s">
        <v>1690</v>
      </c>
      <c r="AE30" s="17">
        <v>9999</v>
      </c>
      <c r="AF30" s="142">
        <v>0</v>
      </c>
      <c r="AG30" s="130"/>
      <c r="AH30" s="143">
        <v>40</v>
      </c>
      <c r="AI30" s="144" t="e">
        <f>IF(N($AH30)&gt;0,VLOOKUP($AH30,Body!$A$4:$F$259,5,0),"")</f>
        <v>#REF!</v>
      </c>
      <c r="AJ30" s="145">
        <f>IF(N($AH30)&gt;0,VLOOKUP($AH30,Body!$A$4:$F$259,6,0),"")</f>
        <v>100</v>
      </c>
      <c r="AK30" s="144">
        <f>IF(N($AH30)&gt;0,VLOOKUP($AH30,Body!$A$4:$F$259,2,0),"")</f>
        <v>0.75</v>
      </c>
      <c r="AL30" s="146" t="str">
        <f t="shared" si="8"/>
        <v>1. Starobrněnský PK - Petrželka Josef</v>
      </c>
      <c r="AM30" s="142">
        <f t="shared" si="9"/>
        <v>38.628</v>
      </c>
      <c r="AN30" s="17">
        <f t="shared" si="10"/>
        <v>0</v>
      </c>
      <c r="AO30" s="17">
        <f t="shared" si="11"/>
        <v>0</v>
      </c>
      <c r="AP30" s="17">
        <f t="shared" si="12"/>
        <v>0</v>
      </c>
      <c r="AQ30" s="17">
        <f t="shared" si="13"/>
        <v>0</v>
      </c>
      <c r="AR30" s="17">
        <f t="shared" si="14"/>
        <v>0</v>
      </c>
    </row>
    <row r="31" spans="1:44" ht="12.75" customHeight="1">
      <c r="A31" s="69">
        <f t="shared" si="0"/>
        <v>3</v>
      </c>
      <c r="B31" s="69">
        <f t="shared" si="1"/>
        <v>1</v>
      </c>
      <c r="C31" s="147">
        <f t="shared" si="2"/>
        <v>25.317000000000004</v>
      </c>
      <c r="D31" s="69">
        <f t="shared" si="3"/>
        <v>1131</v>
      </c>
      <c r="E31" s="69">
        <f t="shared" si="4"/>
        <v>291</v>
      </c>
      <c r="F31" s="98" t="str">
        <f t="shared" ca="1" si="5"/>
        <v>01000000000000000000382201</v>
      </c>
      <c r="G31" s="139" t="b">
        <f t="shared" si="6"/>
        <v>0</v>
      </c>
      <c r="H31" s="140">
        <f t="shared" si="7"/>
        <v>21</v>
      </c>
      <c r="I31" s="130">
        <v>22148</v>
      </c>
      <c r="J31" s="141" t="s">
        <v>764</v>
      </c>
      <c r="K31" s="17" t="s">
        <v>467</v>
      </c>
      <c r="L31" s="17" t="s">
        <v>765</v>
      </c>
      <c r="M31" s="17">
        <v>291</v>
      </c>
      <c r="N31" s="142">
        <v>11.377000000000001</v>
      </c>
      <c r="O31" s="130">
        <v>22149</v>
      </c>
      <c r="P31" s="141" t="s">
        <v>1434</v>
      </c>
      <c r="Q31" s="17" t="s">
        <v>951</v>
      </c>
      <c r="R31" s="17" t="s">
        <v>765</v>
      </c>
      <c r="S31" s="17">
        <v>359</v>
      </c>
      <c r="T31" s="142">
        <v>9</v>
      </c>
      <c r="U31" s="130">
        <v>22151</v>
      </c>
      <c r="V31" s="141" t="s">
        <v>932</v>
      </c>
      <c r="W31" s="17" t="s">
        <v>550</v>
      </c>
      <c r="X31" s="17" t="s">
        <v>765</v>
      </c>
      <c r="Y31" s="17">
        <v>481</v>
      </c>
      <c r="Z31" s="142">
        <v>4.9400000000000004</v>
      </c>
      <c r="AA31" s="130" t="s">
        <v>1750</v>
      </c>
      <c r="AB31" s="141" t="s">
        <v>1690</v>
      </c>
      <c r="AC31" s="17" t="s">
        <v>1690</v>
      </c>
      <c r="AD31" s="17" t="s">
        <v>1690</v>
      </c>
      <c r="AE31" s="17">
        <v>9999</v>
      </c>
      <c r="AF31" s="142">
        <v>0</v>
      </c>
      <c r="AG31" s="130"/>
      <c r="AH31" s="143">
        <v>32</v>
      </c>
      <c r="AI31" s="144" t="e">
        <f>IF(N($AH31)&gt;0,VLOOKUP($AH31,Body!$A$4:$F$259,5,0),"")</f>
        <v>#REF!</v>
      </c>
      <c r="AJ31" s="145">
        <f>IF(N($AH31)&gt;0,VLOOKUP($AH31,Body!$A$4:$F$259,6,0),"")</f>
        <v>100</v>
      </c>
      <c r="AK31" s="144">
        <f>IF(N($AH31)&gt;0,VLOOKUP($AH31,Body!$A$4:$F$259,2,0),"")</f>
        <v>1</v>
      </c>
      <c r="AL31" s="146" t="str">
        <f t="shared" si="8"/>
        <v>PC Hrabyně - Holba Daniel</v>
      </c>
      <c r="AM31" s="142">
        <f t="shared" si="9"/>
        <v>25.317000000000004</v>
      </c>
      <c r="AN31" s="17">
        <f t="shared" si="10"/>
        <v>0</v>
      </c>
      <c r="AO31" s="17">
        <f t="shared" si="11"/>
        <v>0</v>
      </c>
      <c r="AP31" s="17">
        <f t="shared" si="12"/>
        <v>0</v>
      </c>
      <c r="AQ31" s="17">
        <f t="shared" si="13"/>
        <v>0</v>
      </c>
      <c r="AR31" s="17">
        <f t="shared" si="14"/>
        <v>0</v>
      </c>
    </row>
    <row r="32" spans="1:44" ht="12.75" customHeight="1">
      <c r="A32" s="69">
        <f t="shared" si="0"/>
        <v>3</v>
      </c>
      <c r="B32" s="69">
        <f t="shared" si="1"/>
        <v>1</v>
      </c>
      <c r="C32" s="147">
        <f t="shared" si="2"/>
        <v>55.844000000000001</v>
      </c>
      <c r="D32" s="69">
        <f t="shared" si="3"/>
        <v>866</v>
      </c>
      <c r="E32" s="69">
        <f t="shared" si="4"/>
        <v>11</v>
      </c>
      <c r="F32" s="98" t="str">
        <f t="shared" ca="1" si="5"/>
        <v>01000000000000000000431672</v>
      </c>
      <c r="G32" s="139" t="b">
        <f t="shared" si="6"/>
        <v>0</v>
      </c>
      <c r="H32" s="140">
        <f t="shared" si="7"/>
        <v>22</v>
      </c>
      <c r="I32" s="130">
        <v>20617</v>
      </c>
      <c r="J32" s="141" t="s">
        <v>1198</v>
      </c>
      <c r="K32" s="17" t="s">
        <v>576</v>
      </c>
      <c r="L32" s="17" t="s">
        <v>221</v>
      </c>
      <c r="M32" s="17">
        <v>11</v>
      </c>
      <c r="N32" s="142">
        <v>43.75</v>
      </c>
      <c r="O32" s="130">
        <v>20504</v>
      </c>
      <c r="P32" s="141" t="s">
        <v>542</v>
      </c>
      <c r="Q32" s="17" t="s">
        <v>543</v>
      </c>
      <c r="R32" s="17" t="s">
        <v>221</v>
      </c>
      <c r="S32" s="17">
        <v>320</v>
      </c>
      <c r="T32" s="142">
        <v>9.75</v>
      </c>
      <c r="U32" s="130">
        <v>23236</v>
      </c>
      <c r="V32" s="141" t="s">
        <v>1129</v>
      </c>
      <c r="W32" s="17" t="s">
        <v>1130</v>
      </c>
      <c r="X32" s="17" t="s">
        <v>221</v>
      </c>
      <c r="Y32" s="17">
        <v>535</v>
      </c>
      <c r="Z32" s="142">
        <v>2.3439999999999999</v>
      </c>
      <c r="AA32" s="130" t="s">
        <v>1750</v>
      </c>
      <c r="AB32" s="141" t="s">
        <v>1690</v>
      </c>
      <c r="AC32" s="17" t="s">
        <v>1690</v>
      </c>
      <c r="AD32" s="17" t="s">
        <v>1690</v>
      </c>
      <c r="AE32" s="17">
        <v>9999</v>
      </c>
      <c r="AF32" s="142">
        <v>0</v>
      </c>
      <c r="AG32" s="130"/>
      <c r="AH32" s="143">
        <v>24</v>
      </c>
      <c r="AI32" s="144" t="e">
        <f>IF(N($AH32)&gt;0,VLOOKUP($AH32,Body!$A$4:$F$259,5,0),"")</f>
        <v>#REF!</v>
      </c>
      <c r="AJ32" s="145">
        <f>IF(N($AH32)&gt;0,VLOOKUP($AH32,Body!$A$4:$F$259,6,0),"")</f>
        <v>100</v>
      </c>
      <c r="AK32" s="144">
        <f>IF(N($AH32)&gt;0,VLOOKUP($AH32,Body!$A$4:$F$259,2,0),"")</f>
        <v>1.5</v>
      </c>
      <c r="AL32" s="146" t="str">
        <f t="shared" si="8"/>
        <v>Carreau Brno - Rendla Jakub</v>
      </c>
      <c r="AM32" s="142">
        <f t="shared" si="9"/>
        <v>55.844000000000001</v>
      </c>
      <c r="AN32" s="17">
        <f t="shared" si="10"/>
        <v>0</v>
      </c>
      <c r="AO32" s="17">
        <f t="shared" si="11"/>
        <v>0</v>
      </c>
      <c r="AP32" s="17">
        <f t="shared" si="12"/>
        <v>0</v>
      </c>
      <c r="AQ32" s="17">
        <f t="shared" si="13"/>
        <v>0</v>
      </c>
      <c r="AR32" s="17">
        <f t="shared" si="14"/>
        <v>0</v>
      </c>
    </row>
    <row r="33" spans="1:44" ht="12.75" customHeight="1">
      <c r="A33" s="69">
        <f t="shared" si="0"/>
        <v>3</v>
      </c>
      <c r="B33" s="69">
        <f t="shared" si="1"/>
        <v>1</v>
      </c>
      <c r="C33" s="147">
        <f t="shared" si="2"/>
        <v>68.656999999999996</v>
      </c>
      <c r="D33" s="69">
        <f t="shared" si="3"/>
        <v>332</v>
      </c>
      <c r="E33" s="69">
        <f t="shared" si="4"/>
        <v>49</v>
      </c>
      <c r="F33" s="98" t="str">
        <f t="shared" ca="1" si="5"/>
        <v>01000000000000000000941266</v>
      </c>
      <c r="G33" s="139" t="b">
        <f t="shared" si="6"/>
        <v>0</v>
      </c>
      <c r="H33" s="140">
        <f t="shared" si="7"/>
        <v>23</v>
      </c>
      <c r="I33" s="130">
        <v>18109</v>
      </c>
      <c r="J33" s="141" t="s">
        <v>1412</v>
      </c>
      <c r="K33" s="17" t="s">
        <v>424</v>
      </c>
      <c r="L33" s="17" t="s">
        <v>721</v>
      </c>
      <c r="M33" s="17">
        <v>49</v>
      </c>
      <c r="N33" s="142">
        <v>29.187999999999999</v>
      </c>
      <c r="O33" s="130">
        <v>16124</v>
      </c>
      <c r="P33" s="141" t="s">
        <v>1018</v>
      </c>
      <c r="Q33" s="17" t="s">
        <v>431</v>
      </c>
      <c r="R33" s="17" t="s">
        <v>721</v>
      </c>
      <c r="S33" s="17">
        <v>83</v>
      </c>
      <c r="T33" s="142">
        <v>25.719000000000001</v>
      </c>
      <c r="U33" s="130">
        <v>19058</v>
      </c>
      <c r="V33" s="141" t="s">
        <v>1413</v>
      </c>
      <c r="W33" s="17" t="s">
        <v>1414</v>
      </c>
      <c r="X33" s="17" t="s">
        <v>721</v>
      </c>
      <c r="Y33" s="17">
        <v>200</v>
      </c>
      <c r="Z33" s="142">
        <v>13.75</v>
      </c>
      <c r="AA33" s="130" t="s">
        <v>1750</v>
      </c>
      <c r="AB33" s="141" t="s">
        <v>1690</v>
      </c>
      <c r="AC33" s="17" t="s">
        <v>1690</v>
      </c>
      <c r="AD33" s="17" t="s">
        <v>1690</v>
      </c>
      <c r="AE33" s="17">
        <v>9999</v>
      </c>
      <c r="AF33" s="142">
        <v>0</v>
      </c>
      <c r="AG33" s="130"/>
      <c r="AH33" s="143">
        <f ca="1">IF(TYPE(VLOOKUP(H33,Nasazení!$A$3:$E$130,5,0))&lt;4,VLOOKUP(H33,Nasazení!$A$3:$E$130,5,0),0)</f>
        <v>45</v>
      </c>
      <c r="AI33" s="144" t="e">
        <f ca="1">IF(N($AH33)&gt;0,VLOOKUP($AH33,Body!$A$4:$F$259,5,0),"")</f>
        <v>#REF!</v>
      </c>
      <c r="AJ33" s="145">
        <f ca="1">IF(N($AH33)&gt;0,VLOOKUP($AH33,Body!$A$4:$F$259,6,0),"")</f>
        <v>0</v>
      </c>
      <c r="AK33" s="144">
        <f ca="1">IF(N($AH33)&gt;0,VLOOKUP($AH33,Body!$A$4:$F$259,2,0),"")</f>
        <v>0</v>
      </c>
      <c r="AL33" s="146" t="str">
        <f t="shared" si="8"/>
        <v>SPORT Kolín - Šternberg Martin</v>
      </c>
      <c r="AM33" s="142">
        <f t="shared" si="9"/>
        <v>68.656999999999996</v>
      </c>
      <c r="AN33" s="17">
        <f t="shared" si="10"/>
        <v>0</v>
      </c>
      <c r="AO33" s="17">
        <f t="shared" si="11"/>
        <v>0</v>
      </c>
      <c r="AP33" s="17">
        <f t="shared" si="12"/>
        <v>0</v>
      </c>
      <c r="AQ33" s="17">
        <f t="shared" si="13"/>
        <v>0</v>
      </c>
      <c r="AR33" s="17">
        <f t="shared" si="14"/>
        <v>0</v>
      </c>
    </row>
    <row r="34" spans="1:44" ht="12.75" customHeight="1">
      <c r="A34" s="69">
        <f t="shared" si="0"/>
        <v>3</v>
      </c>
      <c r="B34" s="69">
        <f t="shared" si="1"/>
        <v>1</v>
      </c>
      <c r="C34" s="147">
        <f t="shared" si="2"/>
        <v>33.921999999999997</v>
      </c>
      <c r="D34" s="69">
        <f t="shared" si="3"/>
        <v>1051</v>
      </c>
      <c r="E34" s="69">
        <f t="shared" si="4"/>
        <v>236</v>
      </c>
      <c r="F34" s="98" t="str">
        <f t="shared" ca="1" si="5"/>
        <v>01000000000000000000156393</v>
      </c>
      <c r="G34" s="139" t="b">
        <f t="shared" si="6"/>
        <v>0</v>
      </c>
      <c r="H34" s="140">
        <f t="shared" si="7"/>
        <v>24</v>
      </c>
      <c r="I34" s="130">
        <v>99496</v>
      </c>
      <c r="J34" s="141" t="s">
        <v>608</v>
      </c>
      <c r="K34" s="17" t="s">
        <v>609</v>
      </c>
      <c r="L34" s="17" t="s">
        <v>239</v>
      </c>
      <c r="M34" s="17">
        <v>277</v>
      </c>
      <c r="N34" s="142">
        <v>7.484</v>
      </c>
      <c r="O34" s="130">
        <v>22953</v>
      </c>
      <c r="P34" s="141" t="s">
        <v>608</v>
      </c>
      <c r="Q34" s="17" t="s">
        <v>448</v>
      </c>
      <c r="R34" s="17" t="s">
        <v>239</v>
      </c>
      <c r="S34" s="17">
        <v>538</v>
      </c>
      <c r="T34" s="142">
        <v>3.625</v>
      </c>
      <c r="U34" s="130">
        <v>24272</v>
      </c>
      <c r="V34" s="141" t="s">
        <v>608</v>
      </c>
      <c r="W34" s="17" t="s">
        <v>440</v>
      </c>
      <c r="X34" s="17" t="s">
        <v>239</v>
      </c>
      <c r="Y34" s="17">
        <v>236</v>
      </c>
      <c r="Z34" s="142">
        <v>22.812999999999999</v>
      </c>
      <c r="AA34" s="130" t="s">
        <v>1750</v>
      </c>
      <c r="AB34" s="141" t="s">
        <v>1690</v>
      </c>
      <c r="AC34" s="17" t="s">
        <v>1690</v>
      </c>
      <c r="AD34" s="17" t="s">
        <v>1690</v>
      </c>
      <c r="AE34" s="17">
        <v>9999</v>
      </c>
      <c r="AF34" s="142">
        <v>0</v>
      </c>
      <c r="AG34" s="130"/>
      <c r="AH34" s="143">
        <v>40</v>
      </c>
      <c r="AI34" s="144" t="e">
        <f>IF(N($AH34)&gt;0,VLOOKUP($AH34,Body!$A$4:$F$259,5,0),"")</f>
        <v>#REF!</v>
      </c>
      <c r="AJ34" s="145">
        <f>IF(N($AH34)&gt;0,VLOOKUP($AH34,Body!$A$4:$F$259,6,0),"")</f>
        <v>100</v>
      </c>
      <c r="AK34" s="144">
        <f>IF(N($AH34)&gt;0,VLOOKUP($AH34,Body!$A$4:$F$259,2,0),"")</f>
        <v>0.75</v>
      </c>
      <c r="AL34" s="146" t="str">
        <f t="shared" si="8"/>
        <v>HRODE KRUMSÍN - Drmola Michal</v>
      </c>
      <c r="AM34" s="142">
        <f t="shared" si="9"/>
        <v>33.921999999999997</v>
      </c>
      <c r="AN34" s="17">
        <f t="shared" si="10"/>
        <v>0</v>
      </c>
      <c r="AO34" s="17">
        <f t="shared" si="11"/>
        <v>0</v>
      </c>
      <c r="AP34" s="17">
        <f t="shared" si="12"/>
        <v>0</v>
      </c>
      <c r="AQ34" s="17">
        <f t="shared" si="13"/>
        <v>0</v>
      </c>
      <c r="AR34" s="17">
        <f t="shared" si="14"/>
        <v>0</v>
      </c>
    </row>
    <row r="35" spans="1:44" ht="12.75" customHeight="1">
      <c r="A35" s="69">
        <f t="shared" si="0"/>
        <v>3</v>
      </c>
      <c r="B35" s="69">
        <f t="shared" si="1"/>
        <v>1</v>
      </c>
      <c r="C35" s="147">
        <f t="shared" si="2"/>
        <v>26.503999999999998</v>
      </c>
      <c r="D35" s="69">
        <f t="shared" si="3"/>
        <v>1262</v>
      </c>
      <c r="E35" s="69">
        <f t="shared" si="4"/>
        <v>310</v>
      </c>
      <c r="F35" s="98" t="str">
        <f t="shared" ca="1" si="5"/>
        <v>01000000000000000000520091</v>
      </c>
      <c r="G35" s="139" t="b">
        <f t="shared" si="6"/>
        <v>0</v>
      </c>
      <c r="H35" s="140">
        <f t="shared" si="7"/>
        <v>25</v>
      </c>
      <c r="I35" s="130">
        <v>13047</v>
      </c>
      <c r="J35" s="141" t="s">
        <v>1396</v>
      </c>
      <c r="K35" s="17" t="s">
        <v>416</v>
      </c>
      <c r="L35" s="17" t="s">
        <v>515</v>
      </c>
      <c r="M35" s="17">
        <v>400</v>
      </c>
      <c r="N35" s="142">
        <v>8.5329999999999995</v>
      </c>
      <c r="O35" s="130">
        <v>97262</v>
      </c>
      <c r="P35" s="141" t="s">
        <v>1441</v>
      </c>
      <c r="Q35" s="17" t="s">
        <v>1240</v>
      </c>
      <c r="R35" s="17" t="s">
        <v>515</v>
      </c>
      <c r="S35" s="17">
        <v>552</v>
      </c>
      <c r="T35" s="142">
        <v>2.6880000000000002</v>
      </c>
      <c r="U35" s="130">
        <v>16018</v>
      </c>
      <c r="V35" s="141" t="s">
        <v>584</v>
      </c>
      <c r="W35" s="17" t="s">
        <v>492</v>
      </c>
      <c r="X35" s="17" t="s">
        <v>515</v>
      </c>
      <c r="Y35" s="17">
        <v>310</v>
      </c>
      <c r="Z35" s="142">
        <v>15.282999999999999</v>
      </c>
      <c r="AA35" s="130" t="s">
        <v>1750</v>
      </c>
      <c r="AB35" s="141" t="s">
        <v>1690</v>
      </c>
      <c r="AC35" s="17" t="s">
        <v>1690</v>
      </c>
      <c r="AD35" s="17" t="s">
        <v>1690</v>
      </c>
      <c r="AE35" s="17">
        <v>9999</v>
      </c>
      <c r="AF35" s="142">
        <v>0</v>
      </c>
      <c r="AG35" s="130"/>
      <c r="AH35" s="143">
        <f ca="1">IF(TYPE(VLOOKUP(H35,Nasazení!$A$3:$E$130,5,0))&lt;4,VLOOKUP(H35,Nasazení!$A$3:$E$130,5,0),0)</f>
        <v>13</v>
      </c>
      <c r="AI35" s="144" t="e">
        <f ca="1">IF(N($AH35)&gt;0,VLOOKUP($AH35,Body!$A$4:$F$259,5,0),"")</f>
        <v>#REF!</v>
      </c>
      <c r="AJ35" s="145">
        <f ca="1">IF(N($AH35)&gt;0,VLOOKUP($AH35,Body!$A$4:$F$259,6,0),"")</f>
        <v>100</v>
      </c>
      <c r="AK35" s="144">
        <f ca="1">IF(N($AH35)&gt;0,VLOOKUP($AH35,Body!$A$4:$F$259,2,0),"")</f>
        <v>2.375</v>
      </c>
      <c r="AL35" s="146" t="str">
        <f t="shared" si="8"/>
        <v>SOKOL Staříč - Šimíček Ladislav</v>
      </c>
      <c r="AM35" s="142">
        <f t="shared" si="9"/>
        <v>26.503999999999998</v>
      </c>
      <c r="AN35" s="17">
        <f t="shared" si="10"/>
        <v>0</v>
      </c>
      <c r="AO35" s="17">
        <f t="shared" si="11"/>
        <v>0</v>
      </c>
      <c r="AP35" s="17">
        <f t="shared" si="12"/>
        <v>0</v>
      </c>
      <c r="AQ35" s="17">
        <f t="shared" si="13"/>
        <v>0</v>
      </c>
      <c r="AR35" s="17">
        <f t="shared" si="14"/>
        <v>0</v>
      </c>
    </row>
    <row r="36" spans="1:44" ht="12.75" customHeight="1">
      <c r="A36" s="69">
        <f t="shared" si="0"/>
        <v>3</v>
      </c>
      <c r="B36" s="69">
        <f t="shared" si="1"/>
        <v>1</v>
      </c>
      <c r="C36" s="147">
        <f t="shared" si="2"/>
        <v>72.625</v>
      </c>
      <c r="D36" s="69">
        <f t="shared" si="3"/>
        <v>333</v>
      </c>
      <c r="E36" s="69">
        <f t="shared" si="4"/>
        <v>73</v>
      </c>
      <c r="F36" s="98" t="str">
        <f t="shared" ca="1" si="5"/>
        <v>01000000000000000000057475</v>
      </c>
      <c r="G36" s="139" t="b">
        <f t="shared" si="6"/>
        <v>0</v>
      </c>
      <c r="H36" s="140">
        <f t="shared" si="7"/>
        <v>26</v>
      </c>
      <c r="I36" s="130">
        <v>24240</v>
      </c>
      <c r="J36" s="141" t="s">
        <v>760</v>
      </c>
      <c r="K36" s="17" t="s">
        <v>532</v>
      </c>
      <c r="L36" s="17" t="s">
        <v>221</v>
      </c>
      <c r="M36" s="17">
        <v>167</v>
      </c>
      <c r="N36" s="142">
        <v>18.125</v>
      </c>
      <c r="O36" s="130">
        <v>11011</v>
      </c>
      <c r="P36" s="141" t="s">
        <v>853</v>
      </c>
      <c r="Q36" s="17" t="s">
        <v>422</v>
      </c>
      <c r="R36" s="17" t="s">
        <v>239</v>
      </c>
      <c r="S36" s="17">
        <v>73</v>
      </c>
      <c r="T36" s="142">
        <v>28.5</v>
      </c>
      <c r="U36" s="130">
        <v>16107</v>
      </c>
      <c r="V36" s="141" t="s">
        <v>825</v>
      </c>
      <c r="W36" s="17" t="s">
        <v>826</v>
      </c>
      <c r="X36" s="17" t="s">
        <v>239</v>
      </c>
      <c r="Y36" s="17">
        <v>93</v>
      </c>
      <c r="Z36" s="142">
        <v>26</v>
      </c>
      <c r="AA36" s="130" t="s">
        <v>1750</v>
      </c>
      <c r="AB36" s="141" t="s">
        <v>1690</v>
      </c>
      <c r="AC36" s="17" t="s">
        <v>1690</v>
      </c>
      <c r="AD36" s="17" t="s">
        <v>1690</v>
      </c>
      <c r="AE36" s="17">
        <v>9999</v>
      </c>
      <c r="AF36" s="142">
        <v>0</v>
      </c>
      <c r="AG36" s="130"/>
      <c r="AH36" s="143">
        <f ca="1">IF(TYPE(VLOOKUP(H36,Nasazení!$A$3:$E$130,5,0))&lt;4,VLOOKUP(H36,Nasazení!$A$3:$E$130,5,0),0)</f>
        <v>2</v>
      </c>
      <c r="AI36" s="144" t="e">
        <f ca="1">IF(N($AH36)&gt;0,VLOOKUP($AH36,Body!$A$4:$F$259,5,0),"")</f>
        <v>#REF!</v>
      </c>
      <c r="AJ36" s="145">
        <f ca="1">IF(N($AH36)&gt;0,VLOOKUP($AH36,Body!$A$4:$F$259,6,0),"")</f>
        <v>100</v>
      </c>
      <c r="AK36" s="144">
        <f ca="1">IF(N($AH36)&gt;0,VLOOKUP($AH36,Body!$A$4:$F$259,2,0),"")</f>
        <v>5</v>
      </c>
      <c r="AL36" s="146" t="str">
        <f t="shared" si="8"/>
        <v>Carreau Brno - Hodboď Pavel</v>
      </c>
      <c r="AM36" s="142">
        <f t="shared" si="9"/>
        <v>72.625</v>
      </c>
      <c r="AN36" s="17">
        <f t="shared" si="10"/>
        <v>0</v>
      </c>
      <c r="AO36" s="17">
        <f t="shared" si="11"/>
        <v>0</v>
      </c>
      <c r="AP36" s="17">
        <f t="shared" si="12"/>
        <v>0</v>
      </c>
      <c r="AQ36" s="17">
        <f t="shared" si="13"/>
        <v>0</v>
      </c>
      <c r="AR36" s="17">
        <f t="shared" si="14"/>
        <v>0</v>
      </c>
    </row>
    <row r="37" spans="1:44" ht="12.75" customHeight="1">
      <c r="A37" s="69">
        <f t="shared" si="0"/>
        <v>3</v>
      </c>
      <c r="B37" s="69">
        <f t="shared" si="1"/>
        <v>1</v>
      </c>
      <c r="C37" s="147">
        <f t="shared" si="2"/>
        <v>39.69</v>
      </c>
      <c r="D37" s="69">
        <f t="shared" si="3"/>
        <v>800</v>
      </c>
      <c r="E37" s="69">
        <f t="shared" si="4"/>
        <v>166</v>
      </c>
      <c r="F37" s="98" t="str">
        <f t="shared" ca="1" si="5"/>
        <v>01000000000000000000774596</v>
      </c>
      <c r="G37" s="139" t="b">
        <f t="shared" si="6"/>
        <v>0</v>
      </c>
      <c r="H37" s="140">
        <f t="shared" si="7"/>
        <v>27</v>
      </c>
      <c r="I37" s="130">
        <v>27062</v>
      </c>
      <c r="J37" s="141" t="s">
        <v>1075</v>
      </c>
      <c r="K37" s="17" t="s">
        <v>514</v>
      </c>
      <c r="L37" s="17" t="s">
        <v>704</v>
      </c>
      <c r="M37" s="17">
        <v>166</v>
      </c>
      <c r="N37" s="142">
        <v>21.157</v>
      </c>
      <c r="O37" s="130">
        <v>21007</v>
      </c>
      <c r="P37" s="141" t="s">
        <v>1238</v>
      </c>
      <c r="Q37" s="17" t="s">
        <v>688</v>
      </c>
      <c r="R37" s="17" t="s">
        <v>704</v>
      </c>
      <c r="S37" s="17">
        <v>376</v>
      </c>
      <c r="T37" s="142">
        <v>9.2509999999999994</v>
      </c>
      <c r="U37" s="130">
        <v>98304</v>
      </c>
      <c r="V37" s="141" t="s">
        <v>1302</v>
      </c>
      <c r="W37" s="17" t="s">
        <v>1303</v>
      </c>
      <c r="X37" s="17" t="s">
        <v>476</v>
      </c>
      <c r="Y37" s="17">
        <v>258</v>
      </c>
      <c r="Z37" s="142">
        <v>9.282</v>
      </c>
      <c r="AA37" s="130" t="s">
        <v>1750</v>
      </c>
      <c r="AB37" s="141" t="s">
        <v>1690</v>
      </c>
      <c r="AC37" s="17" t="s">
        <v>1690</v>
      </c>
      <c r="AD37" s="17" t="s">
        <v>1690</v>
      </c>
      <c r="AE37" s="17">
        <v>9999</v>
      </c>
      <c r="AF37" s="142">
        <v>0</v>
      </c>
      <c r="AG37" s="130"/>
      <c r="AH37" s="143">
        <v>40</v>
      </c>
      <c r="AI37" s="144" t="e">
        <f>IF(N($AH37)&gt;0,VLOOKUP($AH37,Body!$A$4:$F$259,5,0),"")</f>
        <v>#REF!</v>
      </c>
      <c r="AJ37" s="145">
        <f>IF(N($AH37)&gt;0,VLOOKUP($AH37,Body!$A$4:$F$259,6,0),"")</f>
        <v>100</v>
      </c>
      <c r="AK37" s="144">
        <f>IF(N($AH37)&gt;0,VLOOKUP($AH37,Body!$A$4:$F$259,2,0),"")</f>
        <v>0.75</v>
      </c>
      <c r="AL37" s="146" t="str">
        <f t="shared" si="8"/>
        <v>FENYX Adamov - Mrlina Karel</v>
      </c>
      <c r="AM37" s="142">
        <f t="shared" si="9"/>
        <v>39.69</v>
      </c>
      <c r="AN37" s="17">
        <f t="shared" si="10"/>
        <v>0</v>
      </c>
      <c r="AO37" s="17">
        <f t="shared" si="11"/>
        <v>0</v>
      </c>
      <c r="AP37" s="17">
        <f t="shared" si="12"/>
        <v>0</v>
      </c>
      <c r="AQ37" s="17">
        <f t="shared" si="13"/>
        <v>0</v>
      </c>
      <c r="AR37" s="17">
        <f t="shared" si="14"/>
        <v>0</v>
      </c>
    </row>
    <row r="38" spans="1:44" ht="12.75" customHeight="1">
      <c r="A38" s="69">
        <f t="shared" si="0"/>
        <v>3</v>
      </c>
      <c r="B38" s="69">
        <f t="shared" si="1"/>
        <v>1</v>
      </c>
      <c r="C38" s="147">
        <f t="shared" si="2"/>
        <v>55.131</v>
      </c>
      <c r="D38" s="69">
        <f t="shared" si="3"/>
        <v>618</v>
      </c>
      <c r="E38" s="69">
        <f t="shared" si="4"/>
        <v>122</v>
      </c>
      <c r="F38" s="98" t="str">
        <f t="shared" ca="1" si="5"/>
        <v>01000000000000000000464336</v>
      </c>
      <c r="G38" s="139" t="b">
        <f t="shared" si="6"/>
        <v>0</v>
      </c>
      <c r="H38" s="140">
        <f t="shared" si="7"/>
        <v>28</v>
      </c>
      <c r="I38" s="130">
        <v>15051</v>
      </c>
      <c r="J38" s="141" t="s">
        <v>793</v>
      </c>
      <c r="K38" s="17" t="s">
        <v>517</v>
      </c>
      <c r="L38" s="17" t="s">
        <v>156</v>
      </c>
      <c r="M38" s="17">
        <v>240</v>
      </c>
      <c r="N38" s="142">
        <v>17.064</v>
      </c>
      <c r="O38" s="130">
        <v>24317</v>
      </c>
      <c r="P38" s="141" t="s">
        <v>419</v>
      </c>
      <c r="Q38" s="17" t="s">
        <v>420</v>
      </c>
      <c r="R38" s="17" t="s">
        <v>156</v>
      </c>
      <c r="S38" s="17">
        <v>122</v>
      </c>
      <c r="T38" s="142">
        <v>21.626999999999999</v>
      </c>
      <c r="U38" s="130">
        <v>15050</v>
      </c>
      <c r="V38" s="141" t="s">
        <v>958</v>
      </c>
      <c r="W38" s="17" t="s">
        <v>485</v>
      </c>
      <c r="X38" s="17" t="s">
        <v>156</v>
      </c>
      <c r="Y38" s="17">
        <v>256</v>
      </c>
      <c r="Z38" s="142">
        <v>16.440000000000001</v>
      </c>
      <c r="AA38" s="130" t="s">
        <v>1750</v>
      </c>
      <c r="AB38" s="141" t="s">
        <v>1690</v>
      </c>
      <c r="AC38" s="17" t="s">
        <v>1690</v>
      </c>
      <c r="AD38" s="17" t="s">
        <v>1690</v>
      </c>
      <c r="AE38" s="17">
        <v>9999</v>
      </c>
      <c r="AF38" s="142">
        <v>0</v>
      </c>
      <c r="AG38" s="130"/>
      <c r="AH38" s="143">
        <f ca="1">IF(TYPE(VLOOKUP(H38,Nasazení!$A$3:$E$130,5,0))&lt;4,VLOOKUP(H38,Nasazení!$A$3:$E$130,5,0),0)</f>
        <v>45</v>
      </c>
      <c r="AI38" s="144" t="e">
        <f ca="1">IF(N($AH38)&gt;0,VLOOKUP($AH38,Body!$A$4:$F$259,5,0),"")</f>
        <v>#REF!</v>
      </c>
      <c r="AJ38" s="145">
        <f ca="1">IF(N($AH38)&gt;0,VLOOKUP($AH38,Body!$A$4:$F$259,6,0),"")</f>
        <v>0</v>
      </c>
      <c r="AK38" s="144">
        <f ca="1">IF(N($AH38)&gt;0,VLOOKUP($AH38,Body!$A$4:$F$259,2,0),"")</f>
        <v>0</v>
      </c>
      <c r="AL38" s="146" t="str">
        <f t="shared" si="8"/>
        <v>KLIP Litovel - Hudos Oldřich</v>
      </c>
      <c r="AM38" s="142">
        <f t="shared" si="9"/>
        <v>55.131</v>
      </c>
      <c r="AN38" s="17">
        <f t="shared" si="10"/>
        <v>0</v>
      </c>
      <c r="AO38" s="17">
        <f t="shared" si="11"/>
        <v>0</v>
      </c>
      <c r="AP38" s="17">
        <f t="shared" si="12"/>
        <v>0</v>
      </c>
      <c r="AQ38" s="17">
        <f t="shared" si="13"/>
        <v>0</v>
      </c>
      <c r="AR38" s="17">
        <f t="shared" si="14"/>
        <v>0</v>
      </c>
    </row>
    <row r="39" spans="1:44" ht="12.75" customHeight="1">
      <c r="A39" s="69">
        <f t="shared" si="0"/>
        <v>3</v>
      </c>
      <c r="B39" s="69">
        <f t="shared" si="1"/>
        <v>1</v>
      </c>
      <c r="C39" s="147">
        <f t="shared" si="2"/>
        <v>44.035000000000004</v>
      </c>
      <c r="D39" s="69">
        <f t="shared" si="3"/>
        <v>803</v>
      </c>
      <c r="E39" s="69">
        <f t="shared" si="4"/>
        <v>147</v>
      </c>
      <c r="F39" s="98" t="str">
        <f t="shared" ca="1" si="5"/>
        <v>01000000000000000000507883</v>
      </c>
      <c r="G39" s="139" t="b">
        <f t="shared" si="6"/>
        <v>0</v>
      </c>
      <c r="H39" s="140">
        <f t="shared" si="7"/>
        <v>29</v>
      </c>
      <c r="I39" s="130">
        <v>11044</v>
      </c>
      <c r="J39" s="141" t="s">
        <v>814</v>
      </c>
      <c r="K39" s="17" t="s">
        <v>445</v>
      </c>
      <c r="L39" s="17" t="s">
        <v>476</v>
      </c>
      <c r="M39" s="17">
        <v>147</v>
      </c>
      <c r="N39" s="142">
        <v>23.501999999999999</v>
      </c>
      <c r="O39" s="130">
        <v>11045</v>
      </c>
      <c r="P39" s="141" t="s">
        <v>954</v>
      </c>
      <c r="Q39" s="17" t="s">
        <v>482</v>
      </c>
      <c r="R39" s="17" t="s">
        <v>476</v>
      </c>
      <c r="S39" s="17">
        <v>226</v>
      </c>
      <c r="T39" s="142">
        <v>14.72</v>
      </c>
      <c r="U39" s="130">
        <v>18098</v>
      </c>
      <c r="V39" s="141" t="s">
        <v>1268</v>
      </c>
      <c r="W39" s="17" t="s">
        <v>532</v>
      </c>
      <c r="X39" s="17" t="s">
        <v>476</v>
      </c>
      <c r="Y39" s="17">
        <v>430</v>
      </c>
      <c r="Z39" s="142">
        <v>5.8129999999999997</v>
      </c>
      <c r="AA39" s="130" t="s">
        <v>1750</v>
      </c>
      <c r="AB39" s="141" t="s">
        <v>1690</v>
      </c>
      <c r="AC39" s="17" t="s">
        <v>1690</v>
      </c>
      <c r="AD39" s="17" t="s">
        <v>1690</v>
      </c>
      <c r="AE39" s="17">
        <v>9999</v>
      </c>
      <c r="AF39" s="142">
        <v>0</v>
      </c>
      <c r="AG39" s="130"/>
      <c r="AH39" s="143">
        <f ca="1">IF(TYPE(VLOOKUP(H39,Nasazení!$A$3:$E$130,5,0))&lt;4,VLOOKUP(H39,Nasazení!$A$3:$E$130,5,0),0)</f>
        <v>45</v>
      </c>
      <c r="AI39" s="144" t="e">
        <f ca="1">IF(N($AH39)&gt;0,VLOOKUP($AH39,Body!$A$4:$F$259,5,0),"")</f>
        <v>#REF!</v>
      </c>
      <c r="AJ39" s="145">
        <f ca="1">IF(N($AH39)&gt;0,VLOOKUP($AH39,Body!$A$4:$F$259,6,0),"")</f>
        <v>0</v>
      </c>
      <c r="AK39" s="144">
        <f ca="1">IF(N($AH39)&gt;0,VLOOKUP($AH39,Body!$A$4:$F$259,2,0),"")</f>
        <v>0</v>
      </c>
      <c r="AL39" s="146" t="str">
        <f t="shared" si="8"/>
        <v>1. Starobrněnský PK - Ilgner Vladimír</v>
      </c>
      <c r="AM39" s="142">
        <f t="shared" si="9"/>
        <v>44.035000000000004</v>
      </c>
      <c r="AN39" s="17">
        <f t="shared" si="10"/>
        <v>0</v>
      </c>
      <c r="AO39" s="17">
        <f t="shared" si="11"/>
        <v>0</v>
      </c>
      <c r="AP39" s="17">
        <f t="shared" si="12"/>
        <v>0</v>
      </c>
      <c r="AQ39" s="17">
        <f t="shared" si="13"/>
        <v>0</v>
      </c>
      <c r="AR39" s="17">
        <f t="shared" si="14"/>
        <v>0</v>
      </c>
    </row>
    <row r="40" spans="1:44" ht="12.75" customHeight="1">
      <c r="A40" s="69">
        <f t="shared" si="0"/>
        <v>3</v>
      </c>
      <c r="B40" s="69">
        <f t="shared" si="1"/>
        <v>1</v>
      </c>
      <c r="C40" s="147">
        <f t="shared" si="2"/>
        <v>20.676000000000002</v>
      </c>
      <c r="D40" s="69">
        <f t="shared" si="3"/>
        <v>1194</v>
      </c>
      <c r="E40" s="69">
        <f t="shared" si="4"/>
        <v>352</v>
      </c>
      <c r="F40" s="98" t="str">
        <f t="shared" ca="1" si="5"/>
        <v>01000000000000000000659365</v>
      </c>
      <c r="G40" s="139" t="b">
        <f t="shared" si="6"/>
        <v>0</v>
      </c>
      <c r="H40" s="140">
        <f t="shared" si="7"/>
        <v>30</v>
      </c>
      <c r="I40" s="130">
        <v>21072</v>
      </c>
      <c r="J40" s="141" t="s">
        <v>975</v>
      </c>
      <c r="K40" s="17" t="s">
        <v>976</v>
      </c>
      <c r="L40" s="17" t="s">
        <v>476</v>
      </c>
      <c r="M40" s="17">
        <v>352</v>
      </c>
      <c r="N40" s="142">
        <v>9.0950000000000006</v>
      </c>
      <c r="O40" s="130">
        <v>22180</v>
      </c>
      <c r="P40" s="141" t="s">
        <v>1449</v>
      </c>
      <c r="Q40" s="17" t="s">
        <v>599</v>
      </c>
      <c r="R40" s="17" t="s">
        <v>493</v>
      </c>
      <c r="S40" s="17">
        <v>452</v>
      </c>
      <c r="T40" s="142">
        <v>5.22</v>
      </c>
      <c r="U40" s="130">
        <v>21061</v>
      </c>
      <c r="V40" s="141" t="s">
        <v>621</v>
      </c>
      <c r="W40" s="17" t="s">
        <v>622</v>
      </c>
      <c r="X40" s="17" t="s">
        <v>493</v>
      </c>
      <c r="Y40" s="17">
        <v>390</v>
      </c>
      <c r="Z40" s="142">
        <v>6.3609999999999998</v>
      </c>
      <c r="AA40" s="130" t="s">
        <v>1750</v>
      </c>
      <c r="AB40" s="141" t="s">
        <v>1690</v>
      </c>
      <c r="AC40" s="17" t="s">
        <v>1690</v>
      </c>
      <c r="AD40" s="17" t="s">
        <v>1690</v>
      </c>
      <c r="AE40" s="17">
        <v>9999</v>
      </c>
      <c r="AF40" s="142">
        <v>0</v>
      </c>
      <c r="AG40" s="130"/>
      <c r="AH40" s="143">
        <v>17</v>
      </c>
      <c r="AI40" s="144" t="e">
        <f>IF(N($AH40)&gt;0,VLOOKUP($AH40,Body!$A$4:$F$259,5,0),"")</f>
        <v>#REF!</v>
      </c>
      <c r="AJ40" s="145">
        <f>IF(N($AH40)&gt;0,VLOOKUP($AH40,Body!$A$4:$F$259,6,0),"")</f>
        <v>100</v>
      </c>
      <c r="AK40" s="144">
        <f>IF(N($AH40)&gt;0,VLOOKUP($AH40,Body!$A$4:$F$259,2,0),"")</f>
        <v>1.9375</v>
      </c>
      <c r="AL40" s="146" t="str">
        <f t="shared" si="8"/>
        <v>1. Starobrněnský PK - Kutra Oldřích</v>
      </c>
      <c r="AM40" s="142">
        <f t="shared" si="9"/>
        <v>20.676000000000002</v>
      </c>
      <c r="AN40" s="17">
        <f t="shared" si="10"/>
        <v>0</v>
      </c>
      <c r="AO40" s="17">
        <f t="shared" si="11"/>
        <v>0</v>
      </c>
      <c r="AP40" s="17">
        <f t="shared" si="12"/>
        <v>0</v>
      </c>
      <c r="AQ40" s="17">
        <f t="shared" si="13"/>
        <v>0</v>
      </c>
      <c r="AR40" s="17">
        <f t="shared" si="14"/>
        <v>0</v>
      </c>
    </row>
    <row r="41" spans="1:44" ht="12.75" customHeight="1">
      <c r="A41" s="69">
        <f t="shared" si="0"/>
        <v>3</v>
      </c>
      <c r="B41" s="69">
        <f t="shared" si="1"/>
        <v>1</v>
      </c>
      <c r="C41" s="147">
        <f t="shared" si="2"/>
        <v>8.907</v>
      </c>
      <c r="D41" s="69">
        <f t="shared" si="3"/>
        <v>1749</v>
      </c>
      <c r="E41" s="69">
        <f t="shared" si="4"/>
        <v>426</v>
      </c>
      <c r="F41" s="98" t="str">
        <f t="shared" ca="1" si="5"/>
        <v>01000000000000000000931818</v>
      </c>
      <c r="G41" s="139" t="b">
        <f t="shared" si="6"/>
        <v>0</v>
      </c>
      <c r="H41" s="140">
        <f t="shared" si="7"/>
        <v>31</v>
      </c>
      <c r="I41" s="130">
        <v>96229</v>
      </c>
      <c r="J41" s="141" t="s">
        <v>1149</v>
      </c>
      <c r="K41" s="17" t="s">
        <v>445</v>
      </c>
      <c r="L41" s="17" t="s">
        <v>515</v>
      </c>
      <c r="M41" s="17">
        <v>426</v>
      </c>
      <c r="N41" s="142">
        <v>6.657</v>
      </c>
      <c r="O41" s="130">
        <v>96225</v>
      </c>
      <c r="P41" s="141" t="s">
        <v>512</v>
      </c>
      <c r="Q41" s="17" t="s">
        <v>514</v>
      </c>
      <c r="R41" s="17" t="s">
        <v>515</v>
      </c>
      <c r="S41" s="17">
        <v>564</v>
      </c>
      <c r="T41" s="142">
        <v>2.25</v>
      </c>
      <c r="U41" s="130">
        <v>26039</v>
      </c>
      <c r="V41" s="141" t="s">
        <v>933</v>
      </c>
      <c r="W41" s="17" t="s">
        <v>424</v>
      </c>
      <c r="X41" s="17" t="s">
        <v>515</v>
      </c>
      <c r="Y41" s="17">
        <v>759</v>
      </c>
      <c r="Z41" s="142">
        <v>0</v>
      </c>
      <c r="AA41" s="130" t="s">
        <v>1750</v>
      </c>
      <c r="AB41" s="141" t="s">
        <v>1690</v>
      </c>
      <c r="AC41" s="17" t="s">
        <v>1690</v>
      </c>
      <c r="AD41" s="17" t="s">
        <v>1690</v>
      </c>
      <c r="AE41" s="17">
        <v>9999</v>
      </c>
      <c r="AF41" s="142">
        <v>0</v>
      </c>
      <c r="AG41" s="130"/>
      <c r="AH41" s="143">
        <v>32</v>
      </c>
      <c r="AI41" s="144" t="e">
        <f>IF(N($AH41)&gt;0,VLOOKUP($AH41,Body!$A$4:$F$259,5,0),"")</f>
        <v>#REF!</v>
      </c>
      <c r="AJ41" s="145">
        <f>IF(N($AH41)&gt;0,VLOOKUP($AH41,Body!$A$4:$F$259,6,0),"")</f>
        <v>100</v>
      </c>
      <c r="AK41" s="144">
        <f>IF(N($AH41)&gt;0,VLOOKUP($AH41,Body!$A$4:$F$259,2,0),"")</f>
        <v>1</v>
      </c>
      <c r="AL41" s="146" t="str">
        <f t="shared" si="8"/>
        <v>SOKOL Staříč - Plesník Vladimír</v>
      </c>
      <c r="AM41" s="142">
        <f t="shared" si="9"/>
        <v>8.907</v>
      </c>
      <c r="AN41" s="17">
        <f t="shared" si="10"/>
        <v>0</v>
      </c>
      <c r="AO41" s="17">
        <f t="shared" si="11"/>
        <v>0</v>
      </c>
      <c r="AP41" s="17">
        <f t="shared" si="12"/>
        <v>0</v>
      </c>
      <c r="AQ41" s="17">
        <f t="shared" si="13"/>
        <v>0</v>
      </c>
      <c r="AR41" s="17">
        <f t="shared" si="14"/>
        <v>0</v>
      </c>
    </row>
    <row r="42" spans="1:44" ht="12.75" customHeight="1">
      <c r="A42" s="69">
        <f t="shared" si="0"/>
        <v>3</v>
      </c>
      <c r="B42" s="69">
        <f t="shared" si="1"/>
        <v>1</v>
      </c>
      <c r="C42" s="147">
        <f t="shared" si="2"/>
        <v>34.936999999999998</v>
      </c>
      <c r="D42" s="69">
        <f t="shared" si="3"/>
        <v>935</v>
      </c>
      <c r="E42" s="69">
        <f t="shared" si="4"/>
        <v>238</v>
      </c>
      <c r="F42" s="98" t="str">
        <f t="shared" ca="1" si="5"/>
        <v>01000000000000000000061556</v>
      </c>
      <c r="G42" s="139" t="b">
        <f t="shared" si="6"/>
        <v>0</v>
      </c>
      <c r="H42" s="140">
        <f t="shared" si="7"/>
        <v>32</v>
      </c>
      <c r="I42" s="130">
        <v>19034</v>
      </c>
      <c r="J42" s="141" t="s">
        <v>1311</v>
      </c>
      <c r="K42" s="17" t="s">
        <v>1312</v>
      </c>
      <c r="L42" s="17" t="s">
        <v>199</v>
      </c>
      <c r="M42" s="17">
        <v>238</v>
      </c>
      <c r="N42" s="142">
        <v>14.557</v>
      </c>
      <c r="O42" s="130">
        <v>18065</v>
      </c>
      <c r="P42" s="141" t="s">
        <v>1311</v>
      </c>
      <c r="Q42" s="17" t="s">
        <v>539</v>
      </c>
      <c r="R42" s="17" t="s">
        <v>199</v>
      </c>
      <c r="S42" s="17">
        <v>241</v>
      </c>
      <c r="T42" s="142">
        <v>14.815</v>
      </c>
      <c r="U42" s="130">
        <v>22150</v>
      </c>
      <c r="V42" s="141" t="s">
        <v>931</v>
      </c>
      <c r="W42" s="17" t="s">
        <v>422</v>
      </c>
      <c r="X42" s="17" t="s">
        <v>765</v>
      </c>
      <c r="Y42" s="17">
        <v>456</v>
      </c>
      <c r="Z42" s="142">
        <v>5.5650000000000004</v>
      </c>
      <c r="AA42" s="130" t="s">
        <v>1750</v>
      </c>
      <c r="AB42" s="141" t="s">
        <v>1690</v>
      </c>
      <c r="AC42" s="17" t="s">
        <v>1690</v>
      </c>
      <c r="AD42" s="17" t="s">
        <v>1690</v>
      </c>
      <c r="AE42" s="17">
        <v>9999</v>
      </c>
      <c r="AF42" s="142">
        <v>0</v>
      </c>
      <c r="AG42" s="130"/>
      <c r="AH42" s="143">
        <v>18</v>
      </c>
      <c r="AI42" s="144" t="e">
        <f>IF(N($AH42)&gt;0,VLOOKUP($AH42,Body!$A$4:$F$259,5,0),"")</f>
        <v>#REF!</v>
      </c>
      <c r="AJ42" s="145">
        <f>IF(N($AH42)&gt;0,VLOOKUP($AH42,Body!$A$4:$F$259,6,0),"")</f>
        <v>100</v>
      </c>
      <c r="AK42" s="144">
        <f>IF(N($AH42)&gt;0,VLOOKUP($AH42,Body!$A$4:$F$259,2,0),"")</f>
        <v>1.875</v>
      </c>
      <c r="AL42" s="146" t="str">
        <f t="shared" si="8"/>
        <v>PK Polouvsí - Valošek Hugo</v>
      </c>
      <c r="AM42" s="142">
        <f t="shared" si="9"/>
        <v>34.936999999999998</v>
      </c>
      <c r="AN42" s="17">
        <f t="shared" si="10"/>
        <v>0</v>
      </c>
      <c r="AO42" s="17">
        <f t="shared" si="11"/>
        <v>0</v>
      </c>
      <c r="AP42" s="17">
        <f t="shared" si="12"/>
        <v>0</v>
      </c>
      <c r="AQ42" s="17">
        <f t="shared" si="13"/>
        <v>0</v>
      </c>
      <c r="AR42" s="17">
        <f t="shared" si="14"/>
        <v>0</v>
      </c>
    </row>
    <row r="43" spans="1:44" ht="12.75" customHeight="1">
      <c r="A43" s="69">
        <f t="shared" si="0"/>
        <v>3</v>
      </c>
      <c r="B43" s="69">
        <f t="shared" si="1"/>
        <v>1</v>
      </c>
      <c r="C43" s="147">
        <f t="shared" si="2"/>
        <v>42.377000000000002</v>
      </c>
      <c r="D43" s="69">
        <f t="shared" si="3"/>
        <v>928</v>
      </c>
      <c r="E43" s="69">
        <f t="shared" si="4"/>
        <v>265</v>
      </c>
      <c r="F43" s="98" t="str">
        <f t="shared" ca="1" si="5"/>
        <v>01000000000000000000509925</v>
      </c>
      <c r="G43" s="139" t="b">
        <f t="shared" si="6"/>
        <v>0</v>
      </c>
      <c r="H43" s="140">
        <f t="shared" si="7"/>
        <v>33</v>
      </c>
      <c r="I43" s="130">
        <v>22106</v>
      </c>
      <c r="J43" s="141" t="s">
        <v>585</v>
      </c>
      <c r="K43" s="17" t="s">
        <v>586</v>
      </c>
      <c r="L43" s="17" t="s">
        <v>235</v>
      </c>
      <c r="M43" s="17">
        <v>265</v>
      </c>
      <c r="N43" s="142">
        <v>17.376000000000001</v>
      </c>
      <c r="O43" s="130">
        <v>21050</v>
      </c>
      <c r="P43" s="141" t="s">
        <v>1417</v>
      </c>
      <c r="Q43" s="17" t="s">
        <v>609</v>
      </c>
      <c r="R43" s="17" t="s">
        <v>235</v>
      </c>
      <c r="S43" s="17">
        <v>285</v>
      </c>
      <c r="T43" s="142">
        <v>14.938000000000001</v>
      </c>
      <c r="U43" s="130">
        <v>21049</v>
      </c>
      <c r="V43" s="141" t="s">
        <v>1123</v>
      </c>
      <c r="W43" s="17" t="s">
        <v>826</v>
      </c>
      <c r="X43" s="17" t="s">
        <v>235</v>
      </c>
      <c r="Y43" s="17">
        <v>378</v>
      </c>
      <c r="Z43" s="142">
        <v>10.063000000000001</v>
      </c>
      <c r="AA43" s="130" t="s">
        <v>1750</v>
      </c>
      <c r="AB43" s="141" t="s">
        <v>1690</v>
      </c>
      <c r="AC43" s="17" t="s">
        <v>1690</v>
      </c>
      <c r="AD43" s="17" t="s">
        <v>1690</v>
      </c>
      <c r="AE43" s="17">
        <v>9999</v>
      </c>
      <c r="AF43" s="142">
        <v>0</v>
      </c>
      <c r="AG43" s="130"/>
      <c r="AH43" s="143">
        <v>40</v>
      </c>
      <c r="AI43" s="144" t="e">
        <f>IF(N($AH43)&gt;0,VLOOKUP($AH43,Body!$A$4:$F$259,5,0),"")</f>
        <v>#REF!</v>
      </c>
      <c r="AJ43" s="145">
        <f>IF(N($AH43)&gt;0,VLOOKUP($AH43,Body!$A$4:$F$259,6,0),"")</f>
        <v>100</v>
      </c>
      <c r="AK43" s="144">
        <f>IF(N($AH43)&gt;0,VLOOKUP($AH43,Body!$A$4:$F$259,2,0),"")</f>
        <v>0.75</v>
      </c>
      <c r="AL43" s="146" t="str">
        <f t="shared" si="8"/>
        <v>SLOPE Brno - Daněk Patrik</v>
      </c>
      <c r="AM43" s="142">
        <f t="shared" si="9"/>
        <v>42.377000000000002</v>
      </c>
      <c r="AN43" s="17">
        <f t="shared" si="10"/>
        <v>0</v>
      </c>
      <c r="AO43" s="17">
        <f t="shared" si="11"/>
        <v>0</v>
      </c>
      <c r="AP43" s="17">
        <f t="shared" si="12"/>
        <v>0</v>
      </c>
      <c r="AQ43" s="17">
        <f t="shared" si="13"/>
        <v>0</v>
      </c>
      <c r="AR43" s="17">
        <f t="shared" si="14"/>
        <v>0</v>
      </c>
    </row>
    <row r="44" spans="1:44" ht="12.75" customHeight="1">
      <c r="A44" s="69">
        <f t="shared" si="0"/>
        <v>3</v>
      </c>
      <c r="B44" s="69">
        <f t="shared" si="1"/>
        <v>1</v>
      </c>
      <c r="C44" s="147">
        <f t="shared" si="2"/>
        <v>57.182999999999993</v>
      </c>
      <c r="D44" s="69">
        <f t="shared" si="3"/>
        <v>691</v>
      </c>
      <c r="E44" s="69">
        <f t="shared" si="4"/>
        <v>222</v>
      </c>
      <c r="F44" s="98" t="str">
        <f t="shared" ca="1" si="5"/>
        <v>01000000000000000000804726</v>
      </c>
      <c r="G44" s="139" t="b">
        <f t="shared" si="6"/>
        <v>0</v>
      </c>
      <c r="H44" s="140">
        <f t="shared" si="7"/>
        <v>34</v>
      </c>
      <c r="I44" s="130">
        <v>21036</v>
      </c>
      <c r="J44" s="141" t="s">
        <v>1353</v>
      </c>
      <c r="K44" s="17" t="s">
        <v>424</v>
      </c>
      <c r="L44" s="17" t="s">
        <v>199</v>
      </c>
      <c r="M44" s="17">
        <v>222</v>
      </c>
      <c r="N44" s="142">
        <v>20.062999999999999</v>
      </c>
      <c r="O44" s="130">
        <v>14021</v>
      </c>
      <c r="P44" s="141" t="s">
        <v>701</v>
      </c>
      <c r="Q44" s="17" t="s">
        <v>702</v>
      </c>
      <c r="R44" s="17" t="s">
        <v>199</v>
      </c>
      <c r="S44" s="17">
        <v>239</v>
      </c>
      <c r="T44" s="142">
        <v>20.189</v>
      </c>
      <c r="U44" s="130">
        <v>20578</v>
      </c>
      <c r="V44" s="141" t="s">
        <v>893</v>
      </c>
      <c r="W44" s="17" t="s">
        <v>499</v>
      </c>
      <c r="X44" s="17" t="s">
        <v>199</v>
      </c>
      <c r="Y44" s="17">
        <v>230</v>
      </c>
      <c r="Z44" s="142">
        <v>16.931000000000001</v>
      </c>
      <c r="AA44" s="130" t="s">
        <v>1750</v>
      </c>
      <c r="AB44" s="141" t="s">
        <v>1690</v>
      </c>
      <c r="AC44" s="17" t="s">
        <v>1690</v>
      </c>
      <c r="AD44" s="17" t="s">
        <v>1690</v>
      </c>
      <c r="AE44" s="17">
        <v>9999</v>
      </c>
      <c r="AF44" s="142">
        <v>0</v>
      </c>
      <c r="AG44" s="130"/>
      <c r="AH44" s="143">
        <v>21</v>
      </c>
      <c r="AI44" s="144" t="e">
        <f>IF(N($AH44)&gt;0,VLOOKUP($AH44,Body!$A$4:$F$259,5,0),"")</f>
        <v>#REF!</v>
      </c>
      <c r="AJ44" s="145">
        <f>IF(N($AH44)&gt;0,VLOOKUP($AH44,Body!$A$4:$F$259,6,0),"")</f>
        <v>100</v>
      </c>
      <c r="AK44" s="144">
        <f>IF(N($AH44)&gt;0,VLOOKUP($AH44,Body!$A$4:$F$259,2,0),"")</f>
        <v>1.6875</v>
      </c>
      <c r="AL44" s="146" t="str">
        <f t="shared" si="8"/>
        <v>PK Polouvsí - Vrzal Martin</v>
      </c>
      <c r="AM44" s="142">
        <f t="shared" si="9"/>
        <v>57.182999999999993</v>
      </c>
      <c r="AN44" s="17">
        <f t="shared" si="10"/>
        <v>0</v>
      </c>
      <c r="AO44" s="17">
        <f t="shared" si="11"/>
        <v>0</v>
      </c>
      <c r="AP44" s="17">
        <f t="shared" si="12"/>
        <v>0</v>
      </c>
      <c r="AQ44" s="17">
        <f t="shared" si="13"/>
        <v>0</v>
      </c>
      <c r="AR44" s="17">
        <f t="shared" si="14"/>
        <v>0</v>
      </c>
    </row>
    <row r="45" spans="1:44" ht="12.75" customHeight="1">
      <c r="A45" s="69">
        <f t="shared" si="0"/>
        <v>3</v>
      </c>
      <c r="B45" s="69">
        <f t="shared" si="1"/>
        <v>1</v>
      </c>
      <c r="C45" s="147">
        <f t="shared" si="2"/>
        <v>45.923999999999999</v>
      </c>
      <c r="D45" s="69">
        <f t="shared" si="3"/>
        <v>720</v>
      </c>
      <c r="E45" s="69">
        <f t="shared" si="4"/>
        <v>219</v>
      </c>
      <c r="F45" s="98" t="str">
        <f t="shared" ca="1" si="5"/>
        <v>01000000000000000000313869</v>
      </c>
      <c r="G45" s="139" t="b">
        <f t="shared" si="6"/>
        <v>0</v>
      </c>
      <c r="H45" s="140">
        <f t="shared" si="7"/>
        <v>35</v>
      </c>
      <c r="I45" s="130">
        <v>11049</v>
      </c>
      <c r="J45" s="141" t="s">
        <v>525</v>
      </c>
      <c r="K45" s="17" t="s">
        <v>526</v>
      </c>
      <c r="L45" s="17" t="s">
        <v>229</v>
      </c>
      <c r="M45" s="17">
        <v>221</v>
      </c>
      <c r="N45" s="142">
        <v>16.952999999999999</v>
      </c>
      <c r="O45" s="130">
        <v>18081</v>
      </c>
      <c r="P45" s="141" t="s">
        <v>426</v>
      </c>
      <c r="Q45" s="17" t="s">
        <v>427</v>
      </c>
      <c r="R45" s="17" t="s">
        <v>193</v>
      </c>
      <c r="S45" s="17">
        <v>219</v>
      </c>
      <c r="T45" s="142">
        <v>16.001000000000001</v>
      </c>
      <c r="U45" s="130">
        <v>18080</v>
      </c>
      <c r="V45" s="141" t="s">
        <v>428</v>
      </c>
      <c r="W45" s="17" t="s">
        <v>429</v>
      </c>
      <c r="X45" s="17" t="s">
        <v>193</v>
      </c>
      <c r="Y45" s="17">
        <v>280</v>
      </c>
      <c r="Z45" s="142">
        <v>12.97</v>
      </c>
      <c r="AA45" s="130" t="s">
        <v>1750</v>
      </c>
      <c r="AB45" s="141" t="s">
        <v>1690</v>
      </c>
      <c r="AC45" s="17" t="s">
        <v>1690</v>
      </c>
      <c r="AD45" s="17" t="s">
        <v>1690</v>
      </c>
      <c r="AE45" s="17">
        <v>9999</v>
      </c>
      <c r="AF45" s="142">
        <v>0</v>
      </c>
      <c r="AG45" s="130"/>
      <c r="AH45" s="143">
        <v>40</v>
      </c>
      <c r="AI45" s="144" t="e">
        <f>IF(N($AH45)&gt;0,VLOOKUP($AH45,Body!$A$4:$F$259,5,0),"")</f>
        <v>#REF!</v>
      </c>
      <c r="AJ45" s="145">
        <f>IF(N($AH45)&gt;0,VLOOKUP($AH45,Body!$A$4:$F$259,6,0),"")</f>
        <v>100</v>
      </c>
      <c r="AK45" s="144">
        <f>IF(N($AH45)&gt;0,VLOOKUP($AH45,Body!$A$4:$F$259,2,0),"")</f>
        <v>0.75</v>
      </c>
      <c r="AL45" s="146" t="str">
        <f t="shared" si="8"/>
        <v>1. KPK Vrchlabí - Bucek Zdeněk</v>
      </c>
      <c r="AM45" s="142">
        <f t="shared" si="9"/>
        <v>45.923999999999999</v>
      </c>
      <c r="AN45" s="17">
        <f t="shared" si="10"/>
        <v>0</v>
      </c>
      <c r="AO45" s="17">
        <f t="shared" si="11"/>
        <v>0</v>
      </c>
      <c r="AP45" s="17">
        <f t="shared" si="12"/>
        <v>0</v>
      </c>
      <c r="AQ45" s="17">
        <f t="shared" si="13"/>
        <v>0</v>
      </c>
      <c r="AR45" s="17">
        <f t="shared" si="14"/>
        <v>0</v>
      </c>
    </row>
    <row r="46" spans="1:44" ht="12.75" customHeight="1">
      <c r="A46" s="69">
        <f t="shared" si="0"/>
        <v>3</v>
      </c>
      <c r="B46" s="69">
        <f t="shared" si="1"/>
        <v>1</v>
      </c>
      <c r="C46" s="147">
        <f t="shared" si="2"/>
        <v>42.127000000000002</v>
      </c>
      <c r="D46" s="69">
        <f t="shared" si="3"/>
        <v>675</v>
      </c>
      <c r="E46" s="69">
        <f t="shared" si="4"/>
        <v>59</v>
      </c>
      <c r="F46" s="98" t="str">
        <f t="shared" ca="1" si="5"/>
        <v>01000000000000000000873145</v>
      </c>
      <c r="G46" s="139" t="b">
        <f t="shared" si="6"/>
        <v>0</v>
      </c>
      <c r="H46" s="140">
        <f t="shared" si="7"/>
        <v>36</v>
      </c>
      <c r="I46" s="130">
        <v>98477</v>
      </c>
      <c r="J46" s="141" t="s">
        <v>741</v>
      </c>
      <c r="K46" s="17" t="s">
        <v>532</v>
      </c>
      <c r="L46" s="17" t="s">
        <v>493</v>
      </c>
      <c r="M46" s="17">
        <v>348</v>
      </c>
      <c r="N46" s="142">
        <v>3.9689999999999999</v>
      </c>
      <c r="O46" s="130">
        <v>24310</v>
      </c>
      <c r="P46" s="141" t="s">
        <v>1095</v>
      </c>
      <c r="Q46" s="17" t="s">
        <v>1001</v>
      </c>
      <c r="R46" s="17" t="s">
        <v>493</v>
      </c>
      <c r="S46" s="17">
        <v>59</v>
      </c>
      <c r="T46" s="142">
        <v>26.189</v>
      </c>
      <c r="U46" s="130">
        <v>96152</v>
      </c>
      <c r="V46" s="141" t="s">
        <v>1267</v>
      </c>
      <c r="W46" s="17" t="s">
        <v>441</v>
      </c>
      <c r="X46" s="17" t="s">
        <v>493</v>
      </c>
      <c r="Y46" s="17">
        <v>268</v>
      </c>
      <c r="Z46" s="142">
        <v>11.968999999999999</v>
      </c>
      <c r="AA46" s="130" t="s">
        <v>1750</v>
      </c>
      <c r="AB46" s="141" t="s">
        <v>1690</v>
      </c>
      <c r="AC46" s="17" t="s">
        <v>1690</v>
      </c>
      <c r="AD46" s="17" t="s">
        <v>1690</v>
      </c>
      <c r="AE46" s="17">
        <v>9999</v>
      </c>
      <c r="AF46" s="142">
        <v>0</v>
      </c>
      <c r="AG46" s="130"/>
      <c r="AH46" s="143">
        <f ca="1">IF(TYPE(VLOOKUP(H46,Nasazení!$A$3:$E$130,5,0))&lt;4,VLOOKUP(H46,Nasazení!$A$3:$E$130,5,0),0)</f>
        <v>3</v>
      </c>
      <c r="AI46" s="144" t="e">
        <f ca="1">IF(N($AH46)&gt;0,VLOOKUP($AH46,Body!$A$4:$F$259,5,0),"")</f>
        <v>#REF!</v>
      </c>
      <c r="AJ46" s="145">
        <f ca="1">IF(N($AH46)&gt;0,VLOOKUP($AH46,Body!$A$4:$F$259,6,0),"")</f>
        <v>100</v>
      </c>
      <c r="AK46" s="144">
        <f ca="1">IF(N($AH46)&gt;0,VLOOKUP($AH46,Body!$A$4:$F$259,2,0),"")</f>
        <v>4.5</v>
      </c>
      <c r="AL46" s="146" t="str">
        <f t="shared" si="8"/>
        <v>P.C.B.D. - Hejl ml. Pavel</v>
      </c>
      <c r="AM46" s="142">
        <f t="shared" si="9"/>
        <v>42.127000000000002</v>
      </c>
      <c r="AN46" s="17">
        <f t="shared" si="10"/>
        <v>0</v>
      </c>
      <c r="AO46" s="17">
        <f t="shared" si="11"/>
        <v>0</v>
      </c>
      <c r="AP46" s="17">
        <f t="shared" si="12"/>
        <v>0</v>
      </c>
      <c r="AQ46" s="17">
        <f t="shared" si="13"/>
        <v>0</v>
      </c>
      <c r="AR46" s="17">
        <f t="shared" si="14"/>
        <v>0</v>
      </c>
    </row>
    <row r="47" spans="1:44" ht="12.75" customHeight="1">
      <c r="A47" s="69">
        <f t="shared" si="0"/>
        <v>3</v>
      </c>
      <c r="B47" s="69">
        <f t="shared" si="1"/>
        <v>1</v>
      </c>
      <c r="C47" s="147">
        <f t="shared" si="2"/>
        <v>5.282</v>
      </c>
      <c r="D47" s="69">
        <f t="shared" si="3"/>
        <v>1967</v>
      </c>
      <c r="E47" s="69">
        <f t="shared" si="4"/>
        <v>485</v>
      </c>
      <c r="F47" s="98" t="str">
        <f t="shared" ca="1" si="5"/>
        <v>01000000000000000000103173</v>
      </c>
      <c r="G47" s="139" t="b">
        <f t="shared" si="6"/>
        <v>0</v>
      </c>
      <c r="H47" s="140">
        <f t="shared" si="7"/>
        <v>37</v>
      </c>
      <c r="I47" s="130">
        <v>20506</v>
      </c>
      <c r="J47" s="141" t="s">
        <v>1163</v>
      </c>
      <c r="K47" s="17" t="s">
        <v>526</v>
      </c>
      <c r="L47" s="17" t="s">
        <v>156</v>
      </c>
      <c r="M47" s="17">
        <v>586</v>
      </c>
      <c r="N47" s="142">
        <v>1.4379999999999999</v>
      </c>
      <c r="O47" s="130">
        <v>19021</v>
      </c>
      <c r="P47" s="141" t="s">
        <v>567</v>
      </c>
      <c r="Q47" s="17" t="s">
        <v>568</v>
      </c>
      <c r="R47" s="17" t="s">
        <v>239</v>
      </c>
      <c r="S47" s="17">
        <v>485</v>
      </c>
      <c r="T47" s="142">
        <v>3.8439999999999999</v>
      </c>
      <c r="U47" s="130">
        <v>23244</v>
      </c>
      <c r="V47" s="141" t="s">
        <v>1398</v>
      </c>
      <c r="W47" s="17" t="s">
        <v>422</v>
      </c>
      <c r="X47" s="17" t="s">
        <v>156</v>
      </c>
      <c r="Y47" s="17">
        <v>896</v>
      </c>
      <c r="Z47" s="142">
        <v>0</v>
      </c>
      <c r="AA47" s="130" t="s">
        <v>1750</v>
      </c>
      <c r="AB47" s="141" t="s">
        <v>1690</v>
      </c>
      <c r="AC47" s="17" t="s">
        <v>1690</v>
      </c>
      <c r="AD47" s="17" t="s">
        <v>1690</v>
      </c>
      <c r="AE47" s="17">
        <v>9999</v>
      </c>
      <c r="AF47" s="142">
        <v>0</v>
      </c>
      <c r="AG47" s="130"/>
      <c r="AH47" s="143">
        <v>22</v>
      </c>
      <c r="AI47" s="144" t="e">
        <f>IF(N($AH47)&gt;0,VLOOKUP($AH47,Body!$A$4:$F$259,5,0),"")</f>
        <v>#REF!</v>
      </c>
      <c r="AJ47" s="145">
        <f>IF(N($AH47)&gt;0,VLOOKUP($AH47,Body!$A$4:$F$259,6,0),"")</f>
        <v>100</v>
      </c>
      <c r="AK47" s="144">
        <f>IF(N($AH47)&gt;0,VLOOKUP($AH47,Body!$A$4:$F$259,2,0),"")</f>
        <v>1.625</v>
      </c>
      <c r="AL47" s="146" t="str">
        <f t="shared" si="8"/>
        <v>KLIP Litovel - Potužák Zdeněk</v>
      </c>
      <c r="AM47" s="142">
        <f t="shared" si="9"/>
        <v>5.282</v>
      </c>
      <c r="AN47" s="17">
        <f t="shared" si="10"/>
        <v>0</v>
      </c>
      <c r="AO47" s="17">
        <f t="shared" si="11"/>
        <v>0</v>
      </c>
      <c r="AP47" s="17">
        <f t="shared" si="12"/>
        <v>0</v>
      </c>
      <c r="AQ47" s="17">
        <f t="shared" si="13"/>
        <v>0</v>
      </c>
      <c r="AR47" s="17">
        <f t="shared" si="14"/>
        <v>0</v>
      </c>
    </row>
    <row r="48" spans="1:44" ht="12.75" customHeight="1">
      <c r="A48" s="69">
        <f t="shared" si="0"/>
        <v>3</v>
      </c>
      <c r="B48" s="69">
        <f t="shared" si="1"/>
        <v>1</v>
      </c>
      <c r="C48" s="147">
        <f t="shared" si="2"/>
        <v>37.844000000000001</v>
      </c>
      <c r="D48" s="69">
        <f t="shared" si="3"/>
        <v>1024</v>
      </c>
      <c r="E48" s="69">
        <f t="shared" si="4"/>
        <v>274</v>
      </c>
      <c r="F48" s="98" t="str">
        <f t="shared" ca="1" si="5"/>
        <v>01000000000000000000771637</v>
      </c>
      <c r="G48" s="139" t="b">
        <f t="shared" si="6"/>
        <v>0</v>
      </c>
      <c r="H48" s="140">
        <f t="shared" si="7"/>
        <v>38</v>
      </c>
      <c r="I48" s="130">
        <v>21813</v>
      </c>
      <c r="J48" s="141" t="s">
        <v>1410</v>
      </c>
      <c r="K48" s="17" t="s">
        <v>443</v>
      </c>
      <c r="L48" s="17" t="s">
        <v>221</v>
      </c>
      <c r="M48" s="17">
        <v>308</v>
      </c>
      <c r="N48" s="142">
        <v>12.218999999999999</v>
      </c>
      <c r="O48" s="130">
        <v>15078</v>
      </c>
      <c r="P48" s="141" t="s">
        <v>1365</v>
      </c>
      <c r="Q48" s="17" t="s">
        <v>448</v>
      </c>
      <c r="R48" s="17" t="s">
        <v>556</v>
      </c>
      <c r="S48" s="17">
        <v>442</v>
      </c>
      <c r="T48" s="142">
        <v>6.625</v>
      </c>
      <c r="U48" s="130">
        <v>23029</v>
      </c>
      <c r="V48" s="141" t="s">
        <v>897</v>
      </c>
      <c r="W48" s="17" t="s">
        <v>416</v>
      </c>
      <c r="X48" s="17" t="s">
        <v>239</v>
      </c>
      <c r="Y48" s="17">
        <v>274</v>
      </c>
      <c r="Z48" s="142">
        <v>19</v>
      </c>
      <c r="AA48" s="130" t="s">
        <v>1750</v>
      </c>
      <c r="AB48" s="141" t="s">
        <v>1690</v>
      </c>
      <c r="AC48" s="17" t="s">
        <v>1690</v>
      </c>
      <c r="AD48" s="17" t="s">
        <v>1690</v>
      </c>
      <c r="AE48" s="17">
        <v>9999</v>
      </c>
      <c r="AF48" s="142">
        <v>0</v>
      </c>
      <c r="AG48" s="130"/>
      <c r="AH48" s="143">
        <f ca="1">IF(TYPE(VLOOKUP(H48,Nasazení!$A$3:$E$130,5,0))&lt;4,VLOOKUP(H48,Nasazení!$A$3:$E$130,5,0),0)</f>
        <v>45</v>
      </c>
      <c r="AI48" s="144" t="e">
        <f ca="1">IF(N($AH48)&gt;0,VLOOKUP($AH48,Body!$A$4:$F$259,5,0),"")</f>
        <v>#REF!</v>
      </c>
      <c r="AJ48" s="145">
        <f ca="1">IF(N($AH48)&gt;0,VLOOKUP($AH48,Body!$A$4:$F$259,6,0),"")</f>
        <v>0</v>
      </c>
      <c r="AK48" s="144">
        <f ca="1">IF(N($AH48)&gt;0,VLOOKUP($AH48,Body!$A$4:$F$259,2,0),"")</f>
        <v>0</v>
      </c>
      <c r="AL48" s="146" t="str">
        <f t="shared" si="8"/>
        <v>Carreau Brno - Šrubařová Hana</v>
      </c>
      <c r="AM48" s="142">
        <f t="shared" si="9"/>
        <v>37.844000000000001</v>
      </c>
      <c r="AN48" s="17">
        <f t="shared" si="10"/>
        <v>0</v>
      </c>
      <c r="AO48" s="17">
        <f t="shared" si="11"/>
        <v>0</v>
      </c>
      <c r="AP48" s="17">
        <f t="shared" si="12"/>
        <v>0</v>
      </c>
      <c r="AQ48" s="17">
        <f t="shared" si="13"/>
        <v>0</v>
      </c>
      <c r="AR48" s="17">
        <f t="shared" si="14"/>
        <v>0</v>
      </c>
    </row>
    <row r="49" spans="1:44" ht="12.75" customHeight="1">
      <c r="A49" s="69">
        <f t="shared" si="0"/>
        <v>3</v>
      </c>
      <c r="B49" s="69">
        <f t="shared" si="1"/>
        <v>1</v>
      </c>
      <c r="C49" s="147">
        <f t="shared" si="2"/>
        <v>63.313000000000002</v>
      </c>
      <c r="D49" s="69">
        <f t="shared" si="3"/>
        <v>697</v>
      </c>
      <c r="E49" s="69">
        <f t="shared" si="4"/>
        <v>105</v>
      </c>
      <c r="F49" s="98" t="str">
        <f t="shared" ca="1" si="5"/>
        <v>01000000000000000000037189</v>
      </c>
      <c r="G49" s="139" t="b">
        <f t="shared" si="6"/>
        <v>0</v>
      </c>
      <c r="H49" s="140">
        <f t="shared" si="7"/>
        <v>39</v>
      </c>
      <c r="I49" s="130">
        <v>19040</v>
      </c>
      <c r="J49" s="141" t="s">
        <v>1106</v>
      </c>
      <c r="K49" s="17" t="s">
        <v>441</v>
      </c>
      <c r="L49" s="17" t="s">
        <v>685</v>
      </c>
      <c r="M49" s="17">
        <v>397</v>
      </c>
      <c r="N49" s="142">
        <v>8.25</v>
      </c>
      <c r="O49" s="130">
        <v>18060</v>
      </c>
      <c r="P49" s="141" t="s">
        <v>983</v>
      </c>
      <c r="Q49" s="17" t="s">
        <v>984</v>
      </c>
      <c r="R49" s="17" t="s">
        <v>685</v>
      </c>
      <c r="S49" s="17">
        <v>195</v>
      </c>
      <c r="T49" s="142">
        <v>28</v>
      </c>
      <c r="U49" s="130">
        <v>13060</v>
      </c>
      <c r="V49" s="141" t="s">
        <v>829</v>
      </c>
      <c r="W49" s="17" t="s">
        <v>422</v>
      </c>
      <c r="X49" s="17" t="s">
        <v>493</v>
      </c>
      <c r="Y49" s="17">
        <v>105</v>
      </c>
      <c r="Z49" s="142">
        <v>27.062999999999999</v>
      </c>
      <c r="AA49" s="130" t="s">
        <v>1750</v>
      </c>
      <c r="AB49" s="141" t="s">
        <v>1690</v>
      </c>
      <c r="AC49" s="17" t="s">
        <v>1690</v>
      </c>
      <c r="AD49" s="17" t="s">
        <v>1690</v>
      </c>
      <c r="AE49" s="17">
        <v>9999</v>
      </c>
      <c r="AF49" s="142">
        <v>0</v>
      </c>
      <c r="AG49" s="130"/>
      <c r="AH49" s="143">
        <f ca="1">IF(TYPE(VLOOKUP(H49,Nasazení!$A$3:$E$130,5,0))&lt;4,VLOOKUP(H49,Nasazení!$A$3:$E$130,5,0),0)</f>
        <v>14</v>
      </c>
      <c r="AI49" s="144" t="e">
        <f ca="1">IF(N($AH49)&gt;0,VLOOKUP($AH49,Body!$A$4:$F$259,5,0),"")</f>
        <v>#REF!</v>
      </c>
      <c r="AJ49" s="145">
        <f ca="1">IF(N($AH49)&gt;0,VLOOKUP($AH49,Body!$A$4:$F$259,6,0),"")</f>
        <v>100</v>
      </c>
      <c r="AK49" s="144">
        <f ca="1">IF(N($AH49)&gt;0,VLOOKUP($AH49,Body!$A$4:$F$259,2,0),"")</f>
        <v>2.25</v>
      </c>
      <c r="AL49" s="146" t="str">
        <f t="shared" si="8"/>
        <v>Orel Řečkovice - Olbort Tomáš</v>
      </c>
      <c r="AM49" s="142">
        <f t="shared" si="9"/>
        <v>63.313000000000002</v>
      </c>
      <c r="AN49" s="17">
        <f t="shared" si="10"/>
        <v>0</v>
      </c>
      <c r="AO49" s="17">
        <f t="shared" si="11"/>
        <v>0</v>
      </c>
      <c r="AP49" s="17">
        <f t="shared" si="12"/>
        <v>0</v>
      </c>
      <c r="AQ49" s="17">
        <f t="shared" si="13"/>
        <v>0</v>
      </c>
      <c r="AR49" s="17">
        <f t="shared" si="14"/>
        <v>0</v>
      </c>
    </row>
    <row r="50" spans="1:44" ht="12.75" customHeight="1">
      <c r="A50" s="69">
        <f t="shared" si="0"/>
        <v>3</v>
      </c>
      <c r="B50" s="69">
        <f t="shared" si="1"/>
        <v>1</v>
      </c>
      <c r="C50" s="147">
        <f t="shared" si="2"/>
        <v>47.005000000000003</v>
      </c>
      <c r="D50" s="69">
        <f t="shared" si="3"/>
        <v>810</v>
      </c>
      <c r="E50" s="69">
        <f t="shared" si="4"/>
        <v>229</v>
      </c>
      <c r="F50" s="98" t="str">
        <f t="shared" ca="1" si="5"/>
        <v>01000000000000000000890051</v>
      </c>
      <c r="G50" s="139" t="b">
        <f t="shared" si="6"/>
        <v>0</v>
      </c>
      <c r="H50" s="140">
        <f t="shared" si="7"/>
        <v>40</v>
      </c>
      <c r="I50" s="130">
        <v>18064</v>
      </c>
      <c r="J50" s="141" t="s">
        <v>1211</v>
      </c>
      <c r="K50" s="17" t="s">
        <v>552</v>
      </c>
      <c r="L50" s="17" t="s">
        <v>199</v>
      </c>
      <c r="M50" s="17">
        <v>229</v>
      </c>
      <c r="N50" s="142">
        <v>19.594999999999999</v>
      </c>
      <c r="O50" s="130">
        <v>22120</v>
      </c>
      <c r="P50" s="141" t="s">
        <v>1212</v>
      </c>
      <c r="Q50" s="17" t="s">
        <v>673</v>
      </c>
      <c r="R50" s="17" t="s">
        <v>199</v>
      </c>
      <c r="S50" s="17">
        <v>299</v>
      </c>
      <c r="T50" s="142">
        <v>12.471</v>
      </c>
      <c r="U50" s="130">
        <v>20579</v>
      </c>
      <c r="V50" s="141" t="s">
        <v>1212</v>
      </c>
      <c r="W50" s="17" t="s">
        <v>1213</v>
      </c>
      <c r="X50" s="17" t="s">
        <v>199</v>
      </c>
      <c r="Y50" s="17">
        <v>282</v>
      </c>
      <c r="Z50" s="142">
        <v>14.939</v>
      </c>
      <c r="AA50" s="130" t="s">
        <v>1750</v>
      </c>
      <c r="AB50" s="141" t="s">
        <v>1690</v>
      </c>
      <c r="AC50" s="17" t="s">
        <v>1690</v>
      </c>
      <c r="AD50" s="17" t="s">
        <v>1690</v>
      </c>
      <c r="AE50" s="17">
        <v>9999</v>
      </c>
      <c r="AF50" s="142">
        <v>0</v>
      </c>
      <c r="AG50" s="130"/>
      <c r="AH50" s="143">
        <f ca="1">IF(TYPE(VLOOKUP(H50,Nasazení!$A$3:$E$130,5,0))&lt;4,VLOOKUP(H50,Nasazení!$A$3:$E$130,5,0),0)</f>
        <v>45</v>
      </c>
      <c r="AI50" s="144" t="e">
        <f ca="1">IF(N($AH50)&gt;0,VLOOKUP($AH50,Body!$A$4:$F$259,5,0),"")</f>
        <v>#REF!</v>
      </c>
      <c r="AJ50" s="145">
        <f ca="1">IF(N($AH50)&gt;0,VLOOKUP($AH50,Body!$A$4:$F$259,6,0),"")</f>
        <v>0</v>
      </c>
      <c r="AK50" s="144">
        <f ca="1">IF(N($AH50)&gt;0,VLOOKUP($AH50,Body!$A$4:$F$259,2,0),"")</f>
        <v>0</v>
      </c>
      <c r="AL50" s="146" t="str">
        <f t="shared" si="8"/>
        <v>PK Polouvsí - Rusek Luboš</v>
      </c>
      <c r="AM50" s="142">
        <f t="shared" si="9"/>
        <v>47.005000000000003</v>
      </c>
      <c r="AN50" s="17">
        <f t="shared" si="10"/>
        <v>0</v>
      </c>
      <c r="AO50" s="17">
        <f t="shared" si="11"/>
        <v>0</v>
      </c>
      <c r="AP50" s="17">
        <f t="shared" si="12"/>
        <v>0</v>
      </c>
      <c r="AQ50" s="17">
        <f t="shared" si="13"/>
        <v>0</v>
      </c>
      <c r="AR50" s="17">
        <f t="shared" si="14"/>
        <v>0</v>
      </c>
    </row>
    <row r="51" spans="1:44" ht="12.75" customHeight="1">
      <c r="A51" s="69">
        <f t="shared" si="0"/>
        <v>3</v>
      </c>
      <c r="B51" s="69">
        <f t="shared" si="1"/>
        <v>1</v>
      </c>
      <c r="C51" s="147">
        <f t="shared" si="2"/>
        <v>21.096</v>
      </c>
      <c r="D51" s="69">
        <f t="shared" si="3"/>
        <v>1454</v>
      </c>
      <c r="E51" s="69">
        <f t="shared" si="4"/>
        <v>201</v>
      </c>
      <c r="F51" s="98" t="str">
        <f t="shared" ca="1" si="5"/>
        <v>01000000000000000000077028</v>
      </c>
      <c r="G51" s="139" t="b">
        <f t="shared" si="6"/>
        <v>0</v>
      </c>
      <c r="H51" s="140">
        <f t="shared" si="7"/>
        <v>41</v>
      </c>
      <c r="I51" s="130">
        <v>28056</v>
      </c>
      <c r="J51" s="141" t="s">
        <v>477</v>
      </c>
      <c r="K51" s="17" t="s">
        <v>478</v>
      </c>
      <c r="L51" s="17" t="s">
        <v>476</v>
      </c>
      <c r="M51" s="17">
        <v>201</v>
      </c>
      <c r="N51" s="142">
        <v>14.875999999999999</v>
      </c>
      <c r="O51" s="130">
        <v>17038</v>
      </c>
      <c r="P51" s="141" t="s">
        <v>1386</v>
      </c>
      <c r="Q51" s="17" t="s">
        <v>537</v>
      </c>
      <c r="R51" s="17" t="s">
        <v>156</v>
      </c>
      <c r="S51" s="17">
        <v>444</v>
      </c>
      <c r="T51" s="142">
        <v>6.22</v>
      </c>
      <c r="U51" s="130">
        <v>23240</v>
      </c>
      <c r="V51" s="141" t="s">
        <v>1113</v>
      </c>
      <c r="W51" s="17" t="s">
        <v>440</v>
      </c>
      <c r="X51" s="17" t="s">
        <v>186</v>
      </c>
      <c r="Y51" s="17">
        <v>809</v>
      </c>
      <c r="Z51" s="142">
        <v>0</v>
      </c>
      <c r="AA51" s="130" t="s">
        <v>1750</v>
      </c>
      <c r="AB51" s="141" t="s">
        <v>1690</v>
      </c>
      <c r="AC51" s="17" t="s">
        <v>1690</v>
      </c>
      <c r="AD51" s="17" t="s">
        <v>1690</v>
      </c>
      <c r="AE51" s="17">
        <v>9999</v>
      </c>
      <c r="AF51" s="142">
        <v>0</v>
      </c>
      <c r="AG51" s="130"/>
      <c r="AH51" s="143">
        <v>32</v>
      </c>
      <c r="AI51" s="144" t="e">
        <f>IF(N($AH51)&gt;0,VLOOKUP($AH51,Body!$A$4:$F$259,5,0),"")</f>
        <v>#REF!</v>
      </c>
      <c r="AJ51" s="145">
        <f>IF(N($AH51)&gt;0,VLOOKUP($AH51,Body!$A$4:$F$259,6,0),"")</f>
        <v>100</v>
      </c>
      <c r="AK51" s="144">
        <f>IF(N($AH51)&gt;0,VLOOKUP($AH51,Body!$A$4:$F$259,2,0),"")</f>
        <v>1</v>
      </c>
      <c r="AL51" s="146" t="str">
        <f t="shared" si="8"/>
        <v>1. Starobrněnský PK - Blažejová Eva</v>
      </c>
      <c r="AM51" s="142">
        <f t="shared" si="9"/>
        <v>21.096</v>
      </c>
      <c r="AN51" s="17">
        <f t="shared" si="10"/>
        <v>0</v>
      </c>
      <c r="AO51" s="17">
        <f t="shared" si="11"/>
        <v>0</v>
      </c>
      <c r="AP51" s="17">
        <f t="shared" si="12"/>
        <v>0</v>
      </c>
      <c r="AQ51" s="17">
        <f t="shared" si="13"/>
        <v>0</v>
      </c>
      <c r="AR51" s="17">
        <f t="shared" si="14"/>
        <v>0</v>
      </c>
    </row>
    <row r="52" spans="1:44" ht="12.75" customHeight="1">
      <c r="A52" s="69">
        <f t="shared" si="0"/>
        <v>3</v>
      </c>
      <c r="B52" s="69">
        <f t="shared" si="1"/>
        <v>1</v>
      </c>
      <c r="C52" s="147">
        <f t="shared" si="2"/>
        <v>29.44</v>
      </c>
      <c r="D52" s="69">
        <f t="shared" si="3"/>
        <v>1057</v>
      </c>
      <c r="E52" s="69">
        <f t="shared" si="4"/>
        <v>304</v>
      </c>
      <c r="F52" s="98" t="str">
        <f t="shared" ca="1" si="5"/>
        <v>01000000000000000000204786</v>
      </c>
      <c r="G52" s="139" t="b">
        <f t="shared" si="6"/>
        <v>0</v>
      </c>
      <c r="H52" s="140">
        <f t="shared" si="7"/>
        <v>42</v>
      </c>
      <c r="I52" s="130">
        <v>18071</v>
      </c>
      <c r="J52" s="141" t="s">
        <v>927</v>
      </c>
      <c r="K52" s="17" t="s">
        <v>427</v>
      </c>
      <c r="L52" s="17" t="s">
        <v>199</v>
      </c>
      <c r="M52" s="17">
        <v>346</v>
      </c>
      <c r="N52" s="142">
        <v>10.250999999999999</v>
      </c>
      <c r="O52" s="130">
        <v>18070</v>
      </c>
      <c r="P52" s="141" t="s">
        <v>928</v>
      </c>
      <c r="Q52" s="17" t="s">
        <v>930</v>
      </c>
      <c r="R52" s="17" t="s">
        <v>199</v>
      </c>
      <c r="S52" s="17">
        <v>304</v>
      </c>
      <c r="T52" s="142">
        <v>13.22</v>
      </c>
      <c r="U52" s="130">
        <v>22121</v>
      </c>
      <c r="V52" s="141" t="s">
        <v>921</v>
      </c>
      <c r="W52" s="17" t="s">
        <v>429</v>
      </c>
      <c r="X52" s="17" t="s">
        <v>199</v>
      </c>
      <c r="Y52" s="17">
        <v>407</v>
      </c>
      <c r="Z52" s="142">
        <v>5.9690000000000003</v>
      </c>
      <c r="AA52" s="130" t="s">
        <v>1750</v>
      </c>
      <c r="AB52" s="141" t="s">
        <v>1690</v>
      </c>
      <c r="AC52" s="17" t="s">
        <v>1690</v>
      </c>
      <c r="AD52" s="17" t="s">
        <v>1690</v>
      </c>
      <c r="AE52" s="17">
        <v>9999</v>
      </c>
      <c r="AF52" s="142">
        <v>0</v>
      </c>
      <c r="AG52" s="130"/>
      <c r="AH52" s="143">
        <v>40</v>
      </c>
      <c r="AI52" s="144" t="e">
        <f>IF(N($AH52)&gt;0,VLOOKUP($AH52,Body!$A$4:$F$259,5,0),"")</f>
        <v>#REF!</v>
      </c>
      <c r="AJ52" s="145">
        <f>IF(N($AH52)&gt;0,VLOOKUP($AH52,Body!$A$4:$F$259,6,0),"")</f>
        <v>100</v>
      </c>
      <c r="AK52" s="144">
        <f>IF(N($AH52)&gt;0,VLOOKUP($AH52,Body!$A$4:$F$259,2,0),"")</f>
        <v>0.75</v>
      </c>
      <c r="AL52" s="146" t="str">
        <f t="shared" si="8"/>
        <v>PK Polouvsí - Koudelka Josef</v>
      </c>
      <c r="AM52" s="142">
        <f t="shared" si="9"/>
        <v>29.44</v>
      </c>
      <c r="AN52" s="17">
        <f t="shared" si="10"/>
        <v>0</v>
      </c>
      <c r="AO52" s="17">
        <f t="shared" si="11"/>
        <v>0</v>
      </c>
      <c r="AP52" s="17">
        <f t="shared" si="12"/>
        <v>0</v>
      </c>
      <c r="AQ52" s="17">
        <f t="shared" si="13"/>
        <v>0</v>
      </c>
      <c r="AR52" s="17">
        <f t="shared" si="14"/>
        <v>0</v>
      </c>
    </row>
    <row r="53" spans="1:44" ht="12.75" customHeight="1">
      <c r="A53" s="69">
        <f t="shared" si="0"/>
        <v>3</v>
      </c>
      <c r="B53" s="69">
        <f t="shared" si="1"/>
        <v>1</v>
      </c>
      <c r="C53" s="147">
        <f t="shared" si="2"/>
        <v>57.254999999999995</v>
      </c>
      <c r="D53" s="69">
        <f t="shared" si="3"/>
        <v>578</v>
      </c>
      <c r="E53" s="69">
        <f t="shared" si="4"/>
        <v>43</v>
      </c>
      <c r="F53" s="98" t="str">
        <f t="shared" ca="1" si="5"/>
        <v>01000000000000000000650722</v>
      </c>
      <c r="G53" s="139" t="b">
        <f t="shared" si="6"/>
        <v>0</v>
      </c>
      <c r="H53" s="140">
        <f t="shared" si="7"/>
        <v>43</v>
      </c>
      <c r="I53" s="130">
        <v>21913</v>
      </c>
      <c r="J53" s="141" t="s">
        <v>919</v>
      </c>
      <c r="K53" s="17" t="s">
        <v>485</v>
      </c>
      <c r="L53" s="17" t="s">
        <v>714</v>
      </c>
      <c r="M53" s="17">
        <v>43</v>
      </c>
      <c r="N53" s="142">
        <v>29.376000000000001</v>
      </c>
      <c r="O53" s="130">
        <v>22183</v>
      </c>
      <c r="P53" s="141" t="s">
        <v>503</v>
      </c>
      <c r="Q53" s="17" t="s">
        <v>504</v>
      </c>
      <c r="R53" s="17" t="s">
        <v>505</v>
      </c>
      <c r="S53" s="17">
        <v>257</v>
      </c>
      <c r="T53" s="142">
        <v>15.032999999999999</v>
      </c>
      <c r="U53" s="130">
        <v>22181</v>
      </c>
      <c r="V53" s="141" t="s">
        <v>503</v>
      </c>
      <c r="W53" s="17" t="s">
        <v>506</v>
      </c>
      <c r="X53" s="17" t="s">
        <v>505</v>
      </c>
      <c r="Y53" s="17">
        <v>278</v>
      </c>
      <c r="Z53" s="142">
        <v>12.846</v>
      </c>
      <c r="AA53" s="130" t="s">
        <v>1750</v>
      </c>
      <c r="AB53" s="141" t="s">
        <v>1690</v>
      </c>
      <c r="AC53" s="17" t="s">
        <v>1690</v>
      </c>
      <c r="AD53" s="17" t="s">
        <v>1690</v>
      </c>
      <c r="AE53" s="17">
        <v>9999</v>
      </c>
      <c r="AF53" s="142">
        <v>0</v>
      </c>
      <c r="AG53" s="130"/>
      <c r="AH53" s="143">
        <v>32</v>
      </c>
      <c r="AI53" s="144" t="e">
        <f>IF(N($AH53)&gt;0,VLOOKUP($AH53,Body!$A$4:$F$259,5,0),"")</f>
        <v>#REF!</v>
      </c>
      <c r="AJ53" s="145">
        <f>IF(N($AH53)&gt;0,VLOOKUP($AH53,Body!$A$4:$F$259,6,0),"")</f>
        <v>100</v>
      </c>
      <c r="AK53" s="144">
        <f>IF(N($AH53)&gt;0,VLOOKUP($AH53,Body!$A$4:$F$259,2,0),"")</f>
        <v>1</v>
      </c>
      <c r="AL53" s="146" t="str">
        <f t="shared" si="8"/>
        <v>HAVAJ CB - Korešová Alena</v>
      </c>
      <c r="AM53" s="142">
        <f t="shared" si="9"/>
        <v>57.254999999999995</v>
      </c>
      <c r="AN53" s="17">
        <f t="shared" si="10"/>
        <v>0</v>
      </c>
      <c r="AO53" s="17">
        <f t="shared" si="11"/>
        <v>0</v>
      </c>
      <c r="AP53" s="17">
        <f t="shared" si="12"/>
        <v>0</v>
      </c>
      <c r="AQ53" s="17">
        <f t="shared" si="13"/>
        <v>0</v>
      </c>
      <c r="AR53" s="17">
        <f t="shared" si="14"/>
        <v>0</v>
      </c>
    </row>
    <row r="54" spans="1:44" ht="12.75" customHeight="1">
      <c r="A54" s="69">
        <f t="shared" si="0"/>
        <v>3</v>
      </c>
      <c r="B54" s="69">
        <f t="shared" si="1"/>
        <v>1</v>
      </c>
      <c r="C54" s="147">
        <f t="shared" si="2"/>
        <v>24.063000000000002</v>
      </c>
      <c r="D54" s="69">
        <f t="shared" si="3"/>
        <v>1117</v>
      </c>
      <c r="E54" s="69">
        <f t="shared" si="4"/>
        <v>292</v>
      </c>
      <c r="F54" s="98" t="str">
        <f t="shared" ca="1" si="5"/>
        <v>01000000000000000000888630</v>
      </c>
      <c r="G54" s="139" t="b">
        <f t="shared" si="6"/>
        <v>0</v>
      </c>
      <c r="H54" s="140">
        <f t="shared" si="7"/>
        <v>44</v>
      </c>
      <c r="I54" s="130">
        <v>18053</v>
      </c>
      <c r="J54" s="141" t="s">
        <v>1103</v>
      </c>
      <c r="K54" s="17" t="s">
        <v>1104</v>
      </c>
      <c r="L54" s="17" t="s">
        <v>174</v>
      </c>
      <c r="M54" s="17">
        <v>292</v>
      </c>
      <c r="N54" s="142">
        <v>11.093999999999999</v>
      </c>
      <c r="O54" s="130">
        <v>26022</v>
      </c>
      <c r="P54" s="141" t="s">
        <v>700</v>
      </c>
      <c r="Q54" s="17" t="s">
        <v>424</v>
      </c>
      <c r="R54" s="17" t="s">
        <v>174</v>
      </c>
      <c r="S54" s="17">
        <v>415</v>
      </c>
      <c r="T54" s="142">
        <v>6.625</v>
      </c>
      <c r="U54" s="130">
        <v>18052</v>
      </c>
      <c r="V54" s="141" t="s">
        <v>1421</v>
      </c>
      <c r="W54" s="17" t="s">
        <v>526</v>
      </c>
      <c r="X54" s="17" t="s">
        <v>174</v>
      </c>
      <c r="Y54" s="17">
        <v>410</v>
      </c>
      <c r="Z54" s="142">
        <v>6.3440000000000003</v>
      </c>
      <c r="AA54" s="130" t="s">
        <v>1750</v>
      </c>
      <c r="AB54" s="141" t="s">
        <v>1690</v>
      </c>
      <c r="AC54" s="17" t="s">
        <v>1690</v>
      </c>
      <c r="AD54" s="17" t="s">
        <v>1690</v>
      </c>
      <c r="AE54" s="17">
        <v>9999</v>
      </c>
      <c r="AF54" s="142">
        <v>0</v>
      </c>
      <c r="AG54" s="130"/>
      <c r="AH54" s="143">
        <v>40</v>
      </c>
      <c r="AI54" s="144" t="e">
        <f>IF(N($AH54)&gt;0,VLOOKUP($AH54,Body!$A$4:$F$259,5,0),"")</f>
        <v>#REF!</v>
      </c>
      <c r="AJ54" s="145">
        <f>IF(N($AH54)&gt;0,VLOOKUP($AH54,Body!$A$4:$F$259,6,0),"")</f>
        <v>100</v>
      </c>
      <c r="AK54" s="144">
        <f>IF(N($AH54)&gt;0,VLOOKUP($AH54,Body!$A$4:$F$259,2,0),"")</f>
        <v>0.75</v>
      </c>
      <c r="AL54" s="146" t="str">
        <f t="shared" si="8"/>
        <v>SKP Hranice VI-Valšovice - Němečková Radomíra</v>
      </c>
      <c r="AM54" s="142">
        <f t="shared" si="9"/>
        <v>24.063000000000002</v>
      </c>
      <c r="AN54" s="17">
        <f t="shared" si="10"/>
        <v>0</v>
      </c>
      <c r="AO54" s="17">
        <f t="shared" si="11"/>
        <v>0</v>
      </c>
      <c r="AP54" s="17">
        <f t="shared" si="12"/>
        <v>0</v>
      </c>
      <c r="AQ54" s="17">
        <f t="shared" si="13"/>
        <v>0</v>
      </c>
      <c r="AR54" s="17">
        <f t="shared" si="14"/>
        <v>0</v>
      </c>
    </row>
    <row r="55" spans="1:44" ht="12.75" customHeight="1">
      <c r="A55" s="69">
        <f t="shared" si="0"/>
        <v>3</v>
      </c>
      <c r="B55" s="69">
        <f t="shared" si="1"/>
        <v>1</v>
      </c>
      <c r="C55" s="147">
        <f t="shared" si="2"/>
        <v>56.33</v>
      </c>
      <c r="D55" s="69">
        <f t="shared" si="3"/>
        <v>559</v>
      </c>
      <c r="E55" s="69">
        <f t="shared" si="4"/>
        <v>117</v>
      </c>
      <c r="F55" s="98" t="str">
        <f t="shared" ca="1" si="5"/>
        <v>01000000000000000000704999</v>
      </c>
      <c r="G55" s="139" t="b">
        <f t="shared" si="6"/>
        <v>0</v>
      </c>
      <c r="H55" s="140">
        <f t="shared" si="7"/>
        <v>45</v>
      </c>
      <c r="I55" s="130">
        <v>20573</v>
      </c>
      <c r="J55" s="141" t="s">
        <v>1363</v>
      </c>
      <c r="K55" s="17" t="s">
        <v>509</v>
      </c>
      <c r="L55" s="17" t="s">
        <v>625</v>
      </c>
      <c r="M55" s="17">
        <v>141</v>
      </c>
      <c r="N55" s="142">
        <v>22.155999999999999</v>
      </c>
      <c r="O55" s="130">
        <v>22111</v>
      </c>
      <c r="P55" s="141" t="s">
        <v>916</v>
      </c>
      <c r="Q55" s="17" t="s">
        <v>448</v>
      </c>
      <c r="R55" s="17" t="s">
        <v>625</v>
      </c>
      <c r="S55" s="17">
        <v>117</v>
      </c>
      <c r="T55" s="142">
        <v>25.814</v>
      </c>
      <c r="U55" s="130">
        <v>20511</v>
      </c>
      <c r="V55" s="141" t="s">
        <v>1015</v>
      </c>
      <c r="W55" s="17" t="s">
        <v>648</v>
      </c>
      <c r="X55" s="17" t="s">
        <v>625</v>
      </c>
      <c r="Y55" s="17">
        <v>301</v>
      </c>
      <c r="Z55" s="142">
        <v>8.36</v>
      </c>
      <c r="AA55" s="130" t="s">
        <v>1750</v>
      </c>
      <c r="AB55" s="141" t="s">
        <v>1690</v>
      </c>
      <c r="AC55" s="17" t="s">
        <v>1690</v>
      </c>
      <c r="AD55" s="17" t="s">
        <v>1690</v>
      </c>
      <c r="AE55" s="17">
        <v>9999</v>
      </c>
      <c r="AF55" s="142">
        <v>0</v>
      </c>
      <c r="AG55" s="130"/>
      <c r="AH55" s="143">
        <v>19</v>
      </c>
      <c r="AI55" s="144" t="e">
        <f>IF(N($AH55)&gt;0,VLOOKUP($AH55,Body!$A$4:$F$259,5,0),"")</f>
        <v>#REF!</v>
      </c>
      <c r="AJ55" s="145">
        <f>IF(N($AH55)&gt;0,VLOOKUP($AH55,Body!$A$4:$F$259,6,0),"")</f>
        <v>100</v>
      </c>
      <c r="AK55" s="144">
        <f>IF(N($AH55)&gt;0,VLOOKUP($AH55,Body!$A$4:$F$259,2,0),"")</f>
        <v>1.8125</v>
      </c>
      <c r="AL55" s="146" t="str">
        <f t="shared" si="8"/>
        <v>PC Sokol PP Hr. Králové - Vávrová Ivana</v>
      </c>
      <c r="AM55" s="142">
        <f t="shared" si="9"/>
        <v>56.33</v>
      </c>
      <c r="AN55" s="17">
        <f t="shared" si="10"/>
        <v>0</v>
      </c>
      <c r="AO55" s="17">
        <f t="shared" si="11"/>
        <v>0</v>
      </c>
      <c r="AP55" s="17">
        <f t="shared" si="12"/>
        <v>0</v>
      </c>
      <c r="AQ55" s="17">
        <f t="shared" si="13"/>
        <v>0</v>
      </c>
      <c r="AR55" s="17">
        <f t="shared" si="14"/>
        <v>0</v>
      </c>
    </row>
    <row r="56" spans="1:44" ht="12.75" customHeight="1">
      <c r="A56" s="69">
        <f t="shared" si="0"/>
        <v>0</v>
      </c>
      <c r="B56" s="69">
        <f t="shared" si="1"/>
        <v>0</v>
      </c>
      <c r="C56" s="147">
        <f t="shared" si="2"/>
        <v>0</v>
      </c>
      <c r="D56" s="69">
        <f t="shared" si="3"/>
        <v>99999</v>
      </c>
      <c r="E56" s="69">
        <f t="shared" si="4"/>
        <v>9999</v>
      </c>
      <c r="F56" s="98" t="str">
        <f t="shared" ca="1" si="5"/>
        <v>00000000000000000000817389</v>
      </c>
      <c r="G56" s="139" t="b">
        <f t="shared" si="6"/>
        <v>1</v>
      </c>
      <c r="H56" s="140">
        <f t="shared" si="7"/>
        <v>46</v>
      </c>
      <c r="I56" s="130" t="s">
        <v>1750</v>
      </c>
      <c r="J56" s="141" t="s">
        <v>1690</v>
      </c>
      <c r="K56" s="17" t="s">
        <v>1690</v>
      </c>
      <c r="L56" s="17" t="s">
        <v>1690</v>
      </c>
      <c r="M56" s="17">
        <v>9999</v>
      </c>
      <c r="N56" s="142">
        <v>0</v>
      </c>
      <c r="O56" s="130" t="s">
        <v>1750</v>
      </c>
      <c r="P56" s="141" t="s">
        <v>1690</v>
      </c>
      <c r="Q56" s="17" t="s">
        <v>1690</v>
      </c>
      <c r="R56" s="17" t="s">
        <v>1690</v>
      </c>
      <c r="S56" s="17">
        <v>9999</v>
      </c>
      <c r="T56" s="142">
        <v>0</v>
      </c>
      <c r="U56" s="130" t="s">
        <v>1750</v>
      </c>
      <c r="V56" s="141" t="s">
        <v>1690</v>
      </c>
      <c r="W56" s="17" t="s">
        <v>1690</v>
      </c>
      <c r="X56" s="17" t="s">
        <v>1690</v>
      </c>
      <c r="Y56" s="17">
        <v>9999</v>
      </c>
      <c r="Z56" s="142">
        <v>0</v>
      </c>
      <c r="AA56" s="130" t="s">
        <v>1750</v>
      </c>
      <c r="AB56" s="141" t="s">
        <v>1690</v>
      </c>
      <c r="AC56" s="17" t="s">
        <v>1690</v>
      </c>
      <c r="AD56" s="17" t="s">
        <v>1690</v>
      </c>
      <c r="AE56" s="17">
        <v>9999</v>
      </c>
      <c r="AF56" s="142">
        <v>0</v>
      </c>
      <c r="AG56" s="130"/>
      <c r="AH56" s="143">
        <f>IF(TYPE(VLOOKUP(H56,Nasazení!$A$3:$E$130,5,0))&lt;4,VLOOKUP(H56,Nasazení!$A$3:$E$130,5,0),0)</f>
        <v>0</v>
      </c>
      <c r="AI56" s="144" t="str">
        <f>IF(N($AH56)&gt;0,VLOOKUP($AH56,Body!$A$4:$F$259,5,0),"")</f>
        <v/>
      </c>
      <c r="AJ56" s="145" t="str">
        <f>IF(N($AH56)&gt;0,VLOOKUP($AH56,Body!$A$4:$F$259,6,0),"")</f>
        <v/>
      </c>
      <c r="AK56" s="144" t="str">
        <f>IF(N($AH56)&gt;0,VLOOKUP($AH56,Body!$A$4:$F$259,2,0),"")</f>
        <v/>
      </c>
      <c r="AL56" s="146" t="str">
        <f t="shared" si="8"/>
        <v/>
      </c>
      <c r="AM56" s="142">
        <f t="shared" si="9"/>
        <v>0</v>
      </c>
      <c r="AN56" s="17">
        <f t="shared" si="10"/>
        <v>0</v>
      </c>
      <c r="AO56" s="17">
        <f t="shared" si="11"/>
        <v>0</v>
      </c>
      <c r="AP56" s="17">
        <f t="shared" si="12"/>
        <v>0</v>
      </c>
      <c r="AQ56" s="17">
        <f t="shared" si="13"/>
        <v>0</v>
      </c>
      <c r="AR56" s="17">
        <f t="shared" si="14"/>
        <v>0</v>
      </c>
    </row>
    <row r="57" spans="1:44" ht="12.75" customHeight="1">
      <c r="A57" s="69">
        <f t="shared" si="0"/>
        <v>0</v>
      </c>
      <c r="B57" s="69">
        <f t="shared" si="1"/>
        <v>0</v>
      </c>
      <c r="C57" s="147">
        <f t="shared" si="2"/>
        <v>0</v>
      </c>
      <c r="D57" s="69">
        <f t="shared" si="3"/>
        <v>99999</v>
      </c>
      <c r="E57" s="69">
        <f t="shared" si="4"/>
        <v>9999</v>
      </c>
      <c r="F57" s="98" t="str">
        <f t="shared" ca="1" si="5"/>
        <v>00000000000000000000686302</v>
      </c>
      <c r="G57" s="139" t="b">
        <f t="shared" si="6"/>
        <v>1</v>
      </c>
      <c r="H57" s="140">
        <f t="shared" si="7"/>
        <v>47</v>
      </c>
      <c r="I57" s="130" t="s">
        <v>1750</v>
      </c>
      <c r="J57" s="141" t="s">
        <v>1690</v>
      </c>
      <c r="K57" s="17" t="s">
        <v>1690</v>
      </c>
      <c r="L57" s="17" t="s">
        <v>1690</v>
      </c>
      <c r="M57" s="17">
        <v>9999</v>
      </c>
      <c r="N57" s="142">
        <v>0</v>
      </c>
      <c r="O57" s="130" t="s">
        <v>1750</v>
      </c>
      <c r="P57" s="141" t="s">
        <v>1690</v>
      </c>
      <c r="Q57" s="17" t="s">
        <v>1690</v>
      </c>
      <c r="R57" s="17" t="s">
        <v>1690</v>
      </c>
      <c r="S57" s="17">
        <v>9999</v>
      </c>
      <c r="T57" s="142">
        <v>0</v>
      </c>
      <c r="U57" s="130" t="s">
        <v>1750</v>
      </c>
      <c r="V57" s="141" t="s">
        <v>1690</v>
      </c>
      <c r="W57" s="17" t="s">
        <v>1690</v>
      </c>
      <c r="X57" s="17" t="s">
        <v>1690</v>
      </c>
      <c r="Y57" s="17">
        <v>9999</v>
      </c>
      <c r="Z57" s="142">
        <v>0</v>
      </c>
      <c r="AA57" s="130" t="s">
        <v>1750</v>
      </c>
      <c r="AB57" s="141" t="s">
        <v>1690</v>
      </c>
      <c r="AC57" s="17" t="s">
        <v>1690</v>
      </c>
      <c r="AD57" s="17" t="s">
        <v>1690</v>
      </c>
      <c r="AE57" s="17">
        <v>9999</v>
      </c>
      <c r="AF57" s="142">
        <v>0</v>
      </c>
      <c r="AG57" s="130"/>
      <c r="AH57" s="143">
        <f>IF(TYPE(VLOOKUP(H57,Nasazení!$A$3:$E$130,5,0))&lt;4,VLOOKUP(H57,Nasazení!$A$3:$E$130,5,0),0)</f>
        <v>0</v>
      </c>
      <c r="AI57" s="144" t="str">
        <f>IF(N($AH57)&gt;0,VLOOKUP($AH57,Body!$A$4:$F$259,5,0),"")</f>
        <v/>
      </c>
      <c r="AJ57" s="145" t="str">
        <f>IF(N($AH57)&gt;0,VLOOKUP($AH57,Body!$A$4:$F$259,6,0),"")</f>
        <v/>
      </c>
      <c r="AK57" s="144" t="str">
        <f>IF(N($AH57)&gt;0,VLOOKUP($AH57,Body!$A$4:$F$259,2,0),"")</f>
        <v/>
      </c>
      <c r="AL57" s="146" t="str">
        <f t="shared" si="8"/>
        <v/>
      </c>
      <c r="AM57" s="142">
        <f t="shared" si="9"/>
        <v>0</v>
      </c>
      <c r="AN57" s="17">
        <f t="shared" si="10"/>
        <v>0</v>
      </c>
      <c r="AO57" s="17">
        <f t="shared" si="11"/>
        <v>0</v>
      </c>
      <c r="AP57" s="17">
        <f t="shared" si="12"/>
        <v>0</v>
      </c>
      <c r="AQ57" s="17">
        <f t="shared" si="13"/>
        <v>0</v>
      </c>
      <c r="AR57" s="17">
        <f t="shared" si="14"/>
        <v>0</v>
      </c>
    </row>
    <row r="58" spans="1:44" ht="12.75" customHeight="1">
      <c r="A58" s="69">
        <f t="shared" si="0"/>
        <v>0</v>
      </c>
      <c r="B58" s="69">
        <f t="shared" si="1"/>
        <v>0</v>
      </c>
      <c r="C58" s="147">
        <f t="shared" si="2"/>
        <v>0</v>
      </c>
      <c r="D58" s="69">
        <f t="shared" si="3"/>
        <v>99999</v>
      </c>
      <c r="E58" s="69">
        <f t="shared" si="4"/>
        <v>9999</v>
      </c>
      <c r="F58" s="98" t="str">
        <f t="shared" ca="1" si="5"/>
        <v>00000000000000000000481943</v>
      </c>
      <c r="G58" s="139" t="b">
        <f t="shared" si="6"/>
        <v>1</v>
      </c>
      <c r="H58" s="140">
        <f t="shared" si="7"/>
        <v>48</v>
      </c>
      <c r="I58" s="130" t="s">
        <v>1750</v>
      </c>
      <c r="J58" s="141" t="s">
        <v>1690</v>
      </c>
      <c r="K58" s="17" t="s">
        <v>1690</v>
      </c>
      <c r="L58" s="17" t="s">
        <v>1690</v>
      </c>
      <c r="M58" s="17">
        <v>9999</v>
      </c>
      <c r="N58" s="142">
        <v>0</v>
      </c>
      <c r="O58" s="130" t="s">
        <v>1750</v>
      </c>
      <c r="P58" s="141" t="s">
        <v>1690</v>
      </c>
      <c r="Q58" s="17" t="s">
        <v>1690</v>
      </c>
      <c r="R58" s="17" t="s">
        <v>1690</v>
      </c>
      <c r="S58" s="17">
        <v>9999</v>
      </c>
      <c r="T58" s="142">
        <v>0</v>
      </c>
      <c r="U58" s="130" t="s">
        <v>1750</v>
      </c>
      <c r="V58" s="141" t="s">
        <v>1690</v>
      </c>
      <c r="W58" s="17" t="s">
        <v>1690</v>
      </c>
      <c r="X58" s="17" t="s">
        <v>1690</v>
      </c>
      <c r="Y58" s="17">
        <v>9999</v>
      </c>
      <c r="Z58" s="142">
        <v>0</v>
      </c>
      <c r="AA58" s="130" t="s">
        <v>1750</v>
      </c>
      <c r="AB58" s="141" t="s">
        <v>1690</v>
      </c>
      <c r="AC58" s="17" t="s">
        <v>1690</v>
      </c>
      <c r="AD58" s="17" t="s">
        <v>1690</v>
      </c>
      <c r="AE58" s="17">
        <v>9999</v>
      </c>
      <c r="AF58" s="142">
        <v>0</v>
      </c>
      <c r="AG58" s="130"/>
      <c r="AH58" s="143">
        <f>IF(TYPE(VLOOKUP(H58,Nasazení!$A$3:$E$130,5,0))&lt;4,VLOOKUP(H58,Nasazení!$A$3:$E$130,5,0),0)</f>
        <v>0</v>
      </c>
      <c r="AI58" s="144" t="str">
        <f>IF(N($AH58)&gt;0,VLOOKUP($AH58,Body!$A$4:$F$259,5,0),"")</f>
        <v/>
      </c>
      <c r="AJ58" s="145" t="str">
        <f>IF(N($AH58)&gt;0,VLOOKUP($AH58,Body!$A$4:$F$259,6,0),"")</f>
        <v/>
      </c>
      <c r="AK58" s="144" t="str">
        <f>IF(N($AH58)&gt;0,VLOOKUP($AH58,Body!$A$4:$F$259,2,0),"")</f>
        <v/>
      </c>
      <c r="AL58" s="146" t="str">
        <f t="shared" si="8"/>
        <v/>
      </c>
      <c r="AM58" s="142">
        <f t="shared" si="9"/>
        <v>0</v>
      </c>
      <c r="AN58" s="17">
        <f t="shared" si="10"/>
        <v>0</v>
      </c>
      <c r="AO58" s="17">
        <f t="shared" si="11"/>
        <v>0</v>
      </c>
      <c r="AP58" s="17">
        <f t="shared" si="12"/>
        <v>0</v>
      </c>
      <c r="AQ58" s="17">
        <f t="shared" si="13"/>
        <v>0</v>
      </c>
      <c r="AR58" s="17">
        <f t="shared" si="14"/>
        <v>0</v>
      </c>
    </row>
    <row r="59" spans="1:44" ht="12.75" customHeight="1">
      <c r="A59" s="69">
        <f t="shared" si="0"/>
        <v>0</v>
      </c>
      <c r="B59" s="69">
        <f t="shared" si="1"/>
        <v>0</v>
      </c>
      <c r="C59" s="147">
        <f t="shared" si="2"/>
        <v>0</v>
      </c>
      <c r="D59" s="69">
        <f t="shared" si="3"/>
        <v>99999</v>
      </c>
      <c r="E59" s="69">
        <f t="shared" si="4"/>
        <v>9999</v>
      </c>
      <c r="F59" s="98" t="str">
        <f t="shared" ca="1" si="5"/>
        <v>00000000000000000000440577</v>
      </c>
      <c r="G59" s="139" t="b">
        <f t="shared" si="6"/>
        <v>1</v>
      </c>
      <c r="H59" s="140">
        <f t="shared" si="7"/>
        <v>49</v>
      </c>
      <c r="I59" s="130" t="s">
        <v>1750</v>
      </c>
      <c r="J59" s="141" t="s">
        <v>1690</v>
      </c>
      <c r="K59" s="17" t="s">
        <v>1690</v>
      </c>
      <c r="L59" s="17" t="s">
        <v>1690</v>
      </c>
      <c r="M59" s="17">
        <v>9999</v>
      </c>
      <c r="N59" s="142">
        <v>0</v>
      </c>
      <c r="O59" s="130" t="s">
        <v>1750</v>
      </c>
      <c r="P59" s="141" t="s">
        <v>1690</v>
      </c>
      <c r="Q59" s="17" t="s">
        <v>1690</v>
      </c>
      <c r="R59" s="17" t="s">
        <v>1690</v>
      </c>
      <c r="S59" s="17">
        <v>9999</v>
      </c>
      <c r="T59" s="142">
        <v>0</v>
      </c>
      <c r="U59" s="130" t="s">
        <v>1750</v>
      </c>
      <c r="V59" s="141" t="s">
        <v>1690</v>
      </c>
      <c r="W59" s="17" t="s">
        <v>1690</v>
      </c>
      <c r="X59" s="17" t="s">
        <v>1690</v>
      </c>
      <c r="Y59" s="17">
        <v>9999</v>
      </c>
      <c r="Z59" s="142">
        <v>0</v>
      </c>
      <c r="AA59" s="130" t="s">
        <v>1750</v>
      </c>
      <c r="AB59" s="141" t="s">
        <v>1690</v>
      </c>
      <c r="AC59" s="17" t="s">
        <v>1690</v>
      </c>
      <c r="AD59" s="17" t="s">
        <v>1690</v>
      </c>
      <c r="AE59" s="17">
        <v>9999</v>
      </c>
      <c r="AF59" s="142">
        <v>0</v>
      </c>
      <c r="AG59" s="130"/>
      <c r="AH59" s="143">
        <f>IF(TYPE(VLOOKUP(H59,Nasazení!$A$3:$E$130,5,0))&lt;4,VLOOKUP(H59,Nasazení!$A$3:$E$130,5,0),0)</f>
        <v>0</v>
      </c>
      <c r="AI59" s="144" t="str">
        <f>IF(N($AH59)&gt;0,VLOOKUP($AH59,Body!$A$4:$F$259,5,0),"")</f>
        <v/>
      </c>
      <c r="AJ59" s="145" t="str">
        <f>IF(N($AH59)&gt;0,VLOOKUP($AH59,Body!$A$4:$F$259,6,0),"")</f>
        <v/>
      </c>
      <c r="AK59" s="144" t="str">
        <f>IF(N($AH59)&gt;0,VLOOKUP($AH59,Body!$A$4:$F$259,2,0),"")</f>
        <v/>
      </c>
      <c r="AL59" s="146" t="str">
        <f t="shared" si="8"/>
        <v/>
      </c>
      <c r="AM59" s="142">
        <f t="shared" si="9"/>
        <v>0</v>
      </c>
      <c r="AN59" s="17">
        <f t="shared" si="10"/>
        <v>0</v>
      </c>
      <c r="AO59" s="17">
        <f t="shared" si="11"/>
        <v>0</v>
      </c>
      <c r="AP59" s="17">
        <f t="shared" si="12"/>
        <v>0</v>
      </c>
      <c r="AQ59" s="17">
        <f t="shared" si="13"/>
        <v>0</v>
      </c>
      <c r="AR59" s="17">
        <f t="shared" si="14"/>
        <v>0</v>
      </c>
    </row>
    <row r="60" spans="1:44" ht="12.75" customHeight="1">
      <c r="A60" s="69">
        <f t="shared" si="0"/>
        <v>0</v>
      </c>
      <c r="B60" s="69">
        <f t="shared" si="1"/>
        <v>0</v>
      </c>
      <c r="C60" s="147">
        <f t="shared" si="2"/>
        <v>0</v>
      </c>
      <c r="D60" s="69">
        <f t="shared" si="3"/>
        <v>99999</v>
      </c>
      <c r="E60" s="69">
        <f t="shared" si="4"/>
        <v>9999</v>
      </c>
      <c r="F60" s="98" t="str">
        <f t="shared" ca="1" si="5"/>
        <v>00000000000000000000796743</v>
      </c>
      <c r="G60" s="139" t="b">
        <f t="shared" si="6"/>
        <v>1</v>
      </c>
      <c r="H60" s="140">
        <f t="shared" si="7"/>
        <v>50</v>
      </c>
      <c r="I60" s="130" t="s">
        <v>1750</v>
      </c>
      <c r="J60" s="141" t="s">
        <v>1690</v>
      </c>
      <c r="K60" s="17" t="s">
        <v>1690</v>
      </c>
      <c r="L60" s="17" t="s">
        <v>1690</v>
      </c>
      <c r="M60" s="17">
        <v>9999</v>
      </c>
      <c r="N60" s="142">
        <v>0</v>
      </c>
      <c r="O60" s="130" t="s">
        <v>1750</v>
      </c>
      <c r="P60" s="141" t="s">
        <v>1690</v>
      </c>
      <c r="Q60" s="17" t="s">
        <v>1690</v>
      </c>
      <c r="R60" s="17" t="s">
        <v>1690</v>
      </c>
      <c r="S60" s="17">
        <v>9999</v>
      </c>
      <c r="T60" s="142">
        <v>0</v>
      </c>
      <c r="U60" s="130" t="s">
        <v>1750</v>
      </c>
      <c r="V60" s="141" t="s">
        <v>1690</v>
      </c>
      <c r="W60" s="17" t="s">
        <v>1690</v>
      </c>
      <c r="X60" s="17" t="s">
        <v>1690</v>
      </c>
      <c r="Y60" s="17">
        <v>9999</v>
      </c>
      <c r="Z60" s="142">
        <v>0</v>
      </c>
      <c r="AA60" s="130" t="s">
        <v>1750</v>
      </c>
      <c r="AB60" s="141" t="s">
        <v>1690</v>
      </c>
      <c r="AC60" s="17" t="s">
        <v>1690</v>
      </c>
      <c r="AD60" s="17" t="s">
        <v>1690</v>
      </c>
      <c r="AE60" s="17">
        <v>9999</v>
      </c>
      <c r="AF60" s="142">
        <v>0</v>
      </c>
      <c r="AG60" s="130"/>
      <c r="AH60" s="143">
        <f>IF(TYPE(VLOOKUP(H60,Nasazení!$A$3:$E$130,5,0))&lt;4,VLOOKUP(H60,Nasazení!$A$3:$E$130,5,0),0)</f>
        <v>0</v>
      </c>
      <c r="AI60" s="144" t="str">
        <f>IF(N($AH60)&gt;0,VLOOKUP($AH60,Body!$A$4:$F$259,5,0),"")</f>
        <v/>
      </c>
      <c r="AJ60" s="145" t="str">
        <f>IF(N($AH60)&gt;0,VLOOKUP($AH60,Body!$A$4:$F$259,6,0),"")</f>
        <v/>
      </c>
      <c r="AK60" s="144" t="str">
        <f>IF(N($AH60)&gt;0,VLOOKUP($AH60,Body!$A$4:$F$259,2,0),"")</f>
        <v/>
      </c>
      <c r="AL60" s="146" t="str">
        <f t="shared" si="8"/>
        <v/>
      </c>
      <c r="AM60" s="142">
        <f t="shared" si="9"/>
        <v>0</v>
      </c>
      <c r="AN60" s="17">
        <f t="shared" si="10"/>
        <v>0</v>
      </c>
      <c r="AO60" s="17">
        <f t="shared" si="11"/>
        <v>0</v>
      </c>
      <c r="AP60" s="17">
        <f t="shared" si="12"/>
        <v>0</v>
      </c>
      <c r="AQ60" s="17">
        <f t="shared" si="13"/>
        <v>0</v>
      </c>
      <c r="AR60" s="17">
        <f t="shared" si="14"/>
        <v>0</v>
      </c>
    </row>
    <row r="61" spans="1:44" ht="12.75" customHeight="1">
      <c r="A61" s="69">
        <f t="shared" si="0"/>
        <v>0</v>
      </c>
      <c r="B61" s="69">
        <f t="shared" si="1"/>
        <v>0</v>
      </c>
      <c r="C61" s="147">
        <f t="shared" si="2"/>
        <v>0</v>
      </c>
      <c r="D61" s="69">
        <f t="shared" si="3"/>
        <v>99999</v>
      </c>
      <c r="E61" s="69">
        <f t="shared" si="4"/>
        <v>9999</v>
      </c>
      <c r="F61" s="98" t="str">
        <f t="shared" ca="1" si="5"/>
        <v>00000000000000000000918667</v>
      </c>
      <c r="G61" s="139" t="b">
        <f t="shared" si="6"/>
        <v>1</v>
      </c>
      <c r="H61" s="140">
        <f t="shared" si="7"/>
        <v>51</v>
      </c>
      <c r="I61" s="130" t="s">
        <v>1750</v>
      </c>
      <c r="J61" s="141" t="s">
        <v>1690</v>
      </c>
      <c r="K61" s="17" t="s">
        <v>1690</v>
      </c>
      <c r="L61" s="17" t="s">
        <v>1690</v>
      </c>
      <c r="M61" s="17">
        <v>9999</v>
      </c>
      <c r="N61" s="142">
        <v>0</v>
      </c>
      <c r="O61" s="130" t="s">
        <v>1750</v>
      </c>
      <c r="P61" s="141" t="s">
        <v>1690</v>
      </c>
      <c r="Q61" s="17" t="s">
        <v>1690</v>
      </c>
      <c r="R61" s="17" t="s">
        <v>1690</v>
      </c>
      <c r="S61" s="17">
        <v>9999</v>
      </c>
      <c r="T61" s="142">
        <v>0</v>
      </c>
      <c r="U61" s="130" t="s">
        <v>1750</v>
      </c>
      <c r="V61" s="141" t="s">
        <v>1690</v>
      </c>
      <c r="W61" s="17" t="s">
        <v>1690</v>
      </c>
      <c r="X61" s="17" t="s">
        <v>1690</v>
      </c>
      <c r="Y61" s="17">
        <v>9999</v>
      </c>
      <c r="Z61" s="142">
        <v>0</v>
      </c>
      <c r="AA61" s="130" t="s">
        <v>1750</v>
      </c>
      <c r="AB61" s="141" t="s">
        <v>1690</v>
      </c>
      <c r="AC61" s="17" t="s">
        <v>1690</v>
      </c>
      <c r="AD61" s="17" t="s">
        <v>1690</v>
      </c>
      <c r="AE61" s="17">
        <v>9999</v>
      </c>
      <c r="AF61" s="142">
        <v>0</v>
      </c>
      <c r="AG61" s="130"/>
      <c r="AH61" s="143">
        <f>IF(TYPE(VLOOKUP(H61,Nasazení!$A$3:$E$130,5,0))&lt;4,VLOOKUP(H61,Nasazení!$A$3:$E$130,5,0),0)</f>
        <v>0</v>
      </c>
      <c r="AI61" s="144" t="str">
        <f>IF(N($AH61)&gt;0,VLOOKUP($AH61,Body!$A$4:$F$259,5,0),"")</f>
        <v/>
      </c>
      <c r="AJ61" s="145" t="str">
        <f>IF(N($AH61)&gt;0,VLOOKUP($AH61,Body!$A$4:$F$259,6,0),"")</f>
        <v/>
      </c>
      <c r="AK61" s="144" t="str">
        <f>IF(N($AH61)&gt;0,VLOOKUP($AH61,Body!$A$4:$F$259,2,0),"")</f>
        <v/>
      </c>
      <c r="AL61" s="146" t="str">
        <f t="shared" si="8"/>
        <v/>
      </c>
      <c r="AM61" s="142">
        <f t="shared" si="9"/>
        <v>0</v>
      </c>
      <c r="AN61" s="17">
        <f t="shared" si="10"/>
        <v>0</v>
      </c>
      <c r="AO61" s="17">
        <f t="shared" si="11"/>
        <v>0</v>
      </c>
      <c r="AP61" s="17">
        <f t="shared" si="12"/>
        <v>0</v>
      </c>
      <c r="AQ61" s="17">
        <f t="shared" si="13"/>
        <v>0</v>
      </c>
      <c r="AR61" s="17">
        <f t="shared" si="14"/>
        <v>0</v>
      </c>
    </row>
    <row r="62" spans="1:44" ht="12.75" customHeight="1">
      <c r="A62" s="69">
        <f t="shared" si="0"/>
        <v>0</v>
      </c>
      <c r="B62" s="69">
        <f t="shared" si="1"/>
        <v>0</v>
      </c>
      <c r="C62" s="147">
        <f t="shared" si="2"/>
        <v>0</v>
      </c>
      <c r="D62" s="69">
        <f t="shared" si="3"/>
        <v>99999</v>
      </c>
      <c r="E62" s="69">
        <f t="shared" si="4"/>
        <v>9999</v>
      </c>
      <c r="F62" s="98" t="str">
        <f t="shared" ca="1" si="5"/>
        <v>00000000000000000000175733</v>
      </c>
      <c r="G62" s="139" t="b">
        <f t="shared" si="6"/>
        <v>1</v>
      </c>
      <c r="H62" s="140">
        <f t="shared" si="7"/>
        <v>52</v>
      </c>
      <c r="I62" s="130" t="s">
        <v>1750</v>
      </c>
      <c r="J62" s="141" t="s">
        <v>1690</v>
      </c>
      <c r="K62" s="17" t="s">
        <v>1690</v>
      </c>
      <c r="L62" s="17" t="s">
        <v>1690</v>
      </c>
      <c r="M62" s="17">
        <v>9999</v>
      </c>
      <c r="N62" s="142">
        <v>0</v>
      </c>
      <c r="O62" s="130" t="s">
        <v>1750</v>
      </c>
      <c r="P62" s="141" t="s">
        <v>1690</v>
      </c>
      <c r="Q62" s="17" t="s">
        <v>1690</v>
      </c>
      <c r="R62" s="17" t="s">
        <v>1690</v>
      </c>
      <c r="S62" s="17">
        <v>9999</v>
      </c>
      <c r="T62" s="142">
        <v>0</v>
      </c>
      <c r="U62" s="130" t="s">
        <v>1750</v>
      </c>
      <c r="V62" s="141" t="s">
        <v>1690</v>
      </c>
      <c r="W62" s="17" t="s">
        <v>1690</v>
      </c>
      <c r="X62" s="17" t="s">
        <v>1690</v>
      </c>
      <c r="Y62" s="17">
        <v>9999</v>
      </c>
      <c r="Z62" s="142">
        <v>0</v>
      </c>
      <c r="AA62" s="130" t="s">
        <v>1750</v>
      </c>
      <c r="AB62" s="141" t="s">
        <v>1690</v>
      </c>
      <c r="AC62" s="17" t="s">
        <v>1690</v>
      </c>
      <c r="AD62" s="17" t="s">
        <v>1690</v>
      </c>
      <c r="AE62" s="17">
        <v>9999</v>
      </c>
      <c r="AF62" s="142">
        <v>0</v>
      </c>
      <c r="AG62" s="130"/>
      <c r="AH62" s="143">
        <f>IF(TYPE(VLOOKUP(H62,Nasazení!$A$3:$E$130,5,0))&lt;4,VLOOKUP(H62,Nasazení!$A$3:$E$130,5,0),0)</f>
        <v>0</v>
      </c>
      <c r="AI62" s="144" t="str">
        <f>IF(N($AH62)&gt;0,VLOOKUP($AH62,Body!$A$4:$F$259,5,0),"")</f>
        <v/>
      </c>
      <c r="AJ62" s="145" t="str">
        <f>IF(N($AH62)&gt;0,VLOOKUP($AH62,Body!$A$4:$F$259,6,0),"")</f>
        <v/>
      </c>
      <c r="AK62" s="144" t="str">
        <f>IF(N($AH62)&gt;0,VLOOKUP($AH62,Body!$A$4:$F$259,2,0),"")</f>
        <v/>
      </c>
      <c r="AL62" s="146" t="str">
        <f t="shared" si="8"/>
        <v/>
      </c>
      <c r="AM62" s="142">
        <f t="shared" si="9"/>
        <v>0</v>
      </c>
      <c r="AN62" s="17">
        <f t="shared" si="10"/>
        <v>0</v>
      </c>
      <c r="AO62" s="17">
        <f t="shared" si="11"/>
        <v>0</v>
      </c>
      <c r="AP62" s="17">
        <f t="shared" si="12"/>
        <v>0</v>
      </c>
      <c r="AQ62" s="17">
        <f t="shared" si="13"/>
        <v>0</v>
      </c>
      <c r="AR62" s="17">
        <f t="shared" si="14"/>
        <v>0</v>
      </c>
    </row>
    <row r="63" spans="1:44" ht="12.75" customHeight="1">
      <c r="A63" s="69">
        <f t="shared" si="0"/>
        <v>0</v>
      </c>
      <c r="B63" s="69">
        <f t="shared" si="1"/>
        <v>0</v>
      </c>
      <c r="C63" s="147">
        <f t="shared" si="2"/>
        <v>0</v>
      </c>
      <c r="D63" s="69">
        <f t="shared" si="3"/>
        <v>99999</v>
      </c>
      <c r="E63" s="69">
        <f t="shared" si="4"/>
        <v>9999</v>
      </c>
      <c r="F63" s="98" t="str">
        <f t="shared" ca="1" si="5"/>
        <v>00000000000000000000441306</v>
      </c>
      <c r="G63" s="139" t="b">
        <f t="shared" si="6"/>
        <v>1</v>
      </c>
      <c r="H63" s="140">
        <f t="shared" si="7"/>
        <v>53</v>
      </c>
      <c r="I63" s="130" t="s">
        <v>1750</v>
      </c>
      <c r="J63" s="141" t="s">
        <v>1690</v>
      </c>
      <c r="K63" s="17" t="s">
        <v>1690</v>
      </c>
      <c r="L63" s="17" t="s">
        <v>1690</v>
      </c>
      <c r="M63" s="17">
        <v>9999</v>
      </c>
      <c r="N63" s="142">
        <v>0</v>
      </c>
      <c r="O63" s="130" t="s">
        <v>1750</v>
      </c>
      <c r="P63" s="141" t="s">
        <v>1690</v>
      </c>
      <c r="Q63" s="17" t="s">
        <v>1690</v>
      </c>
      <c r="R63" s="17" t="s">
        <v>1690</v>
      </c>
      <c r="S63" s="17">
        <v>9999</v>
      </c>
      <c r="T63" s="142">
        <v>0</v>
      </c>
      <c r="U63" s="130" t="s">
        <v>1750</v>
      </c>
      <c r="V63" s="141" t="s">
        <v>1690</v>
      </c>
      <c r="W63" s="17" t="s">
        <v>1690</v>
      </c>
      <c r="X63" s="17" t="s">
        <v>1690</v>
      </c>
      <c r="Y63" s="17">
        <v>9999</v>
      </c>
      <c r="Z63" s="142">
        <v>0</v>
      </c>
      <c r="AA63" s="130" t="s">
        <v>1750</v>
      </c>
      <c r="AB63" s="141" t="s">
        <v>1690</v>
      </c>
      <c r="AC63" s="17" t="s">
        <v>1690</v>
      </c>
      <c r="AD63" s="17" t="s">
        <v>1690</v>
      </c>
      <c r="AE63" s="17">
        <v>9999</v>
      </c>
      <c r="AF63" s="142">
        <v>0</v>
      </c>
      <c r="AG63" s="130"/>
      <c r="AH63" s="143">
        <f>IF(TYPE(VLOOKUP(H63,Nasazení!$A$3:$E$130,5,0))&lt;4,VLOOKUP(H63,Nasazení!$A$3:$E$130,5,0),0)</f>
        <v>0</v>
      </c>
      <c r="AI63" s="144" t="str">
        <f>IF(N($AH63)&gt;0,VLOOKUP($AH63,Body!$A$4:$F$259,5,0),"")</f>
        <v/>
      </c>
      <c r="AJ63" s="145" t="str">
        <f>IF(N($AH63)&gt;0,VLOOKUP($AH63,Body!$A$4:$F$259,6,0),"")</f>
        <v/>
      </c>
      <c r="AK63" s="144" t="str">
        <f>IF(N($AH63)&gt;0,VLOOKUP($AH63,Body!$A$4:$F$259,2,0),"")</f>
        <v/>
      </c>
      <c r="AL63" s="146" t="str">
        <f t="shared" si="8"/>
        <v/>
      </c>
      <c r="AM63" s="142">
        <f t="shared" si="9"/>
        <v>0</v>
      </c>
      <c r="AN63" s="17">
        <f t="shared" si="10"/>
        <v>0</v>
      </c>
      <c r="AO63" s="17">
        <f t="shared" si="11"/>
        <v>0</v>
      </c>
      <c r="AP63" s="17">
        <f t="shared" si="12"/>
        <v>0</v>
      </c>
      <c r="AQ63" s="17">
        <f t="shared" si="13"/>
        <v>0</v>
      </c>
      <c r="AR63" s="17">
        <f t="shared" si="14"/>
        <v>0</v>
      </c>
    </row>
    <row r="64" spans="1:44" ht="12.75" customHeight="1">
      <c r="A64" s="69">
        <f t="shared" si="0"/>
        <v>0</v>
      </c>
      <c r="B64" s="69">
        <f t="shared" si="1"/>
        <v>0</v>
      </c>
      <c r="C64" s="147">
        <f t="shared" si="2"/>
        <v>0</v>
      </c>
      <c r="D64" s="69">
        <f t="shared" si="3"/>
        <v>99999</v>
      </c>
      <c r="E64" s="69">
        <f t="shared" si="4"/>
        <v>9999</v>
      </c>
      <c r="F64" s="98" t="str">
        <f t="shared" ca="1" si="5"/>
        <v>00000000000000000000547341</v>
      </c>
      <c r="G64" s="139" t="b">
        <f t="shared" si="6"/>
        <v>1</v>
      </c>
      <c r="H64" s="140">
        <f t="shared" si="7"/>
        <v>54</v>
      </c>
      <c r="I64" s="130" t="s">
        <v>1750</v>
      </c>
      <c r="J64" s="141" t="s">
        <v>1690</v>
      </c>
      <c r="K64" s="17" t="s">
        <v>1690</v>
      </c>
      <c r="L64" s="17" t="s">
        <v>1690</v>
      </c>
      <c r="M64" s="17">
        <v>9999</v>
      </c>
      <c r="N64" s="142">
        <v>0</v>
      </c>
      <c r="O64" s="130" t="s">
        <v>1750</v>
      </c>
      <c r="P64" s="141" t="s">
        <v>1690</v>
      </c>
      <c r="Q64" s="17" t="s">
        <v>1690</v>
      </c>
      <c r="R64" s="17" t="s">
        <v>1690</v>
      </c>
      <c r="S64" s="17">
        <v>9999</v>
      </c>
      <c r="T64" s="142">
        <v>0</v>
      </c>
      <c r="U64" s="130" t="s">
        <v>1750</v>
      </c>
      <c r="V64" s="141" t="s">
        <v>1690</v>
      </c>
      <c r="W64" s="17" t="s">
        <v>1690</v>
      </c>
      <c r="X64" s="17" t="s">
        <v>1690</v>
      </c>
      <c r="Y64" s="17">
        <v>9999</v>
      </c>
      <c r="Z64" s="142">
        <v>0</v>
      </c>
      <c r="AA64" s="130" t="s">
        <v>1750</v>
      </c>
      <c r="AB64" s="141" t="s">
        <v>1690</v>
      </c>
      <c r="AC64" s="17" t="s">
        <v>1690</v>
      </c>
      <c r="AD64" s="17" t="s">
        <v>1690</v>
      </c>
      <c r="AE64" s="17">
        <v>9999</v>
      </c>
      <c r="AF64" s="142">
        <v>0</v>
      </c>
      <c r="AG64" s="130"/>
      <c r="AH64" s="143">
        <f>IF(TYPE(VLOOKUP(H64,Nasazení!$A$3:$E$130,5,0))&lt;4,VLOOKUP(H64,Nasazení!$A$3:$E$130,5,0),0)</f>
        <v>0</v>
      </c>
      <c r="AI64" s="144" t="str">
        <f>IF(N($AH64)&gt;0,VLOOKUP($AH64,Body!$A$4:$F$259,5,0),"")</f>
        <v/>
      </c>
      <c r="AJ64" s="145" t="str">
        <f>IF(N($AH64)&gt;0,VLOOKUP($AH64,Body!$A$4:$F$259,6,0),"")</f>
        <v/>
      </c>
      <c r="AK64" s="144" t="str">
        <f>IF(N($AH64)&gt;0,VLOOKUP($AH64,Body!$A$4:$F$259,2,0),"")</f>
        <v/>
      </c>
      <c r="AL64" s="146" t="str">
        <f t="shared" si="8"/>
        <v/>
      </c>
      <c r="AM64" s="142">
        <f t="shared" si="9"/>
        <v>0</v>
      </c>
      <c r="AN64" s="17">
        <f t="shared" si="10"/>
        <v>0</v>
      </c>
      <c r="AO64" s="17">
        <f t="shared" si="11"/>
        <v>0</v>
      </c>
      <c r="AP64" s="17">
        <f t="shared" si="12"/>
        <v>0</v>
      </c>
      <c r="AQ64" s="17">
        <f t="shared" si="13"/>
        <v>0</v>
      </c>
      <c r="AR64" s="17">
        <f t="shared" si="14"/>
        <v>0</v>
      </c>
    </row>
    <row r="65" spans="1:44" ht="12.75" customHeight="1">
      <c r="A65" s="69">
        <f t="shared" si="0"/>
        <v>0</v>
      </c>
      <c r="B65" s="69">
        <f t="shared" si="1"/>
        <v>0</v>
      </c>
      <c r="C65" s="147">
        <f t="shared" si="2"/>
        <v>0</v>
      </c>
      <c r="D65" s="69">
        <f t="shared" si="3"/>
        <v>99999</v>
      </c>
      <c r="E65" s="69">
        <f t="shared" si="4"/>
        <v>9999</v>
      </c>
      <c r="F65" s="98" t="str">
        <f t="shared" ca="1" si="5"/>
        <v>00000000000000000000167457</v>
      </c>
      <c r="G65" s="139" t="b">
        <f t="shared" si="6"/>
        <v>1</v>
      </c>
      <c r="H65" s="140">
        <f t="shared" si="7"/>
        <v>55</v>
      </c>
      <c r="I65" s="130" t="s">
        <v>1750</v>
      </c>
      <c r="J65" s="141" t="s">
        <v>1690</v>
      </c>
      <c r="K65" s="17" t="s">
        <v>1690</v>
      </c>
      <c r="L65" s="17" t="s">
        <v>1690</v>
      </c>
      <c r="M65" s="17">
        <v>9999</v>
      </c>
      <c r="N65" s="142">
        <v>0</v>
      </c>
      <c r="O65" s="130" t="s">
        <v>1750</v>
      </c>
      <c r="P65" s="141" t="s">
        <v>1690</v>
      </c>
      <c r="Q65" s="17" t="s">
        <v>1690</v>
      </c>
      <c r="R65" s="17" t="s">
        <v>1690</v>
      </c>
      <c r="S65" s="17">
        <v>9999</v>
      </c>
      <c r="T65" s="142">
        <v>0</v>
      </c>
      <c r="U65" s="130" t="s">
        <v>1750</v>
      </c>
      <c r="V65" s="141" t="s">
        <v>1690</v>
      </c>
      <c r="W65" s="17" t="s">
        <v>1690</v>
      </c>
      <c r="X65" s="17" t="s">
        <v>1690</v>
      </c>
      <c r="Y65" s="17">
        <v>9999</v>
      </c>
      <c r="Z65" s="142">
        <v>0</v>
      </c>
      <c r="AA65" s="130" t="s">
        <v>1750</v>
      </c>
      <c r="AB65" s="141" t="s">
        <v>1690</v>
      </c>
      <c r="AC65" s="17" t="s">
        <v>1690</v>
      </c>
      <c r="AD65" s="17" t="s">
        <v>1690</v>
      </c>
      <c r="AE65" s="17">
        <v>9999</v>
      </c>
      <c r="AF65" s="142">
        <v>0</v>
      </c>
      <c r="AG65" s="130"/>
      <c r="AH65" s="143">
        <f>IF(TYPE(VLOOKUP(H65,Nasazení!$A$3:$E$130,5,0))&lt;4,VLOOKUP(H65,Nasazení!$A$3:$E$130,5,0),0)</f>
        <v>0</v>
      </c>
      <c r="AI65" s="144" t="str">
        <f>IF(N($AH65)&gt;0,VLOOKUP($AH65,Body!$A$4:$F$259,5,0),"")</f>
        <v/>
      </c>
      <c r="AJ65" s="145" t="str">
        <f>IF(N($AH65)&gt;0,VLOOKUP($AH65,Body!$A$4:$F$259,6,0),"")</f>
        <v/>
      </c>
      <c r="AK65" s="144" t="str">
        <f>IF(N($AH65)&gt;0,VLOOKUP($AH65,Body!$A$4:$F$259,2,0),"")</f>
        <v/>
      </c>
      <c r="AL65" s="146" t="str">
        <f t="shared" si="8"/>
        <v/>
      </c>
      <c r="AM65" s="142">
        <f t="shared" si="9"/>
        <v>0</v>
      </c>
      <c r="AN65" s="17">
        <f t="shared" si="10"/>
        <v>0</v>
      </c>
      <c r="AO65" s="17">
        <f t="shared" si="11"/>
        <v>0</v>
      </c>
      <c r="AP65" s="17">
        <f t="shared" si="12"/>
        <v>0</v>
      </c>
      <c r="AQ65" s="17">
        <f t="shared" si="13"/>
        <v>0</v>
      </c>
      <c r="AR65" s="17">
        <f t="shared" si="14"/>
        <v>0</v>
      </c>
    </row>
    <row r="66" spans="1:44" ht="12.75" customHeight="1">
      <c r="A66" s="69">
        <f t="shared" si="0"/>
        <v>0</v>
      </c>
      <c r="B66" s="69">
        <f t="shared" si="1"/>
        <v>0</v>
      </c>
      <c r="C66" s="147">
        <f t="shared" si="2"/>
        <v>0</v>
      </c>
      <c r="D66" s="69">
        <f t="shared" si="3"/>
        <v>99999</v>
      </c>
      <c r="E66" s="69">
        <f t="shared" si="4"/>
        <v>9999</v>
      </c>
      <c r="F66" s="98" t="str">
        <f t="shared" ca="1" si="5"/>
        <v>00000000000000000000553197</v>
      </c>
      <c r="G66" s="139" t="b">
        <f t="shared" si="6"/>
        <v>1</v>
      </c>
      <c r="H66" s="140">
        <f t="shared" si="7"/>
        <v>56</v>
      </c>
      <c r="I66" s="130" t="s">
        <v>1750</v>
      </c>
      <c r="J66" s="141" t="s">
        <v>1690</v>
      </c>
      <c r="K66" s="17" t="s">
        <v>1690</v>
      </c>
      <c r="L66" s="17" t="s">
        <v>1690</v>
      </c>
      <c r="M66" s="17">
        <v>9999</v>
      </c>
      <c r="N66" s="142">
        <v>0</v>
      </c>
      <c r="O66" s="130" t="s">
        <v>1750</v>
      </c>
      <c r="P66" s="141" t="s">
        <v>1690</v>
      </c>
      <c r="Q66" s="17" t="s">
        <v>1690</v>
      </c>
      <c r="R66" s="17" t="s">
        <v>1690</v>
      </c>
      <c r="S66" s="17">
        <v>9999</v>
      </c>
      <c r="T66" s="142">
        <v>0</v>
      </c>
      <c r="U66" s="130" t="s">
        <v>1750</v>
      </c>
      <c r="V66" s="141" t="s">
        <v>1690</v>
      </c>
      <c r="W66" s="17" t="s">
        <v>1690</v>
      </c>
      <c r="X66" s="17" t="s">
        <v>1690</v>
      </c>
      <c r="Y66" s="17">
        <v>9999</v>
      </c>
      <c r="Z66" s="142">
        <v>0</v>
      </c>
      <c r="AA66" s="130" t="s">
        <v>1750</v>
      </c>
      <c r="AB66" s="141" t="s">
        <v>1690</v>
      </c>
      <c r="AC66" s="17" t="s">
        <v>1690</v>
      </c>
      <c r="AD66" s="17" t="s">
        <v>1690</v>
      </c>
      <c r="AE66" s="17">
        <v>9999</v>
      </c>
      <c r="AF66" s="142">
        <v>0</v>
      </c>
      <c r="AG66" s="130"/>
      <c r="AH66" s="143">
        <f>IF(TYPE(VLOOKUP(H66,Nasazení!$A$3:$E$130,5,0))&lt;4,VLOOKUP(H66,Nasazení!$A$3:$E$130,5,0),0)</f>
        <v>0</v>
      </c>
      <c r="AI66" s="144" t="str">
        <f>IF(N($AH66)&gt;0,VLOOKUP($AH66,Body!$A$4:$F$259,5,0),"")</f>
        <v/>
      </c>
      <c r="AJ66" s="145" t="str">
        <f>IF(N($AH66)&gt;0,VLOOKUP($AH66,Body!$A$4:$F$259,6,0),"")</f>
        <v/>
      </c>
      <c r="AK66" s="144" t="str">
        <f>IF(N($AH66)&gt;0,VLOOKUP($AH66,Body!$A$4:$F$259,2,0),"")</f>
        <v/>
      </c>
      <c r="AL66" s="146" t="str">
        <f t="shared" si="8"/>
        <v/>
      </c>
      <c r="AM66" s="142">
        <f t="shared" si="9"/>
        <v>0</v>
      </c>
      <c r="AN66" s="17">
        <f t="shared" si="10"/>
        <v>0</v>
      </c>
      <c r="AO66" s="17">
        <f t="shared" si="11"/>
        <v>0</v>
      </c>
      <c r="AP66" s="17">
        <f t="shared" si="12"/>
        <v>0</v>
      </c>
      <c r="AQ66" s="17">
        <f t="shared" si="13"/>
        <v>0</v>
      </c>
      <c r="AR66" s="17">
        <f t="shared" si="14"/>
        <v>0</v>
      </c>
    </row>
    <row r="67" spans="1:44" ht="12.75" customHeight="1">
      <c r="A67" s="69">
        <f t="shared" si="0"/>
        <v>0</v>
      </c>
      <c r="B67" s="69">
        <f t="shared" si="1"/>
        <v>0</v>
      </c>
      <c r="C67" s="147">
        <f t="shared" si="2"/>
        <v>0</v>
      </c>
      <c r="D67" s="69">
        <f t="shared" si="3"/>
        <v>99999</v>
      </c>
      <c r="E67" s="69">
        <f t="shared" si="4"/>
        <v>9999</v>
      </c>
      <c r="F67" s="98" t="str">
        <f t="shared" ca="1" si="5"/>
        <v>00000000000000000000792663</v>
      </c>
      <c r="G67" s="139" t="b">
        <f t="shared" si="6"/>
        <v>1</v>
      </c>
      <c r="H67" s="140">
        <f t="shared" si="7"/>
        <v>57</v>
      </c>
      <c r="I67" s="130" t="s">
        <v>1750</v>
      </c>
      <c r="J67" s="141" t="s">
        <v>1690</v>
      </c>
      <c r="K67" s="17" t="s">
        <v>1690</v>
      </c>
      <c r="L67" s="17" t="s">
        <v>1690</v>
      </c>
      <c r="M67" s="17">
        <v>9999</v>
      </c>
      <c r="N67" s="142">
        <v>0</v>
      </c>
      <c r="O67" s="130" t="s">
        <v>1750</v>
      </c>
      <c r="P67" s="141" t="s">
        <v>1690</v>
      </c>
      <c r="Q67" s="17" t="s">
        <v>1690</v>
      </c>
      <c r="R67" s="17" t="s">
        <v>1690</v>
      </c>
      <c r="S67" s="17">
        <v>9999</v>
      </c>
      <c r="T67" s="142">
        <v>0</v>
      </c>
      <c r="U67" s="130" t="s">
        <v>1750</v>
      </c>
      <c r="V67" s="141" t="s">
        <v>1690</v>
      </c>
      <c r="W67" s="17" t="s">
        <v>1690</v>
      </c>
      <c r="X67" s="17" t="s">
        <v>1690</v>
      </c>
      <c r="Y67" s="17">
        <v>9999</v>
      </c>
      <c r="Z67" s="142">
        <v>0</v>
      </c>
      <c r="AA67" s="130" t="s">
        <v>1750</v>
      </c>
      <c r="AB67" s="141" t="s">
        <v>1690</v>
      </c>
      <c r="AC67" s="17" t="s">
        <v>1690</v>
      </c>
      <c r="AD67" s="17" t="s">
        <v>1690</v>
      </c>
      <c r="AE67" s="17">
        <v>9999</v>
      </c>
      <c r="AF67" s="142">
        <v>0</v>
      </c>
      <c r="AG67" s="130"/>
      <c r="AH67" s="143">
        <f>IF(TYPE(VLOOKUP(H67,Nasazení!$A$3:$E$130,5,0))&lt;4,VLOOKUP(H67,Nasazení!$A$3:$E$130,5,0),0)</f>
        <v>0</v>
      </c>
      <c r="AI67" s="144" t="str">
        <f>IF(N($AH67)&gt;0,VLOOKUP($AH67,Body!$A$4:$F$259,5,0),"")</f>
        <v/>
      </c>
      <c r="AJ67" s="145" t="str">
        <f>IF(N($AH67)&gt;0,VLOOKUP($AH67,Body!$A$4:$F$259,6,0),"")</f>
        <v/>
      </c>
      <c r="AK67" s="144" t="str">
        <f>IF(N($AH67)&gt;0,VLOOKUP($AH67,Body!$A$4:$F$259,2,0),"")</f>
        <v/>
      </c>
      <c r="AL67" s="146" t="str">
        <f t="shared" si="8"/>
        <v/>
      </c>
      <c r="AM67" s="142">
        <f t="shared" si="9"/>
        <v>0</v>
      </c>
      <c r="AN67" s="17">
        <f t="shared" si="10"/>
        <v>0</v>
      </c>
      <c r="AO67" s="17">
        <f t="shared" si="11"/>
        <v>0</v>
      </c>
      <c r="AP67" s="17">
        <f t="shared" si="12"/>
        <v>0</v>
      </c>
      <c r="AQ67" s="17">
        <f t="shared" si="13"/>
        <v>0</v>
      </c>
      <c r="AR67" s="17">
        <f t="shared" si="14"/>
        <v>0</v>
      </c>
    </row>
    <row r="68" spans="1:44" ht="12.75" customHeight="1">
      <c r="A68" s="69">
        <f t="shared" si="0"/>
        <v>0</v>
      </c>
      <c r="B68" s="69">
        <f t="shared" si="1"/>
        <v>0</v>
      </c>
      <c r="C68" s="147">
        <f t="shared" si="2"/>
        <v>0</v>
      </c>
      <c r="D68" s="69">
        <f t="shared" si="3"/>
        <v>99999</v>
      </c>
      <c r="E68" s="69">
        <f t="shared" si="4"/>
        <v>9999</v>
      </c>
      <c r="F68" s="98" t="str">
        <f t="shared" ca="1" si="5"/>
        <v>00000000000000000000222100</v>
      </c>
      <c r="G68" s="139" t="b">
        <f t="shared" si="6"/>
        <v>1</v>
      </c>
      <c r="H68" s="140">
        <f t="shared" si="7"/>
        <v>58</v>
      </c>
      <c r="I68" s="130" t="s">
        <v>1750</v>
      </c>
      <c r="J68" s="141" t="s">
        <v>1690</v>
      </c>
      <c r="K68" s="17" t="s">
        <v>1690</v>
      </c>
      <c r="L68" s="17" t="s">
        <v>1690</v>
      </c>
      <c r="M68" s="17">
        <v>9999</v>
      </c>
      <c r="N68" s="142">
        <v>0</v>
      </c>
      <c r="O68" s="130" t="s">
        <v>1750</v>
      </c>
      <c r="P68" s="141" t="s">
        <v>1690</v>
      </c>
      <c r="Q68" s="17" t="s">
        <v>1690</v>
      </c>
      <c r="R68" s="17" t="s">
        <v>1690</v>
      </c>
      <c r="S68" s="17">
        <v>9999</v>
      </c>
      <c r="T68" s="142">
        <v>0</v>
      </c>
      <c r="U68" s="130" t="s">
        <v>1750</v>
      </c>
      <c r="V68" s="141" t="s">
        <v>1690</v>
      </c>
      <c r="W68" s="17" t="s">
        <v>1690</v>
      </c>
      <c r="X68" s="17" t="s">
        <v>1690</v>
      </c>
      <c r="Y68" s="17">
        <v>9999</v>
      </c>
      <c r="Z68" s="142">
        <v>0</v>
      </c>
      <c r="AA68" s="130" t="s">
        <v>1750</v>
      </c>
      <c r="AB68" s="141" t="s">
        <v>1690</v>
      </c>
      <c r="AC68" s="17" t="s">
        <v>1690</v>
      </c>
      <c r="AD68" s="17" t="s">
        <v>1690</v>
      </c>
      <c r="AE68" s="17">
        <v>9999</v>
      </c>
      <c r="AF68" s="142">
        <v>0</v>
      </c>
      <c r="AG68" s="130"/>
      <c r="AH68" s="143">
        <f>IF(TYPE(VLOOKUP(H68,Nasazení!$A$3:$E$130,5,0))&lt;4,VLOOKUP(H68,Nasazení!$A$3:$E$130,5,0),0)</f>
        <v>0</v>
      </c>
      <c r="AI68" s="144" t="str">
        <f>IF(N($AH68)&gt;0,VLOOKUP($AH68,Body!$A$4:$F$259,5,0),"")</f>
        <v/>
      </c>
      <c r="AJ68" s="145" t="str">
        <f>IF(N($AH68)&gt;0,VLOOKUP($AH68,Body!$A$4:$F$259,6,0),"")</f>
        <v/>
      </c>
      <c r="AK68" s="144" t="str">
        <f>IF(N($AH68)&gt;0,VLOOKUP($AH68,Body!$A$4:$F$259,2,0),"")</f>
        <v/>
      </c>
      <c r="AL68" s="146" t="str">
        <f t="shared" si="8"/>
        <v/>
      </c>
      <c r="AM68" s="142">
        <f t="shared" si="9"/>
        <v>0</v>
      </c>
      <c r="AN68" s="17">
        <f t="shared" si="10"/>
        <v>0</v>
      </c>
      <c r="AO68" s="17">
        <f t="shared" si="11"/>
        <v>0</v>
      </c>
      <c r="AP68" s="17">
        <f t="shared" si="12"/>
        <v>0</v>
      </c>
      <c r="AQ68" s="17">
        <f t="shared" si="13"/>
        <v>0</v>
      </c>
      <c r="AR68" s="17">
        <f t="shared" si="14"/>
        <v>0</v>
      </c>
    </row>
    <row r="69" spans="1:44" ht="12.75" customHeight="1">
      <c r="A69" s="69">
        <f t="shared" si="0"/>
        <v>0</v>
      </c>
      <c r="B69" s="69">
        <f t="shared" si="1"/>
        <v>0</v>
      </c>
      <c r="C69" s="147">
        <f t="shared" si="2"/>
        <v>0</v>
      </c>
      <c r="D69" s="69">
        <f t="shared" si="3"/>
        <v>99999</v>
      </c>
      <c r="E69" s="69">
        <f t="shared" si="4"/>
        <v>9999</v>
      </c>
      <c r="F69" s="98" t="str">
        <f t="shared" ca="1" si="5"/>
        <v>00000000000000000000824108</v>
      </c>
      <c r="G69" s="139" t="b">
        <f t="shared" si="6"/>
        <v>1</v>
      </c>
      <c r="H69" s="140">
        <f t="shared" si="7"/>
        <v>59</v>
      </c>
      <c r="I69" s="130" t="s">
        <v>1750</v>
      </c>
      <c r="J69" s="141" t="s">
        <v>1690</v>
      </c>
      <c r="K69" s="17" t="s">
        <v>1690</v>
      </c>
      <c r="L69" s="17" t="s">
        <v>1690</v>
      </c>
      <c r="M69" s="17">
        <v>9999</v>
      </c>
      <c r="N69" s="142">
        <v>0</v>
      </c>
      <c r="O69" s="130" t="s">
        <v>1750</v>
      </c>
      <c r="P69" s="141" t="s">
        <v>1690</v>
      </c>
      <c r="Q69" s="17" t="s">
        <v>1690</v>
      </c>
      <c r="R69" s="17" t="s">
        <v>1690</v>
      </c>
      <c r="S69" s="17">
        <v>9999</v>
      </c>
      <c r="T69" s="142">
        <v>0</v>
      </c>
      <c r="U69" s="130" t="s">
        <v>1750</v>
      </c>
      <c r="V69" s="141" t="s">
        <v>1690</v>
      </c>
      <c r="W69" s="17" t="s">
        <v>1690</v>
      </c>
      <c r="X69" s="17" t="s">
        <v>1690</v>
      </c>
      <c r="Y69" s="17">
        <v>9999</v>
      </c>
      <c r="Z69" s="142">
        <v>0</v>
      </c>
      <c r="AA69" s="130" t="s">
        <v>1750</v>
      </c>
      <c r="AB69" s="141" t="s">
        <v>1690</v>
      </c>
      <c r="AC69" s="17" t="s">
        <v>1690</v>
      </c>
      <c r="AD69" s="17" t="s">
        <v>1690</v>
      </c>
      <c r="AE69" s="17">
        <v>9999</v>
      </c>
      <c r="AF69" s="142">
        <v>0</v>
      </c>
      <c r="AG69" s="130"/>
      <c r="AH69" s="143">
        <f>IF(TYPE(VLOOKUP(H69,Nasazení!$A$3:$E$130,5,0))&lt;4,VLOOKUP(H69,Nasazení!$A$3:$E$130,5,0),0)</f>
        <v>0</v>
      </c>
      <c r="AI69" s="144" t="str">
        <f>IF(N($AH69)&gt;0,VLOOKUP($AH69,Body!$A$4:$F$259,5,0),"")</f>
        <v/>
      </c>
      <c r="AJ69" s="145" t="str">
        <f>IF(N($AH69)&gt;0,VLOOKUP($AH69,Body!$A$4:$F$259,6,0),"")</f>
        <v/>
      </c>
      <c r="AK69" s="144" t="str">
        <f>IF(N($AH69)&gt;0,VLOOKUP($AH69,Body!$A$4:$F$259,2,0),"")</f>
        <v/>
      </c>
      <c r="AL69" s="146" t="str">
        <f t="shared" si="8"/>
        <v/>
      </c>
      <c r="AM69" s="142">
        <f t="shared" si="9"/>
        <v>0</v>
      </c>
      <c r="AN69" s="17">
        <f t="shared" si="10"/>
        <v>0</v>
      </c>
      <c r="AO69" s="17">
        <f t="shared" si="11"/>
        <v>0</v>
      </c>
      <c r="AP69" s="17">
        <f t="shared" si="12"/>
        <v>0</v>
      </c>
      <c r="AQ69" s="17">
        <f t="shared" si="13"/>
        <v>0</v>
      </c>
      <c r="AR69" s="17">
        <f t="shared" si="14"/>
        <v>0</v>
      </c>
    </row>
    <row r="70" spans="1:44" ht="12.75" customHeight="1">
      <c r="A70" s="69">
        <f t="shared" si="0"/>
        <v>0</v>
      </c>
      <c r="B70" s="69">
        <f t="shared" si="1"/>
        <v>0</v>
      </c>
      <c r="C70" s="147">
        <f t="shared" si="2"/>
        <v>0</v>
      </c>
      <c r="D70" s="69">
        <f t="shared" si="3"/>
        <v>99999</v>
      </c>
      <c r="E70" s="69">
        <f t="shared" si="4"/>
        <v>9999</v>
      </c>
      <c r="F70" s="98" t="str">
        <f t="shared" ca="1" si="5"/>
        <v>00000000000000000000113600</v>
      </c>
      <c r="G70" s="139" t="b">
        <f t="shared" si="6"/>
        <v>1</v>
      </c>
      <c r="H70" s="140">
        <f t="shared" si="7"/>
        <v>60</v>
      </c>
      <c r="I70" s="130" t="s">
        <v>1750</v>
      </c>
      <c r="J70" s="141" t="s">
        <v>1690</v>
      </c>
      <c r="K70" s="17" t="s">
        <v>1690</v>
      </c>
      <c r="L70" s="17" t="s">
        <v>1690</v>
      </c>
      <c r="M70" s="17">
        <v>9999</v>
      </c>
      <c r="N70" s="142">
        <v>0</v>
      </c>
      <c r="O70" s="130" t="s">
        <v>1750</v>
      </c>
      <c r="P70" s="141" t="s">
        <v>1690</v>
      </c>
      <c r="Q70" s="17" t="s">
        <v>1690</v>
      </c>
      <c r="R70" s="17" t="s">
        <v>1690</v>
      </c>
      <c r="S70" s="17">
        <v>9999</v>
      </c>
      <c r="T70" s="142">
        <v>0</v>
      </c>
      <c r="U70" s="130" t="s">
        <v>1750</v>
      </c>
      <c r="V70" s="141" t="s">
        <v>1690</v>
      </c>
      <c r="W70" s="17" t="s">
        <v>1690</v>
      </c>
      <c r="X70" s="17" t="s">
        <v>1690</v>
      </c>
      <c r="Y70" s="17">
        <v>9999</v>
      </c>
      <c r="Z70" s="142">
        <v>0</v>
      </c>
      <c r="AA70" s="130" t="s">
        <v>1750</v>
      </c>
      <c r="AB70" s="141" t="s">
        <v>1690</v>
      </c>
      <c r="AC70" s="17" t="s">
        <v>1690</v>
      </c>
      <c r="AD70" s="17" t="s">
        <v>1690</v>
      </c>
      <c r="AE70" s="17">
        <v>9999</v>
      </c>
      <c r="AF70" s="142">
        <v>0</v>
      </c>
      <c r="AG70" s="130"/>
      <c r="AH70" s="143">
        <f>IF(TYPE(VLOOKUP(H70,Nasazení!$A$3:$E$130,5,0))&lt;4,VLOOKUP(H70,Nasazení!$A$3:$E$130,5,0),0)</f>
        <v>0</v>
      </c>
      <c r="AI70" s="144" t="str">
        <f>IF(N($AH70)&gt;0,VLOOKUP($AH70,Body!$A$4:$F$259,5,0),"")</f>
        <v/>
      </c>
      <c r="AJ70" s="145" t="str">
        <f>IF(N($AH70)&gt;0,VLOOKUP($AH70,Body!$A$4:$F$259,6,0),"")</f>
        <v/>
      </c>
      <c r="AK70" s="144" t="str">
        <f>IF(N($AH70)&gt;0,VLOOKUP($AH70,Body!$A$4:$F$259,2,0),"")</f>
        <v/>
      </c>
      <c r="AL70" s="146" t="str">
        <f t="shared" si="8"/>
        <v/>
      </c>
      <c r="AM70" s="142">
        <f t="shared" si="9"/>
        <v>0</v>
      </c>
      <c r="AN70" s="17">
        <f t="shared" si="10"/>
        <v>0</v>
      </c>
      <c r="AO70" s="17">
        <f t="shared" si="11"/>
        <v>0</v>
      </c>
      <c r="AP70" s="17">
        <f t="shared" si="12"/>
        <v>0</v>
      </c>
      <c r="AQ70" s="17">
        <f t="shared" si="13"/>
        <v>0</v>
      </c>
      <c r="AR70" s="17">
        <f t="shared" si="14"/>
        <v>0</v>
      </c>
    </row>
    <row r="71" spans="1:44" ht="12.75" customHeight="1">
      <c r="A71" s="69">
        <f t="shared" si="0"/>
        <v>0</v>
      </c>
      <c r="B71" s="69">
        <f t="shared" si="1"/>
        <v>0</v>
      </c>
      <c r="C71" s="147">
        <f t="shared" si="2"/>
        <v>0</v>
      </c>
      <c r="D71" s="69">
        <f t="shared" si="3"/>
        <v>99999</v>
      </c>
      <c r="E71" s="69">
        <f t="shared" si="4"/>
        <v>9999</v>
      </c>
      <c r="F71" s="98" t="str">
        <f t="shared" ca="1" si="5"/>
        <v>00000000000000000000361703</v>
      </c>
      <c r="G71" s="139" t="b">
        <f t="shared" si="6"/>
        <v>1</v>
      </c>
      <c r="H71" s="140">
        <f t="shared" si="7"/>
        <v>61</v>
      </c>
      <c r="I71" s="130" t="s">
        <v>1750</v>
      </c>
      <c r="J71" s="141" t="s">
        <v>1690</v>
      </c>
      <c r="K71" s="17" t="s">
        <v>1690</v>
      </c>
      <c r="L71" s="17" t="s">
        <v>1690</v>
      </c>
      <c r="M71" s="17">
        <v>9999</v>
      </c>
      <c r="N71" s="142">
        <v>0</v>
      </c>
      <c r="O71" s="130" t="s">
        <v>1750</v>
      </c>
      <c r="P71" s="141" t="s">
        <v>1690</v>
      </c>
      <c r="Q71" s="17" t="s">
        <v>1690</v>
      </c>
      <c r="R71" s="17" t="s">
        <v>1690</v>
      </c>
      <c r="S71" s="17">
        <v>9999</v>
      </c>
      <c r="T71" s="142">
        <v>0</v>
      </c>
      <c r="U71" s="130" t="s">
        <v>1750</v>
      </c>
      <c r="V71" s="141" t="s">
        <v>1690</v>
      </c>
      <c r="W71" s="17" t="s">
        <v>1690</v>
      </c>
      <c r="X71" s="17" t="s">
        <v>1690</v>
      </c>
      <c r="Y71" s="17">
        <v>9999</v>
      </c>
      <c r="Z71" s="142">
        <v>0</v>
      </c>
      <c r="AA71" s="130" t="s">
        <v>1750</v>
      </c>
      <c r="AB71" s="141" t="s">
        <v>1690</v>
      </c>
      <c r="AC71" s="17" t="s">
        <v>1690</v>
      </c>
      <c r="AD71" s="17" t="s">
        <v>1690</v>
      </c>
      <c r="AE71" s="17">
        <v>9999</v>
      </c>
      <c r="AF71" s="142">
        <v>0</v>
      </c>
      <c r="AG71" s="130"/>
      <c r="AH71" s="143">
        <f>IF(TYPE(VLOOKUP(H71,Nasazení!$A$3:$E$130,5,0))&lt;4,VLOOKUP(H71,Nasazení!$A$3:$E$130,5,0),0)</f>
        <v>0</v>
      </c>
      <c r="AI71" s="144" t="str">
        <f>IF(N($AH71)&gt;0,VLOOKUP($AH71,Body!$A$4:$F$259,5,0),"")</f>
        <v/>
      </c>
      <c r="AJ71" s="145" t="str">
        <f>IF(N($AH71)&gt;0,VLOOKUP($AH71,Body!$A$4:$F$259,6,0),"")</f>
        <v/>
      </c>
      <c r="AK71" s="144" t="str">
        <f>IF(N($AH71)&gt;0,VLOOKUP($AH71,Body!$A$4:$F$259,2,0),"")</f>
        <v/>
      </c>
      <c r="AL71" s="146" t="str">
        <f t="shared" si="8"/>
        <v/>
      </c>
      <c r="AM71" s="142">
        <f t="shared" si="9"/>
        <v>0</v>
      </c>
      <c r="AN71" s="17">
        <f t="shared" si="10"/>
        <v>0</v>
      </c>
      <c r="AO71" s="17">
        <f t="shared" si="11"/>
        <v>0</v>
      </c>
      <c r="AP71" s="17">
        <f t="shared" si="12"/>
        <v>0</v>
      </c>
      <c r="AQ71" s="17">
        <f t="shared" si="13"/>
        <v>0</v>
      </c>
      <c r="AR71" s="17">
        <f t="shared" si="14"/>
        <v>0</v>
      </c>
    </row>
    <row r="72" spans="1:44" ht="12.75" customHeight="1">
      <c r="A72" s="69">
        <f t="shared" si="0"/>
        <v>0</v>
      </c>
      <c r="B72" s="69">
        <f t="shared" si="1"/>
        <v>0</v>
      </c>
      <c r="C72" s="147">
        <f t="shared" si="2"/>
        <v>0</v>
      </c>
      <c r="D72" s="69">
        <f t="shared" si="3"/>
        <v>99999</v>
      </c>
      <c r="E72" s="69">
        <f t="shared" si="4"/>
        <v>9999</v>
      </c>
      <c r="F72" s="98" t="str">
        <f t="shared" ca="1" si="5"/>
        <v>00000000000000000000313981</v>
      </c>
      <c r="G72" s="139" t="b">
        <f t="shared" si="6"/>
        <v>1</v>
      </c>
      <c r="H72" s="140">
        <f t="shared" si="7"/>
        <v>62</v>
      </c>
      <c r="I72" s="130" t="s">
        <v>1750</v>
      </c>
      <c r="J72" s="141" t="s">
        <v>1690</v>
      </c>
      <c r="K72" s="17" t="s">
        <v>1690</v>
      </c>
      <c r="L72" s="17" t="s">
        <v>1690</v>
      </c>
      <c r="M72" s="17">
        <v>9999</v>
      </c>
      <c r="N72" s="142">
        <v>0</v>
      </c>
      <c r="O72" s="130" t="s">
        <v>1750</v>
      </c>
      <c r="P72" s="141" t="s">
        <v>1690</v>
      </c>
      <c r="Q72" s="17" t="s">
        <v>1690</v>
      </c>
      <c r="R72" s="17" t="s">
        <v>1690</v>
      </c>
      <c r="S72" s="17">
        <v>9999</v>
      </c>
      <c r="T72" s="142">
        <v>0</v>
      </c>
      <c r="U72" s="130" t="s">
        <v>1750</v>
      </c>
      <c r="V72" s="141" t="s">
        <v>1690</v>
      </c>
      <c r="W72" s="17" t="s">
        <v>1690</v>
      </c>
      <c r="X72" s="17" t="s">
        <v>1690</v>
      </c>
      <c r="Y72" s="17">
        <v>9999</v>
      </c>
      <c r="Z72" s="142">
        <v>0</v>
      </c>
      <c r="AA72" s="130" t="s">
        <v>1750</v>
      </c>
      <c r="AB72" s="141" t="s">
        <v>1690</v>
      </c>
      <c r="AC72" s="17" t="s">
        <v>1690</v>
      </c>
      <c r="AD72" s="17" t="s">
        <v>1690</v>
      </c>
      <c r="AE72" s="17">
        <v>9999</v>
      </c>
      <c r="AF72" s="142">
        <v>0</v>
      </c>
      <c r="AG72" s="130"/>
      <c r="AH72" s="143">
        <f>IF(TYPE(VLOOKUP(H72,Nasazení!$A$3:$E$130,5,0))&lt;4,VLOOKUP(H72,Nasazení!$A$3:$E$130,5,0),0)</f>
        <v>0</v>
      </c>
      <c r="AI72" s="144" t="str">
        <f>IF(N($AH72)&gt;0,VLOOKUP($AH72,Body!$A$4:$F$259,5,0),"")</f>
        <v/>
      </c>
      <c r="AJ72" s="145" t="str">
        <f>IF(N($AH72)&gt;0,VLOOKUP($AH72,Body!$A$4:$F$259,6,0),"")</f>
        <v/>
      </c>
      <c r="AK72" s="144" t="str">
        <f>IF(N($AH72)&gt;0,VLOOKUP($AH72,Body!$A$4:$F$259,2,0),"")</f>
        <v/>
      </c>
      <c r="AL72" s="146" t="str">
        <f t="shared" si="8"/>
        <v/>
      </c>
      <c r="AM72" s="142">
        <f t="shared" si="9"/>
        <v>0</v>
      </c>
      <c r="AN72" s="17">
        <f t="shared" si="10"/>
        <v>0</v>
      </c>
      <c r="AO72" s="17">
        <f t="shared" si="11"/>
        <v>0</v>
      </c>
      <c r="AP72" s="17">
        <f t="shared" si="12"/>
        <v>0</v>
      </c>
      <c r="AQ72" s="17">
        <f t="shared" si="13"/>
        <v>0</v>
      </c>
      <c r="AR72" s="17">
        <f t="shared" si="14"/>
        <v>0</v>
      </c>
    </row>
    <row r="73" spans="1:44" ht="12.75" customHeight="1">
      <c r="A73" s="69">
        <f t="shared" si="0"/>
        <v>0</v>
      </c>
      <c r="B73" s="69">
        <f t="shared" si="1"/>
        <v>0</v>
      </c>
      <c r="C73" s="147">
        <f t="shared" si="2"/>
        <v>0</v>
      </c>
      <c r="D73" s="69">
        <f t="shared" si="3"/>
        <v>99999</v>
      </c>
      <c r="E73" s="69">
        <f t="shared" si="4"/>
        <v>9999</v>
      </c>
      <c r="F73" s="98" t="str">
        <f t="shared" ca="1" si="5"/>
        <v>00000000000000000000165706</v>
      </c>
      <c r="G73" s="139" t="b">
        <f t="shared" si="6"/>
        <v>1</v>
      </c>
      <c r="H73" s="140">
        <f t="shared" si="7"/>
        <v>63</v>
      </c>
      <c r="I73" s="130" t="s">
        <v>1750</v>
      </c>
      <c r="J73" s="141" t="s">
        <v>1690</v>
      </c>
      <c r="K73" s="17" t="s">
        <v>1690</v>
      </c>
      <c r="L73" s="17" t="s">
        <v>1690</v>
      </c>
      <c r="M73" s="17">
        <v>9999</v>
      </c>
      <c r="N73" s="142">
        <v>0</v>
      </c>
      <c r="O73" s="130" t="s">
        <v>1750</v>
      </c>
      <c r="P73" s="141" t="s">
        <v>1690</v>
      </c>
      <c r="Q73" s="17" t="s">
        <v>1690</v>
      </c>
      <c r="R73" s="17" t="s">
        <v>1690</v>
      </c>
      <c r="S73" s="17">
        <v>9999</v>
      </c>
      <c r="T73" s="142">
        <v>0</v>
      </c>
      <c r="U73" s="130" t="s">
        <v>1750</v>
      </c>
      <c r="V73" s="141" t="s">
        <v>1690</v>
      </c>
      <c r="W73" s="17" t="s">
        <v>1690</v>
      </c>
      <c r="X73" s="17" t="s">
        <v>1690</v>
      </c>
      <c r="Y73" s="17">
        <v>9999</v>
      </c>
      <c r="Z73" s="142">
        <v>0</v>
      </c>
      <c r="AA73" s="130" t="s">
        <v>1750</v>
      </c>
      <c r="AB73" s="141" t="s">
        <v>1690</v>
      </c>
      <c r="AC73" s="17" t="s">
        <v>1690</v>
      </c>
      <c r="AD73" s="17" t="s">
        <v>1690</v>
      </c>
      <c r="AE73" s="17">
        <v>9999</v>
      </c>
      <c r="AF73" s="142">
        <v>0</v>
      </c>
      <c r="AG73" s="130"/>
      <c r="AH73" s="143">
        <f>IF(TYPE(VLOOKUP(H73,Nasazení!$A$3:$E$130,5,0))&lt;4,VLOOKUP(H73,Nasazení!$A$3:$E$130,5,0),0)</f>
        <v>0</v>
      </c>
      <c r="AI73" s="144" t="str">
        <f>IF(N($AH73)&gt;0,VLOOKUP($AH73,Body!$A$4:$F$259,5,0),"")</f>
        <v/>
      </c>
      <c r="AJ73" s="145" t="str">
        <f>IF(N($AH73)&gt;0,VLOOKUP($AH73,Body!$A$4:$F$259,6,0),"")</f>
        <v/>
      </c>
      <c r="AK73" s="144" t="str">
        <f>IF(N($AH73)&gt;0,VLOOKUP($AH73,Body!$A$4:$F$259,2,0),"")</f>
        <v/>
      </c>
      <c r="AL73" s="146" t="str">
        <f t="shared" si="8"/>
        <v/>
      </c>
      <c r="AM73" s="142">
        <f t="shared" si="9"/>
        <v>0</v>
      </c>
      <c r="AN73" s="17">
        <f t="shared" si="10"/>
        <v>0</v>
      </c>
      <c r="AO73" s="17">
        <f t="shared" si="11"/>
        <v>0</v>
      </c>
      <c r="AP73" s="17">
        <f t="shared" si="12"/>
        <v>0</v>
      </c>
      <c r="AQ73" s="17">
        <f t="shared" si="13"/>
        <v>0</v>
      </c>
      <c r="AR73" s="17">
        <f t="shared" si="14"/>
        <v>0</v>
      </c>
    </row>
    <row r="74" spans="1:44" ht="12.75" customHeight="1">
      <c r="A74" s="69">
        <f t="shared" si="0"/>
        <v>0</v>
      </c>
      <c r="B74" s="69">
        <f t="shared" si="1"/>
        <v>0</v>
      </c>
      <c r="C74" s="147">
        <f t="shared" si="2"/>
        <v>0</v>
      </c>
      <c r="D74" s="69">
        <f t="shared" si="3"/>
        <v>99999</v>
      </c>
      <c r="E74" s="69">
        <f t="shared" si="4"/>
        <v>9999</v>
      </c>
      <c r="F74" s="98" t="str">
        <f t="shared" ca="1" si="5"/>
        <v>00000000000000000000786959</v>
      </c>
      <c r="G74" s="139" t="b">
        <f t="shared" si="6"/>
        <v>1</v>
      </c>
      <c r="H74" s="140">
        <f t="shared" si="7"/>
        <v>64</v>
      </c>
      <c r="I74" s="130" t="s">
        <v>1750</v>
      </c>
      <c r="J74" s="141" t="s">
        <v>1690</v>
      </c>
      <c r="K74" s="17" t="s">
        <v>1690</v>
      </c>
      <c r="L74" s="17" t="s">
        <v>1690</v>
      </c>
      <c r="M74" s="17">
        <v>9999</v>
      </c>
      <c r="N74" s="142">
        <v>0</v>
      </c>
      <c r="O74" s="130" t="s">
        <v>1750</v>
      </c>
      <c r="P74" s="141" t="s">
        <v>1690</v>
      </c>
      <c r="Q74" s="17" t="s">
        <v>1690</v>
      </c>
      <c r="R74" s="17" t="s">
        <v>1690</v>
      </c>
      <c r="S74" s="17">
        <v>9999</v>
      </c>
      <c r="T74" s="142">
        <v>0</v>
      </c>
      <c r="U74" s="130" t="s">
        <v>1750</v>
      </c>
      <c r="V74" s="141" t="s">
        <v>1690</v>
      </c>
      <c r="W74" s="17" t="s">
        <v>1690</v>
      </c>
      <c r="X74" s="17" t="s">
        <v>1690</v>
      </c>
      <c r="Y74" s="17">
        <v>9999</v>
      </c>
      <c r="Z74" s="142">
        <v>0</v>
      </c>
      <c r="AA74" s="130" t="s">
        <v>1750</v>
      </c>
      <c r="AB74" s="141" t="s">
        <v>1690</v>
      </c>
      <c r="AC74" s="17" t="s">
        <v>1690</v>
      </c>
      <c r="AD74" s="17" t="s">
        <v>1690</v>
      </c>
      <c r="AE74" s="17">
        <v>9999</v>
      </c>
      <c r="AF74" s="142">
        <v>0</v>
      </c>
      <c r="AG74" s="130"/>
      <c r="AH74" s="143">
        <f>IF(TYPE(VLOOKUP(H74,Nasazení!$A$3:$E$130,5,0))&lt;4,VLOOKUP(H74,Nasazení!$A$3:$E$130,5,0),0)</f>
        <v>0</v>
      </c>
      <c r="AI74" s="144" t="str">
        <f>IF(N($AH74)&gt;0,VLOOKUP($AH74,Body!$A$4:$F$259,5,0),"")</f>
        <v/>
      </c>
      <c r="AJ74" s="145" t="str">
        <f>IF(N($AH74)&gt;0,VLOOKUP($AH74,Body!$A$4:$F$259,6,0),"")</f>
        <v/>
      </c>
      <c r="AK74" s="144" t="str">
        <f>IF(N($AH74)&gt;0,VLOOKUP($AH74,Body!$A$4:$F$259,2,0),"")</f>
        <v/>
      </c>
      <c r="AL74" s="146" t="str">
        <f t="shared" si="8"/>
        <v/>
      </c>
      <c r="AM74" s="142">
        <f t="shared" si="9"/>
        <v>0</v>
      </c>
      <c r="AN74" s="17">
        <f t="shared" si="10"/>
        <v>0</v>
      </c>
      <c r="AO74" s="17">
        <f t="shared" si="11"/>
        <v>0</v>
      </c>
      <c r="AP74" s="17">
        <f t="shared" si="12"/>
        <v>0</v>
      </c>
      <c r="AQ74" s="17">
        <f t="shared" si="13"/>
        <v>0</v>
      </c>
      <c r="AR74" s="17">
        <f t="shared" si="14"/>
        <v>0</v>
      </c>
    </row>
    <row r="75" spans="1:44" ht="12.75" customHeight="1">
      <c r="A75" s="69">
        <f t="shared" si="0"/>
        <v>0</v>
      </c>
      <c r="B75" s="69">
        <f t="shared" si="1"/>
        <v>0</v>
      </c>
      <c r="C75" s="147">
        <f t="shared" si="2"/>
        <v>0</v>
      </c>
      <c r="D75" s="69">
        <f t="shared" si="3"/>
        <v>99999</v>
      </c>
      <c r="E75" s="69">
        <f t="shared" si="4"/>
        <v>9999</v>
      </c>
      <c r="F75" s="98" t="str">
        <f t="shared" ca="1" si="5"/>
        <v>00000000000000000000069382</v>
      </c>
      <c r="G75" s="139" t="b">
        <f t="shared" si="6"/>
        <v>1</v>
      </c>
      <c r="H75" s="140">
        <f t="shared" si="7"/>
        <v>65</v>
      </c>
      <c r="I75" s="130" t="s">
        <v>1750</v>
      </c>
      <c r="J75" s="141" t="s">
        <v>1690</v>
      </c>
      <c r="K75" s="17" t="s">
        <v>1690</v>
      </c>
      <c r="L75" s="17" t="s">
        <v>1690</v>
      </c>
      <c r="M75" s="17">
        <v>9999</v>
      </c>
      <c r="N75" s="142">
        <v>0</v>
      </c>
      <c r="O75" s="130" t="s">
        <v>1750</v>
      </c>
      <c r="P75" s="141" t="s">
        <v>1690</v>
      </c>
      <c r="Q75" s="17" t="s">
        <v>1690</v>
      </c>
      <c r="R75" s="17" t="s">
        <v>1690</v>
      </c>
      <c r="S75" s="17">
        <v>9999</v>
      </c>
      <c r="T75" s="142">
        <v>0</v>
      </c>
      <c r="U75" s="130" t="s">
        <v>1750</v>
      </c>
      <c r="V75" s="141" t="s">
        <v>1690</v>
      </c>
      <c r="W75" s="17" t="s">
        <v>1690</v>
      </c>
      <c r="X75" s="17" t="s">
        <v>1690</v>
      </c>
      <c r="Y75" s="17">
        <v>9999</v>
      </c>
      <c r="Z75" s="142">
        <v>0</v>
      </c>
      <c r="AA75" s="130" t="s">
        <v>1750</v>
      </c>
      <c r="AB75" s="141" t="s">
        <v>1690</v>
      </c>
      <c r="AC75" s="17" t="s">
        <v>1690</v>
      </c>
      <c r="AD75" s="17" t="s">
        <v>1690</v>
      </c>
      <c r="AE75" s="17">
        <v>9999</v>
      </c>
      <c r="AF75" s="142">
        <v>0</v>
      </c>
      <c r="AG75" s="130"/>
      <c r="AH75" s="143">
        <f>IF(TYPE(VLOOKUP(H75,Nasazení!$A$3:$E$130,5,0))&lt;4,VLOOKUP(H75,Nasazení!$A$3:$E$130,5,0),0)</f>
        <v>0</v>
      </c>
      <c r="AI75" s="144" t="str">
        <f>IF(N($AH75)&gt;0,VLOOKUP($AH75,Body!$A$4:$F$259,5,0),"")</f>
        <v/>
      </c>
      <c r="AJ75" s="145" t="str">
        <f>IF(N($AH75)&gt;0,VLOOKUP($AH75,Body!$A$4:$F$259,6,0),"")</f>
        <v/>
      </c>
      <c r="AK75" s="144" t="str">
        <f>IF(N($AH75)&gt;0,VLOOKUP($AH75,Body!$A$4:$F$259,2,0),"")</f>
        <v/>
      </c>
      <c r="AL75" s="146" t="str">
        <f t="shared" si="8"/>
        <v/>
      </c>
      <c r="AM75" s="142">
        <f t="shared" si="9"/>
        <v>0</v>
      </c>
      <c r="AN75" s="17">
        <f t="shared" si="10"/>
        <v>0</v>
      </c>
      <c r="AO75" s="17">
        <f t="shared" si="11"/>
        <v>0</v>
      </c>
      <c r="AP75" s="17">
        <f t="shared" si="12"/>
        <v>0</v>
      </c>
      <c r="AQ75" s="17">
        <f t="shared" si="13"/>
        <v>0</v>
      </c>
      <c r="AR75" s="17">
        <f t="shared" si="14"/>
        <v>0</v>
      </c>
    </row>
    <row r="76" spans="1:44" ht="12.75" customHeight="1">
      <c r="A76" s="69">
        <f t="shared" si="0"/>
        <v>0</v>
      </c>
      <c r="B76" s="69">
        <f t="shared" si="1"/>
        <v>0</v>
      </c>
      <c r="C76" s="147">
        <f t="shared" si="2"/>
        <v>0</v>
      </c>
      <c r="D76" s="69">
        <f t="shared" si="3"/>
        <v>99999</v>
      </c>
      <c r="E76" s="69">
        <f t="shared" si="4"/>
        <v>9999</v>
      </c>
      <c r="F76" s="98" t="str">
        <f t="shared" ca="1" si="5"/>
        <v>00000000000000000000859901</v>
      </c>
      <c r="G76" s="139" t="b">
        <f t="shared" si="6"/>
        <v>1</v>
      </c>
      <c r="H76" s="140">
        <f t="shared" si="7"/>
        <v>66</v>
      </c>
      <c r="I76" s="130" t="s">
        <v>1750</v>
      </c>
      <c r="J76" s="141" t="s">
        <v>1690</v>
      </c>
      <c r="K76" s="17" t="s">
        <v>1690</v>
      </c>
      <c r="L76" s="17" t="s">
        <v>1690</v>
      </c>
      <c r="M76" s="17">
        <v>9999</v>
      </c>
      <c r="N76" s="142">
        <v>0</v>
      </c>
      <c r="O76" s="130" t="s">
        <v>1750</v>
      </c>
      <c r="P76" s="141" t="s">
        <v>1690</v>
      </c>
      <c r="Q76" s="17" t="s">
        <v>1690</v>
      </c>
      <c r="R76" s="17" t="s">
        <v>1690</v>
      </c>
      <c r="S76" s="17">
        <v>9999</v>
      </c>
      <c r="T76" s="142">
        <v>0</v>
      </c>
      <c r="U76" s="130" t="s">
        <v>1750</v>
      </c>
      <c r="V76" s="141" t="s">
        <v>1690</v>
      </c>
      <c r="W76" s="17" t="s">
        <v>1690</v>
      </c>
      <c r="X76" s="17" t="s">
        <v>1690</v>
      </c>
      <c r="Y76" s="17">
        <v>9999</v>
      </c>
      <c r="Z76" s="142">
        <v>0</v>
      </c>
      <c r="AA76" s="130" t="s">
        <v>1750</v>
      </c>
      <c r="AB76" s="141" t="s">
        <v>1690</v>
      </c>
      <c r="AC76" s="17" t="s">
        <v>1690</v>
      </c>
      <c r="AD76" s="17" t="s">
        <v>1690</v>
      </c>
      <c r="AE76" s="17">
        <v>9999</v>
      </c>
      <c r="AF76" s="142">
        <v>0</v>
      </c>
      <c r="AG76" s="130"/>
      <c r="AH76" s="143">
        <f>IF(TYPE(VLOOKUP(H76,Nasazení!$A$3:$E$130,5,0))&lt;4,VLOOKUP(H76,Nasazení!$A$3:$E$130,5,0),0)</f>
        <v>0</v>
      </c>
      <c r="AI76" s="144" t="str">
        <f>IF(N($AH76)&gt;0,VLOOKUP($AH76,Body!$A$4:$F$259,5,0),"")</f>
        <v/>
      </c>
      <c r="AJ76" s="145" t="str">
        <f>IF(N($AH76)&gt;0,VLOOKUP($AH76,Body!$A$4:$F$259,6,0),"")</f>
        <v/>
      </c>
      <c r="AK76" s="144" t="str">
        <f>IF(N($AH76)&gt;0,VLOOKUP($AH76,Body!$A$4:$F$259,2,0),"")</f>
        <v/>
      </c>
      <c r="AL76" s="146" t="str">
        <f t="shared" si="8"/>
        <v/>
      </c>
      <c r="AM76" s="142">
        <f t="shared" si="9"/>
        <v>0</v>
      </c>
      <c r="AN76" s="17">
        <f t="shared" si="10"/>
        <v>0</v>
      </c>
      <c r="AO76" s="17">
        <f t="shared" si="11"/>
        <v>0</v>
      </c>
      <c r="AP76" s="17">
        <f t="shared" si="12"/>
        <v>0</v>
      </c>
      <c r="AQ76" s="17">
        <f t="shared" si="13"/>
        <v>0</v>
      </c>
      <c r="AR76" s="17">
        <f t="shared" si="14"/>
        <v>0</v>
      </c>
    </row>
    <row r="77" spans="1:44" ht="12.75" customHeight="1">
      <c r="A77" s="69">
        <f t="shared" si="0"/>
        <v>0</v>
      </c>
      <c r="B77" s="69">
        <f t="shared" si="1"/>
        <v>0</v>
      </c>
      <c r="C77" s="147">
        <f t="shared" si="2"/>
        <v>0</v>
      </c>
      <c r="D77" s="69">
        <f t="shared" si="3"/>
        <v>99999</v>
      </c>
      <c r="E77" s="69">
        <f t="shared" si="4"/>
        <v>9999</v>
      </c>
      <c r="F77" s="98" t="str">
        <f t="shared" ca="1" si="5"/>
        <v>00000000000000000000028013</v>
      </c>
      <c r="G77" s="139" t="b">
        <f t="shared" si="6"/>
        <v>1</v>
      </c>
      <c r="H77" s="140">
        <f t="shared" si="7"/>
        <v>67</v>
      </c>
      <c r="I77" s="130" t="s">
        <v>1750</v>
      </c>
      <c r="J77" s="141" t="s">
        <v>1690</v>
      </c>
      <c r="K77" s="17" t="s">
        <v>1690</v>
      </c>
      <c r="L77" s="17" t="s">
        <v>1690</v>
      </c>
      <c r="M77" s="17">
        <v>9999</v>
      </c>
      <c r="N77" s="142">
        <v>0</v>
      </c>
      <c r="O77" s="130" t="s">
        <v>1750</v>
      </c>
      <c r="P77" s="141" t="s">
        <v>1690</v>
      </c>
      <c r="Q77" s="17" t="s">
        <v>1690</v>
      </c>
      <c r="R77" s="17" t="s">
        <v>1690</v>
      </c>
      <c r="S77" s="17">
        <v>9999</v>
      </c>
      <c r="T77" s="142">
        <v>0</v>
      </c>
      <c r="U77" s="130" t="s">
        <v>1750</v>
      </c>
      <c r="V77" s="141" t="s">
        <v>1690</v>
      </c>
      <c r="W77" s="17" t="s">
        <v>1690</v>
      </c>
      <c r="X77" s="17" t="s">
        <v>1690</v>
      </c>
      <c r="Y77" s="17">
        <v>9999</v>
      </c>
      <c r="Z77" s="142">
        <v>0</v>
      </c>
      <c r="AA77" s="130" t="s">
        <v>1750</v>
      </c>
      <c r="AB77" s="141" t="s">
        <v>1690</v>
      </c>
      <c r="AC77" s="17" t="s">
        <v>1690</v>
      </c>
      <c r="AD77" s="17" t="s">
        <v>1690</v>
      </c>
      <c r="AE77" s="17">
        <v>9999</v>
      </c>
      <c r="AF77" s="142">
        <v>0</v>
      </c>
      <c r="AG77" s="130"/>
      <c r="AH77" s="143">
        <f>IF(TYPE(VLOOKUP(H77,Nasazení!$A$3:$E$130,5,0))&lt;4,VLOOKUP(H77,Nasazení!$A$3:$E$130,5,0),0)</f>
        <v>0</v>
      </c>
      <c r="AI77" s="144" t="str">
        <f>IF(N($AH77)&gt;0,VLOOKUP($AH77,Body!$A$4:$F$259,5,0),"")</f>
        <v/>
      </c>
      <c r="AJ77" s="145" t="str">
        <f>IF(N($AH77)&gt;0,VLOOKUP($AH77,Body!$A$4:$F$259,6,0),"")</f>
        <v/>
      </c>
      <c r="AK77" s="144" t="str">
        <f>IF(N($AH77)&gt;0,VLOOKUP($AH77,Body!$A$4:$F$259,2,0),"")</f>
        <v/>
      </c>
      <c r="AL77" s="146" t="str">
        <f t="shared" si="8"/>
        <v/>
      </c>
      <c r="AM77" s="142">
        <f t="shared" si="9"/>
        <v>0</v>
      </c>
      <c r="AN77" s="17">
        <f t="shared" si="10"/>
        <v>0</v>
      </c>
      <c r="AO77" s="17">
        <f t="shared" si="11"/>
        <v>0</v>
      </c>
      <c r="AP77" s="17">
        <f t="shared" si="12"/>
        <v>0</v>
      </c>
      <c r="AQ77" s="17">
        <f t="shared" si="13"/>
        <v>0</v>
      </c>
      <c r="AR77" s="17">
        <f t="shared" si="14"/>
        <v>0</v>
      </c>
    </row>
    <row r="78" spans="1:44" ht="12.75" customHeight="1">
      <c r="A78" s="69">
        <f t="shared" si="0"/>
        <v>0</v>
      </c>
      <c r="B78" s="69">
        <f t="shared" si="1"/>
        <v>0</v>
      </c>
      <c r="C78" s="147">
        <f t="shared" si="2"/>
        <v>0</v>
      </c>
      <c r="D78" s="69">
        <f t="shared" si="3"/>
        <v>99999</v>
      </c>
      <c r="E78" s="69">
        <f t="shared" si="4"/>
        <v>9999</v>
      </c>
      <c r="F78" s="98" t="str">
        <f t="shared" ca="1" si="5"/>
        <v>00000000000000000000675160</v>
      </c>
      <c r="G78" s="139" t="b">
        <f t="shared" si="6"/>
        <v>1</v>
      </c>
      <c r="H78" s="140">
        <f t="shared" si="7"/>
        <v>68</v>
      </c>
      <c r="I78" s="130" t="s">
        <v>1750</v>
      </c>
      <c r="J78" s="141" t="s">
        <v>1690</v>
      </c>
      <c r="K78" s="17" t="s">
        <v>1690</v>
      </c>
      <c r="L78" s="17" t="s">
        <v>1690</v>
      </c>
      <c r="M78" s="17">
        <v>9999</v>
      </c>
      <c r="N78" s="142">
        <v>0</v>
      </c>
      <c r="O78" s="130" t="s">
        <v>1750</v>
      </c>
      <c r="P78" s="141" t="s">
        <v>1690</v>
      </c>
      <c r="Q78" s="17" t="s">
        <v>1690</v>
      </c>
      <c r="R78" s="17" t="s">
        <v>1690</v>
      </c>
      <c r="S78" s="17">
        <v>9999</v>
      </c>
      <c r="T78" s="142">
        <v>0</v>
      </c>
      <c r="U78" s="130" t="s">
        <v>1750</v>
      </c>
      <c r="V78" s="141" t="s">
        <v>1690</v>
      </c>
      <c r="W78" s="17" t="s">
        <v>1690</v>
      </c>
      <c r="X78" s="17" t="s">
        <v>1690</v>
      </c>
      <c r="Y78" s="17">
        <v>9999</v>
      </c>
      <c r="Z78" s="142">
        <v>0</v>
      </c>
      <c r="AA78" s="130" t="s">
        <v>1750</v>
      </c>
      <c r="AB78" s="141" t="s">
        <v>1690</v>
      </c>
      <c r="AC78" s="17" t="s">
        <v>1690</v>
      </c>
      <c r="AD78" s="17" t="s">
        <v>1690</v>
      </c>
      <c r="AE78" s="17">
        <v>9999</v>
      </c>
      <c r="AF78" s="142">
        <v>0</v>
      </c>
      <c r="AG78" s="130"/>
      <c r="AH78" s="143">
        <f>IF(TYPE(VLOOKUP(H78,Nasazení!$A$3:$E$130,5,0))&lt;4,VLOOKUP(H78,Nasazení!$A$3:$E$130,5,0),0)</f>
        <v>0</v>
      </c>
      <c r="AI78" s="144" t="str">
        <f>IF(N($AH78)&gt;0,VLOOKUP($AH78,Body!$A$4:$F$259,5,0),"")</f>
        <v/>
      </c>
      <c r="AJ78" s="145" t="str">
        <f>IF(N($AH78)&gt;0,VLOOKUP($AH78,Body!$A$4:$F$259,6,0),"")</f>
        <v/>
      </c>
      <c r="AK78" s="144" t="str">
        <f>IF(N($AH78)&gt;0,VLOOKUP($AH78,Body!$A$4:$F$259,2,0),"")</f>
        <v/>
      </c>
      <c r="AL78" s="146" t="str">
        <f t="shared" si="8"/>
        <v/>
      </c>
      <c r="AM78" s="142">
        <f t="shared" si="9"/>
        <v>0</v>
      </c>
      <c r="AN78" s="17">
        <f t="shared" si="10"/>
        <v>0</v>
      </c>
      <c r="AO78" s="17">
        <f t="shared" si="11"/>
        <v>0</v>
      </c>
      <c r="AP78" s="17">
        <f t="shared" si="12"/>
        <v>0</v>
      </c>
      <c r="AQ78" s="17">
        <f t="shared" si="13"/>
        <v>0</v>
      </c>
      <c r="AR78" s="17">
        <f t="shared" si="14"/>
        <v>0</v>
      </c>
    </row>
    <row r="79" spans="1:44" ht="12.75" customHeight="1">
      <c r="A79" s="69">
        <f t="shared" si="0"/>
        <v>0</v>
      </c>
      <c r="B79" s="69">
        <f t="shared" si="1"/>
        <v>0</v>
      </c>
      <c r="C79" s="147">
        <f t="shared" si="2"/>
        <v>0</v>
      </c>
      <c r="D79" s="69">
        <f t="shared" si="3"/>
        <v>99999</v>
      </c>
      <c r="E79" s="69">
        <f t="shared" si="4"/>
        <v>9999</v>
      </c>
      <c r="F79" s="98" t="str">
        <f t="shared" ca="1" si="5"/>
        <v>00000000000000000000785463</v>
      </c>
      <c r="G79" s="139" t="b">
        <f t="shared" si="6"/>
        <v>1</v>
      </c>
      <c r="H79" s="140">
        <f t="shared" si="7"/>
        <v>69</v>
      </c>
      <c r="I79" s="130" t="s">
        <v>1750</v>
      </c>
      <c r="J79" s="141" t="s">
        <v>1690</v>
      </c>
      <c r="K79" s="17" t="s">
        <v>1690</v>
      </c>
      <c r="L79" s="17" t="s">
        <v>1690</v>
      </c>
      <c r="M79" s="17">
        <v>9999</v>
      </c>
      <c r="N79" s="142">
        <v>0</v>
      </c>
      <c r="O79" s="130" t="s">
        <v>1750</v>
      </c>
      <c r="P79" s="141" t="s">
        <v>1690</v>
      </c>
      <c r="Q79" s="17" t="s">
        <v>1690</v>
      </c>
      <c r="R79" s="17" t="s">
        <v>1690</v>
      </c>
      <c r="S79" s="17">
        <v>9999</v>
      </c>
      <c r="T79" s="142">
        <v>0</v>
      </c>
      <c r="U79" s="130" t="s">
        <v>1750</v>
      </c>
      <c r="V79" s="141" t="s">
        <v>1690</v>
      </c>
      <c r="W79" s="17" t="s">
        <v>1690</v>
      </c>
      <c r="X79" s="17" t="s">
        <v>1690</v>
      </c>
      <c r="Y79" s="17">
        <v>9999</v>
      </c>
      <c r="Z79" s="142">
        <v>0</v>
      </c>
      <c r="AA79" s="130" t="s">
        <v>1750</v>
      </c>
      <c r="AB79" s="141" t="s">
        <v>1690</v>
      </c>
      <c r="AC79" s="17" t="s">
        <v>1690</v>
      </c>
      <c r="AD79" s="17" t="s">
        <v>1690</v>
      </c>
      <c r="AE79" s="17">
        <v>9999</v>
      </c>
      <c r="AF79" s="142">
        <v>0</v>
      </c>
      <c r="AG79" s="130"/>
      <c r="AH79" s="143">
        <f>IF(TYPE(VLOOKUP(H79,Nasazení!$A$3:$E$130,5,0))&lt;4,VLOOKUP(H79,Nasazení!$A$3:$E$130,5,0),0)</f>
        <v>0</v>
      </c>
      <c r="AI79" s="144" t="str">
        <f>IF(N($AH79)&gt;0,VLOOKUP($AH79,Body!$A$4:$F$259,5,0),"")</f>
        <v/>
      </c>
      <c r="AJ79" s="145" t="str">
        <f>IF(N($AH79)&gt;0,VLOOKUP($AH79,Body!$A$4:$F$259,6,0),"")</f>
        <v/>
      </c>
      <c r="AK79" s="144" t="str">
        <f>IF(N($AH79)&gt;0,VLOOKUP($AH79,Body!$A$4:$F$259,2,0),"")</f>
        <v/>
      </c>
      <c r="AL79" s="146" t="str">
        <f t="shared" si="8"/>
        <v/>
      </c>
      <c r="AM79" s="142">
        <f t="shared" si="9"/>
        <v>0</v>
      </c>
      <c r="AN79" s="17">
        <f t="shared" si="10"/>
        <v>0</v>
      </c>
      <c r="AO79" s="17">
        <f t="shared" si="11"/>
        <v>0</v>
      </c>
      <c r="AP79" s="17">
        <f t="shared" si="12"/>
        <v>0</v>
      </c>
      <c r="AQ79" s="17">
        <f t="shared" si="13"/>
        <v>0</v>
      </c>
      <c r="AR79" s="17">
        <f t="shared" si="14"/>
        <v>0</v>
      </c>
    </row>
    <row r="80" spans="1:44" ht="12.75" customHeight="1">
      <c r="A80" s="69">
        <f t="shared" si="0"/>
        <v>0</v>
      </c>
      <c r="B80" s="69">
        <f t="shared" si="1"/>
        <v>0</v>
      </c>
      <c r="C80" s="147">
        <f t="shared" si="2"/>
        <v>0</v>
      </c>
      <c r="D80" s="69">
        <f t="shared" si="3"/>
        <v>99999</v>
      </c>
      <c r="E80" s="69">
        <f t="shared" si="4"/>
        <v>9999</v>
      </c>
      <c r="F80" s="98" t="str">
        <f t="shared" ca="1" si="5"/>
        <v>00000000000000000000774924</v>
      </c>
      <c r="G80" s="139" t="b">
        <f t="shared" si="6"/>
        <v>1</v>
      </c>
      <c r="H80" s="140">
        <f t="shared" si="7"/>
        <v>70</v>
      </c>
      <c r="I80" s="130" t="s">
        <v>1750</v>
      </c>
      <c r="J80" s="141" t="s">
        <v>1690</v>
      </c>
      <c r="K80" s="17" t="s">
        <v>1690</v>
      </c>
      <c r="L80" s="17" t="s">
        <v>1690</v>
      </c>
      <c r="M80" s="17">
        <v>9999</v>
      </c>
      <c r="N80" s="142">
        <v>0</v>
      </c>
      <c r="O80" s="130" t="s">
        <v>1750</v>
      </c>
      <c r="P80" s="141" t="s">
        <v>1690</v>
      </c>
      <c r="Q80" s="17" t="s">
        <v>1690</v>
      </c>
      <c r="R80" s="17" t="s">
        <v>1690</v>
      </c>
      <c r="S80" s="17">
        <v>9999</v>
      </c>
      <c r="T80" s="142">
        <v>0</v>
      </c>
      <c r="U80" s="130" t="s">
        <v>1750</v>
      </c>
      <c r="V80" s="141" t="s">
        <v>1690</v>
      </c>
      <c r="W80" s="17" t="s">
        <v>1690</v>
      </c>
      <c r="X80" s="17" t="s">
        <v>1690</v>
      </c>
      <c r="Y80" s="17">
        <v>9999</v>
      </c>
      <c r="Z80" s="142">
        <v>0</v>
      </c>
      <c r="AA80" s="130" t="s">
        <v>1750</v>
      </c>
      <c r="AB80" s="141" t="s">
        <v>1690</v>
      </c>
      <c r="AC80" s="17" t="s">
        <v>1690</v>
      </c>
      <c r="AD80" s="17" t="s">
        <v>1690</v>
      </c>
      <c r="AE80" s="17">
        <v>9999</v>
      </c>
      <c r="AF80" s="142">
        <v>0</v>
      </c>
      <c r="AG80" s="130"/>
      <c r="AH80" s="143">
        <f>IF(TYPE(VLOOKUP(H80,Nasazení!$A$3:$E$130,5,0))&lt;4,VLOOKUP(H80,Nasazení!$A$3:$E$130,5,0),0)</f>
        <v>0</v>
      </c>
      <c r="AI80" s="144" t="str">
        <f>IF(N($AH80)&gt;0,VLOOKUP($AH80,Body!$A$4:$F$259,5,0),"")</f>
        <v/>
      </c>
      <c r="AJ80" s="145" t="str">
        <f>IF(N($AH80)&gt;0,VLOOKUP($AH80,Body!$A$4:$F$259,6,0),"")</f>
        <v/>
      </c>
      <c r="AK80" s="144" t="str">
        <f>IF(N($AH80)&gt;0,VLOOKUP($AH80,Body!$A$4:$F$259,2,0),"")</f>
        <v/>
      </c>
      <c r="AL80" s="146" t="str">
        <f t="shared" si="8"/>
        <v/>
      </c>
      <c r="AM80" s="142">
        <f t="shared" si="9"/>
        <v>0</v>
      </c>
      <c r="AN80" s="17">
        <f t="shared" si="10"/>
        <v>0</v>
      </c>
      <c r="AO80" s="17">
        <f t="shared" si="11"/>
        <v>0</v>
      </c>
      <c r="AP80" s="17">
        <f t="shared" si="12"/>
        <v>0</v>
      </c>
      <c r="AQ80" s="17">
        <f t="shared" si="13"/>
        <v>0</v>
      </c>
      <c r="AR80" s="17">
        <f t="shared" si="14"/>
        <v>0</v>
      </c>
    </row>
    <row r="81" spans="1:44" ht="12.75" customHeight="1">
      <c r="A81" s="69">
        <f t="shared" si="0"/>
        <v>0</v>
      </c>
      <c r="B81" s="69">
        <f t="shared" si="1"/>
        <v>0</v>
      </c>
      <c r="C81" s="147">
        <f t="shared" si="2"/>
        <v>0</v>
      </c>
      <c r="D81" s="69">
        <f t="shared" si="3"/>
        <v>99999</v>
      </c>
      <c r="E81" s="69">
        <f t="shared" si="4"/>
        <v>9999</v>
      </c>
      <c r="F81" s="98" t="str">
        <f t="shared" ca="1" si="5"/>
        <v>00000000000000000000029394</v>
      </c>
      <c r="G81" s="139" t="b">
        <f t="shared" si="6"/>
        <v>1</v>
      </c>
      <c r="H81" s="140">
        <f t="shared" si="7"/>
        <v>71</v>
      </c>
      <c r="I81" s="130" t="s">
        <v>1750</v>
      </c>
      <c r="J81" s="141" t="s">
        <v>1690</v>
      </c>
      <c r="K81" s="17" t="s">
        <v>1690</v>
      </c>
      <c r="L81" s="17" t="s">
        <v>1690</v>
      </c>
      <c r="M81" s="17">
        <v>9999</v>
      </c>
      <c r="N81" s="142">
        <v>0</v>
      </c>
      <c r="O81" s="130" t="s">
        <v>1750</v>
      </c>
      <c r="P81" s="141" t="s">
        <v>1690</v>
      </c>
      <c r="Q81" s="17" t="s">
        <v>1690</v>
      </c>
      <c r="R81" s="17" t="s">
        <v>1690</v>
      </c>
      <c r="S81" s="17">
        <v>9999</v>
      </c>
      <c r="T81" s="142">
        <v>0</v>
      </c>
      <c r="U81" s="130" t="s">
        <v>1750</v>
      </c>
      <c r="V81" s="141" t="s">
        <v>1690</v>
      </c>
      <c r="W81" s="17" t="s">
        <v>1690</v>
      </c>
      <c r="X81" s="17" t="s">
        <v>1690</v>
      </c>
      <c r="Y81" s="17">
        <v>9999</v>
      </c>
      <c r="Z81" s="142">
        <v>0</v>
      </c>
      <c r="AA81" s="130" t="s">
        <v>1750</v>
      </c>
      <c r="AB81" s="141" t="s">
        <v>1690</v>
      </c>
      <c r="AC81" s="17" t="s">
        <v>1690</v>
      </c>
      <c r="AD81" s="17" t="s">
        <v>1690</v>
      </c>
      <c r="AE81" s="17">
        <v>9999</v>
      </c>
      <c r="AF81" s="142">
        <v>0</v>
      </c>
      <c r="AG81" s="130"/>
      <c r="AH81" s="143">
        <f>IF(TYPE(VLOOKUP(H81,Nasazení!$A$3:$E$130,5,0))&lt;4,VLOOKUP(H81,Nasazení!$A$3:$E$130,5,0),0)</f>
        <v>0</v>
      </c>
      <c r="AI81" s="144" t="str">
        <f>IF(N($AH81)&gt;0,VLOOKUP($AH81,Body!$A$4:$F$259,5,0),"")</f>
        <v/>
      </c>
      <c r="AJ81" s="145" t="str">
        <f>IF(N($AH81)&gt;0,VLOOKUP($AH81,Body!$A$4:$F$259,6,0),"")</f>
        <v/>
      </c>
      <c r="AK81" s="144" t="str">
        <f>IF(N($AH81)&gt;0,VLOOKUP($AH81,Body!$A$4:$F$259,2,0),"")</f>
        <v/>
      </c>
      <c r="AL81" s="146" t="str">
        <f t="shared" si="8"/>
        <v/>
      </c>
      <c r="AM81" s="142">
        <f t="shared" si="9"/>
        <v>0</v>
      </c>
      <c r="AN81" s="17">
        <f t="shared" si="10"/>
        <v>0</v>
      </c>
      <c r="AO81" s="17">
        <f t="shared" si="11"/>
        <v>0</v>
      </c>
      <c r="AP81" s="17">
        <f t="shared" si="12"/>
        <v>0</v>
      </c>
      <c r="AQ81" s="17">
        <f t="shared" si="13"/>
        <v>0</v>
      </c>
      <c r="AR81" s="17">
        <f t="shared" si="14"/>
        <v>0</v>
      </c>
    </row>
    <row r="82" spans="1:44" ht="12.75" customHeight="1">
      <c r="A82" s="69">
        <f t="shared" si="0"/>
        <v>0</v>
      </c>
      <c r="B82" s="69">
        <f t="shared" si="1"/>
        <v>0</v>
      </c>
      <c r="C82" s="147">
        <f t="shared" si="2"/>
        <v>0</v>
      </c>
      <c r="D82" s="69">
        <f t="shared" si="3"/>
        <v>99999</v>
      </c>
      <c r="E82" s="69">
        <f t="shared" si="4"/>
        <v>9999</v>
      </c>
      <c r="F82" s="98" t="str">
        <f t="shared" ca="1" si="5"/>
        <v>00000000000000000000948302</v>
      </c>
      <c r="G82" s="139" t="b">
        <f t="shared" si="6"/>
        <v>1</v>
      </c>
      <c r="H82" s="140">
        <f t="shared" si="7"/>
        <v>72</v>
      </c>
      <c r="I82" s="130" t="s">
        <v>1750</v>
      </c>
      <c r="J82" s="141" t="s">
        <v>1690</v>
      </c>
      <c r="K82" s="17" t="s">
        <v>1690</v>
      </c>
      <c r="L82" s="17" t="s">
        <v>1690</v>
      </c>
      <c r="M82" s="17">
        <v>9999</v>
      </c>
      <c r="N82" s="142">
        <v>0</v>
      </c>
      <c r="O82" s="130" t="s">
        <v>1750</v>
      </c>
      <c r="P82" s="141" t="s">
        <v>1690</v>
      </c>
      <c r="Q82" s="17" t="s">
        <v>1690</v>
      </c>
      <c r="R82" s="17" t="s">
        <v>1690</v>
      </c>
      <c r="S82" s="17">
        <v>9999</v>
      </c>
      <c r="T82" s="142">
        <v>0</v>
      </c>
      <c r="U82" s="130" t="s">
        <v>1750</v>
      </c>
      <c r="V82" s="141" t="s">
        <v>1690</v>
      </c>
      <c r="W82" s="17" t="s">
        <v>1690</v>
      </c>
      <c r="X82" s="17" t="s">
        <v>1690</v>
      </c>
      <c r="Y82" s="17">
        <v>9999</v>
      </c>
      <c r="Z82" s="142">
        <v>0</v>
      </c>
      <c r="AA82" s="130" t="s">
        <v>1750</v>
      </c>
      <c r="AB82" s="141" t="s">
        <v>1690</v>
      </c>
      <c r="AC82" s="17" t="s">
        <v>1690</v>
      </c>
      <c r="AD82" s="17" t="s">
        <v>1690</v>
      </c>
      <c r="AE82" s="17">
        <v>9999</v>
      </c>
      <c r="AF82" s="142">
        <v>0</v>
      </c>
      <c r="AG82" s="130"/>
      <c r="AH82" s="143">
        <f>IF(TYPE(VLOOKUP(H82,Nasazení!$A$3:$E$130,5,0))&lt;4,VLOOKUP(H82,Nasazení!$A$3:$E$130,5,0),0)</f>
        <v>0</v>
      </c>
      <c r="AI82" s="144" t="str">
        <f>IF(N($AH82)&gt;0,VLOOKUP($AH82,Body!$A$4:$F$259,5,0),"")</f>
        <v/>
      </c>
      <c r="AJ82" s="145" t="str">
        <f>IF(N($AH82)&gt;0,VLOOKUP($AH82,Body!$A$4:$F$259,6,0),"")</f>
        <v/>
      </c>
      <c r="AK82" s="144" t="str">
        <f>IF(N($AH82)&gt;0,VLOOKUP($AH82,Body!$A$4:$F$259,2,0),"")</f>
        <v/>
      </c>
      <c r="AL82" s="146" t="str">
        <f t="shared" si="8"/>
        <v/>
      </c>
      <c r="AM82" s="142">
        <f t="shared" si="9"/>
        <v>0</v>
      </c>
      <c r="AN82" s="17">
        <f t="shared" si="10"/>
        <v>0</v>
      </c>
      <c r="AO82" s="17">
        <f t="shared" si="11"/>
        <v>0</v>
      </c>
      <c r="AP82" s="17">
        <f t="shared" si="12"/>
        <v>0</v>
      </c>
      <c r="AQ82" s="17">
        <f t="shared" si="13"/>
        <v>0</v>
      </c>
      <c r="AR82" s="17">
        <f t="shared" si="14"/>
        <v>0</v>
      </c>
    </row>
    <row r="83" spans="1:44" ht="12.75" customHeight="1">
      <c r="A83" s="69">
        <f t="shared" si="0"/>
        <v>0</v>
      </c>
      <c r="B83" s="69">
        <f t="shared" si="1"/>
        <v>0</v>
      </c>
      <c r="C83" s="147">
        <f t="shared" si="2"/>
        <v>0</v>
      </c>
      <c r="D83" s="69">
        <f t="shared" si="3"/>
        <v>99999</v>
      </c>
      <c r="E83" s="69">
        <f t="shared" si="4"/>
        <v>9999</v>
      </c>
      <c r="F83" s="98" t="str">
        <f t="shared" ca="1" si="5"/>
        <v>00000000000000000000695457</v>
      </c>
      <c r="G83" s="139" t="b">
        <f t="shared" si="6"/>
        <v>1</v>
      </c>
      <c r="H83" s="140">
        <f t="shared" si="7"/>
        <v>73</v>
      </c>
      <c r="I83" s="130" t="s">
        <v>1750</v>
      </c>
      <c r="J83" s="141" t="s">
        <v>1690</v>
      </c>
      <c r="K83" s="17" t="s">
        <v>1690</v>
      </c>
      <c r="L83" s="17" t="s">
        <v>1690</v>
      </c>
      <c r="M83" s="17">
        <v>9999</v>
      </c>
      <c r="N83" s="142">
        <v>0</v>
      </c>
      <c r="O83" s="130" t="s">
        <v>1750</v>
      </c>
      <c r="P83" s="141" t="s">
        <v>1690</v>
      </c>
      <c r="Q83" s="17" t="s">
        <v>1690</v>
      </c>
      <c r="R83" s="17" t="s">
        <v>1690</v>
      </c>
      <c r="S83" s="17">
        <v>9999</v>
      </c>
      <c r="T83" s="142">
        <v>0</v>
      </c>
      <c r="U83" s="130" t="s">
        <v>1750</v>
      </c>
      <c r="V83" s="141" t="s">
        <v>1690</v>
      </c>
      <c r="W83" s="17" t="s">
        <v>1690</v>
      </c>
      <c r="X83" s="17" t="s">
        <v>1690</v>
      </c>
      <c r="Y83" s="17">
        <v>9999</v>
      </c>
      <c r="Z83" s="142">
        <v>0</v>
      </c>
      <c r="AA83" s="130" t="s">
        <v>1750</v>
      </c>
      <c r="AB83" s="141" t="s">
        <v>1690</v>
      </c>
      <c r="AC83" s="17" t="s">
        <v>1690</v>
      </c>
      <c r="AD83" s="17" t="s">
        <v>1690</v>
      </c>
      <c r="AE83" s="17">
        <v>9999</v>
      </c>
      <c r="AF83" s="142">
        <v>0</v>
      </c>
      <c r="AG83" s="130"/>
      <c r="AH83" s="143">
        <f>IF(TYPE(VLOOKUP(H83,Nasazení!$A$3:$E$130,5,0))&lt;4,VLOOKUP(H83,Nasazení!$A$3:$E$130,5,0),0)</f>
        <v>0</v>
      </c>
      <c r="AI83" s="144" t="str">
        <f>IF(N($AH83)&gt;0,VLOOKUP($AH83,Body!$A$4:$F$259,5,0),"")</f>
        <v/>
      </c>
      <c r="AJ83" s="145" t="str">
        <f>IF(N($AH83)&gt;0,VLOOKUP($AH83,Body!$A$4:$F$259,6,0),"")</f>
        <v/>
      </c>
      <c r="AK83" s="144" t="str">
        <f>IF(N($AH83)&gt;0,VLOOKUP($AH83,Body!$A$4:$F$259,2,0),"")</f>
        <v/>
      </c>
      <c r="AL83" s="146" t="str">
        <f t="shared" si="8"/>
        <v/>
      </c>
      <c r="AM83" s="142">
        <f t="shared" si="9"/>
        <v>0</v>
      </c>
      <c r="AN83" s="17">
        <f t="shared" si="10"/>
        <v>0</v>
      </c>
      <c r="AO83" s="17">
        <f t="shared" si="11"/>
        <v>0</v>
      </c>
      <c r="AP83" s="17">
        <f t="shared" si="12"/>
        <v>0</v>
      </c>
      <c r="AQ83" s="17">
        <f t="shared" si="13"/>
        <v>0</v>
      </c>
      <c r="AR83" s="17">
        <f t="shared" si="14"/>
        <v>0</v>
      </c>
    </row>
    <row r="84" spans="1:44" ht="12.75" customHeight="1">
      <c r="A84" s="69">
        <f t="shared" si="0"/>
        <v>0</v>
      </c>
      <c r="B84" s="69">
        <f t="shared" si="1"/>
        <v>0</v>
      </c>
      <c r="C84" s="147">
        <f t="shared" si="2"/>
        <v>0</v>
      </c>
      <c r="D84" s="69">
        <f t="shared" si="3"/>
        <v>99999</v>
      </c>
      <c r="E84" s="69">
        <f t="shared" si="4"/>
        <v>9999</v>
      </c>
      <c r="F84" s="98" t="str">
        <f t="shared" ca="1" si="5"/>
        <v>00000000000000000000605101</v>
      </c>
      <c r="G84" s="139" t="b">
        <f t="shared" si="6"/>
        <v>1</v>
      </c>
      <c r="H84" s="140">
        <f t="shared" si="7"/>
        <v>74</v>
      </c>
      <c r="I84" s="130" t="s">
        <v>1750</v>
      </c>
      <c r="J84" s="141" t="s">
        <v>1690</v>
      </c>
      <c r="K84" s="17" t="s">
        <v>1690</v>
      </c>
      <c r="L84" s="17" t="s">
        <v>1690</v>
      </c>
      <c r="M84" s="17">
        <v>9999</v>
      </c>
      <c r="N84" s="142">
        <v>0</v>
      </c>
      <c r="O84" s="130" t="s">
        <v>1750</v>
      </c>
      <c r="P84" s="141" t="s">
        <v>1690</v>
      </c>
      <c r="Q84" s="17" t="s">
        <v>1690</v>
      </c>
      <c r="R84" s="17" t="s">
        <v>1690</v>
      </c>
      <c r="S84" s="17">
        <v>9999</v>
      </c>
      <c r="T84" s="142">
        <v>0</v>
      </c>
      <c r="U84" s="130" t="s">
        <v>1750</v>
      </c>
      <c r="V84" s="141" t="s">
        <v>1690</v>
      </c>
      <c r="W84" s="17" t="s">
        <v>1690</v>
      </c>
      <c r="X84" s="17" t="s">
        <v>1690</v>
      </c>
      <c r="Y84" s="17">
        <v>9999</v>
      </c>
      <c r="Z84" s="142">
        <v>0</v>
      </c>
      <c r="AA84" s="130" t="s">
        <v>1750</v>
      </c>
      <c r="AB84" s="141" t="s">
        <v>1690</v>
      </c>
      <c r="AC84" s="17" t="s">
        <v>1690</v>
      </c>
      <c r="AD84" s="17" t="s">
        <v>1690</v>
      </c>
      <c r="AE84" s="17">
        <v>9999</v>
      </c>
      <c r="AF84" s="142">
        <v>0</v>
      </c>
      <c r="AG84" s="130"/>
      <c r="AH84" s="143">
        <f>IF(TYPE(VLOOKUP(H84,Nasazení!$A$3:$E$130,5,0))&lt;4,VLOOKUP(H84,Nasazení!$A$3:$E$130,5,0),0)</f>
        <v>0</v>
      </c>
      <c r="AI84" s="144" t="str">
        <f>IF(N($AH84)&gt;0,VLOOKUP($AH84,Body!$A$4:$F$259,5,0),"")</f>
        <v/>
      </c>
      <c r="AJ84" s="145" t="str">
        <f>IF(N($AH84)&gt;0,VLOOKUP($AH84,Body!$A$4:$F$259,6,0),"")</f>
        <v/>
      </c>
      <c r="AK84" s="144" t="str">
        <f>IF(N($AH84)&gt;0,VLOOKUP($AH84,Body!$A$4:$F$259,2,0),"")</f>
        <v/>
      </c>
      <c r="AL84" s="146" t="str">
        <f t="shared" si="8"/>
        <v/>
      </c>
      <c r="AM84" s="142">
        <f t="shared" si="9"/>
        <v>0</v>
      </c>
      <c r="AN84" s="17">
        <f t="shared" si="10"/>
        <v>0</v>
      </c>
      <c r="AO84" s="17">
        <f t="shared" si="11"/>
        <v>0</v>
      </c>
      <c r="AP84" s="17">
        <f t="shared" si="12"/>
        <v>0</v>
      </c>
      <c r="AQ84" s="17">
        <f t="shared" si="13"/>
        <v>0</v>
      </c>
      <c r="AR84" s="17">
        <f t="shared" si="14"/>
        <v>0</v>
      </c>
    </row>
    <row r="85" spans="1:44" ht="12.75" customHeight="1">
      <c r="A85" s="69">
        <f t="shared" si="0"/>
        <v>0</v>
      </c>
      <c r="B85" s="69">
        <f t="shared" si="1"/>
        <v>0</v>
      </c>
      <c r="C85" s="147">
        <f t="shared" si="2"/>
        <v>0</v>
      </c>
      <c r="D85" s="69">
        <f t="shared" si="3"/>
        <v>99999</v>
      </c>
      <c r="E85" s="69">
        <f t="shared" si="4"/>
        <v>9999</v>
      </c>
      <c r="F85" s="98" t="str">
        <f t="shared" ca="1" si="5"/>
        <v>00000000000000000000454430</v>
      </c>
      <c r="G85" s="139" t="b">
        <f t="shared" si="6"/>
        <v>1</v>
      </c>
      <c r="H85" s="140">
        <f t="shared" si="7"/>
        <v>75</v>
      </c>
      <c r="I85" s="130" t="s">
        <v>1750</v>
      </c>
      <c r="J85" s="141" t="s">
        <v>1690</v>
      </c>
      <c r="K85" s="17" t="s">
        <v>1690</v>
      </c>
      <c r="L85" s="17" t="s">
        <v>1690</v>
      </c>
      <c r="M85" s="17">
        <v>9999</v>
      </c>
      <c r="N85" s="142">
        <v>0</v>
      </c>
      <c r="O85" s="130" t="s">
        <v>1750</v>
      </c>
      <c r="P85" s="141" t="s">
        <v>1690</v>
      </c>
      <c r="Q85" s="17" t="s">
        <v>1690</v>
      </c>
      <c r="R85" s="17" t="s">
        <v>1690</v>
      </c>
      <c r="S85" s="17">
        <v>9999</v>
      </c>
      <c r="T85" s="142">
        <v>0</v>
      </c>
      <c r="U85" s="130" t="s">
        <v>1750</v>
      </c>
      <c r="V85" s="141" t="s">
        <v>1690</v>
      </c>
      <c r="W85" s="17" t="s">
        <v>1690</v>
      </c>
      <c r="X85" s="17" t="s">
        <v>1690</v>
      </c>
      <c r="Y85" s="17">
        <v>9999</v>
      </c>
      <c r="Z85" s="142">
        <v>0</v>
      </c>
      <c r="AA85" s="130" t="s">
        <v>1750</v>
      </c>
      <c r="AB85" s="141" t="s">
        <v>1690</v>
      </c>
      <c r="AC85" s="17" t="s">
        <v>1690</v>
      </c>
      <c r="AD85" s="17" t="s">
        <v>1690</v>
      </c>
      <c r="AE85" s="17">
        <v>9999</v>
      </c>
      <c r="AF85" s="142">
        <v>0</v>
      </c>
      <c r="AG85" s="130"/>
      <c r="AH85" s="143">
        <f>IF(TYPE(VLOOKUP(H85,Nasazení!$A$3:$E$130,5,0))&lt;4,VLOOKUP(H85,Nasazení!$A$3:$E$130,5,0),0)</f>
        <v>0</v>
      </c>
      <c r="AI85" s="144" t="str">
        <f>IF(N($AH85)&gt;0,VLOOKUP($AH85,Body!$A$4:$F$259,5,0),"")</f>
        <v/>
      </c>
      <c r="AJ85" s="145" t="str">
        <f>IF(N($AH85)&gt;0,VLOOKUP($AH85,Body!$A$4:$F$259,6,0),"")</f>
        <v/>
      </c>
      <c r="AK85" s="144" t="str">
        <f>IF(N($AH85)&gt;0,VLOOKUP($AH85,Body!$A$4:$F$259,2,0),"")</f>
        <v/>
      </c>
      <c r="AL85" s="146" t="str">
        <f t="shared" si="8"/>
        <v/>
      </c>
      <c r="AM85" s="142">
        <f t="shared" si="9"/>
        <v>0</v>
      </c>
      <c r="AN85" s="17">
        <f t="shared" si="10"/>
        <v>0</v>
      </c>
      <c r="AO85" s="17">
        <f t="shared" si="11"/>
        <v>0</v>
      </c>
      <c r="AP85" s="17">
        <f t="shared" si="12"/>
        <v>0</v>
      </c>
      <c r="AQ85" s="17">
        <f t="shared" si="13"/>
        <v>0</v>
      </c>
      <c r="AR85" s="17">
        <f t="shared" si="14"/>
        <v>0</v>
      </c>
    </row>
    <row r="86" spans="1:44" ht="12.75" customHeight="1">
      <c r="A86" s="69">
        <f t="shared" si="0"/>
        <v>0</v>
      </c>
      <c r="B86" s="69">
        <f t="shared" si="1"/>
        <v>0</v>
      </c>
      <c r="C86" s="147">
        <f t="shared" si="2"/>
        <v>0</v>
      </c>
      <c r="D86" s="69">
        <f t="shared" si="3"/>
        <v>99999</v>
      </c>
      <c r="E86" s="69">
        <f t="shared" si="4"/>
        <v>9999</v>
      </c>
      <c r="F86" s="98" t="str">
        <f t="shared" ca="1" si="5"/>
        <v>00000000000000000000766996</v>
      </c>
      <c r="G86" s="139" t="b">
        <f t="shared" si="6"/>
        <v>1</v>
      </c>
      <c r="H86" s="140">
        <f t="shared" si="7"/>
        <v>76</v>
      </c>
      <c r="I86" s="130" t="s">
        <v>1750</v>
      </c>
      <c r="J86" s="141" t="s">
        <v>1690</v>
      </c>
      <c r="K86" s="17" t="s">
        <v>1690</v>
      </c>
      <c r="L86" s="17" t="s">
        <v>1690</v>
      </c>
      <c r="M86" s="17">
        <v>9999</v>
      </c>
      <c r="N86" s="142">
        <v>0</v>
      </c>
      <c r="O86" s="130" t="s">
        <v>1750</v>
      </c>
      <c r="P86" s="141" t="s">
        <v>1690</v>
      </c>
      <c r="Q86" s="17" t="s">
        <v>1690</v>
      </c>
      <c r="R86" s="17" t="s">
        <v>1690</v>
      </c>
      <c r="S86" s="17">
        <v>9999</v>
      </c>
      <c r="T86" s="142">
        <v>0</v>
      </c>
      <c r="U86" s="130" t="s">
        <v>1750</v>
      </c>
      <c r="V86" s="141" t="s">
        <v>1690</v>
      </c>
      <c r="W86" s="17" t="s">
        <v>1690</v>
      </c>
      <c r="X86" s="17" t="s">
        <v>1690</v>
      </c>
      <c r="Y86" s="17">
        <v>9999</v>
      </c>
      <c r="Z86" s="142">
        <v>0</v>
      </c>
      <c r="AA86" s="130" t="s">
        <v>1750</v>
      </c>
      <c r="AB86" s="141" t="s">
        <v>1690</v>
      </c>
      <c r="AC86" s="17" t="s">
        <v>1690</v>
      </c>
      <c r="AD86" s="17" t="s">
        <v>1690</v>
      </c>
      <c r="AE86" s="17">
        <v>9999</v>
      </c>
      <c r="AF86" s="142">
        <v>0</v>
      </c>
      <c r="AG86" s="130"/>
      <c r="AH86" s="143">
        <f>IF(TYPE(VLOOKUP(H86,Nasazení!$A$3:$E$130,5,0))&lt;4,VLOOKUP(H86,Nasazení!$A$3:$E$130,5,0),0)</f>
        <v>0</v>
      </c>
      <c r="AI86" s="144" t="str">
        <f>IF(N($AH86)&gt;0,VLOOKUP($AH86,Body!$A$4:$F$259,5,0),"")</f>
        <v/>
      </c>
      <c r="AJ86" s="145" t="str">
        <f>IF(N($AH86)&gt;0,VLOOKUP($AH86,Body!$A$4:$F$259,6,0),"")</f>
        <v/>
      </c>
      <c r="AK86" s="144" t="str">
        <f>IF(N($AH86)&gt;0,VLOOKUP($AH86,Body!$A$4:$F$259,2,0),"")</f>
        <v/>
      </c>
      <c r="AL86" s="146" t="str">
        <f t="shared" si="8"/>
        <v/>
      </c>
      <c r="AM86" s="142">
        <f t="shared" si="9"/>
        <v>0</v>
      </c>
      <c r="AN86" s="17">
        <f t="shared" si="10"/>
        <v>0</v>
      </c>
      <c r="AO86" s="17">
        <f t="shared" si="11"/>
        <v>0</v>
      </c>
      <c r="AP86" s="17">
        <f t="shared" si="12"/>
        <v>0</v>
      </c>
      <c r="AQ86" s="17">
        <f t="shared" si="13"/>
        <v>0</v>
      </c>
      <c r="AR86" s="17">
        <f t="shared" si="14"/>
        <v>0</v>
      </c>
    </row>
    <row r="87" spans="1:44" ht="12.75" customHeight="1">
      <c r="A87" s="69">
        <f t="shared" si="0"/>
        <v>0</v>
      </c>
      <c r="B87" s="69">
        <f t="shared" si="1"/>
        <v>0</v>
      </c>
      <c r="C87" s="147">
        <f t="shared" si="2"/>
        <v>0</v>
      </c>
      <c r="D87" s="69">
        <f t="shared" si="3"/>
        <v>99999</v>
      </c>
      <c r="E87" s="69">
        <f t="shared" si="4"/>
        <v>9999</v>
      </c>
      <c r="F87" s="98" t="str">
        <f t="shared" ca="1" si="5"/>
        <v>00000000000000000000966498</v>
      </c>
      <c r="G87" s="139" t="b">
        <f t="shared" si="6"/>
        <v>1</v>
      </c>
      <c r="H87" s="140">
        <f t="shared" si="7"/>
        <v>77</v>
      </c>
      <c r="I87" s="130" t="s">
        <v>1750</v>
      </c>
      <c r="J87" s="141" t="s">
        <v>1690</v>
      </c>
      <c r="K87" s="17" t="s">
        <v>1690</v>
      </c>
      <c r="L87" s="17" t="s">
        <v>1690</v>
      </c>
      <c r="M87" s="17">
        <v>9999</v>
      </c>
      <c r="N87" s="142">
        <v>0</v>
      </c>
      <c r="O87" s="130" t="s">
        <v>1750</v>
      </c>
      <c r="P87" s="141" t="s">
        <v>1690</v>
      </c>
      <c r="Q87" s="17" t="s">
        <v>1690</v>
      </c>
      <c r="R87" s="17" t="s">
        <v>1690</v>
      </c>
      <c r="S87" s="17">
        <v>9999</v>
      </c>
      <c r="T87" s="142">
        <v>0</v>
      </c>
      <c r="U87" s="130" t="s">
        <v>1750</v>
      </c>
      <c r="V87" s="141" t="s">
        <v>1690</v>
      </c>
      <c r="W87" s="17" t="s">
        <v>1690</v>
      </c>
      <c r="X87" s="17" t="s">
        <v>1690</v>
      </c>
      <c r="Y87" s="17">
        <v>9999</v>
      </c>
      <c r="Z87" s="142">
        <v>0</v>
      </c>
      <c r="AA87" s="130" t="s">
        <v>1750</v>
      </c>
      <c r="AB87" s="141" t="s">
        <v>1690</v>
      </c>
      <c r="AC87" s="17" t="s">
        <v>1690</v>
      </c>
      <c r="AD87" s="17" t="s">
        <v>1690</v>
      </c>
      <c r="AE87" s="17">
        <v>9999</v>
      </c>
      <c r="AF87" s="142">
        <v>0</v>
      </c>
      <c r="AG87" s="130"/>
      <c r="AH87" s="143">
        <f>IF(TYPE(VLOOKUP(H87,Nasazení!$A$3:$E$130,5,0))&lt;4,VLOOKUP(H87,Nasazení!$A$3:$E$130,5,0),0)</f>
        <v>0</v>
      </c>
      <c r="AI87" s="144" t="str">
        <f>IF(N($AH87)&gt;0,VLOOKUP($AH87,Body!$A$4:$F$259,5,0),"")</f>
        <v/>
      </c>
      <c r="AJ87" s="145" t="str">
        <f>IF(N($AH87)&gt;0,VLOOKUP($AH87,Body!$A$4:$F$259,6,0),"")</f>
        <v/>
      </c>
      <c r="AK87" s="144" t="str">
        <f>IF(N($AH87)&gt;0,VLOOKUP($AH87,Body!$A$4:$F$259,2,0),"")</f>
        <v/>
      </c>
      <c r="AL87" s="146" t="str">
        <f t="shared" si="8"/>
        <v/>
      </c>
      <c r="AM87" s="142">
        <f t="shared" si="9"/>
        <v>0</v>
      </c>
      <c r="AN87" s="17">
        <f t="shared" si="10"/>
        <v>0</v>
      </c>
      <c r="AO87" s="17">
        <f t="shared" si="11"/>
        <v>0</v>
      </c>
      <c r="AP87" s="17">
        <f t="shared" si="12"/>
        <v>0</v>
      </c>
      <c r="AQ87" s="17">
        <f t="shared" si="13"/>
        <v>0</v>
      </c>
      <c r="AR87" s="17">
        <f t="shared" si="14"/>
        <v>0</v>
      </c>
    </row>
    <row r="88" spans="1:44" ht="12.75" customHeight="1">
      <c r="A88" s="69">
        <f t="shared" si="0"/>
        <v>0</v>
      </c>
      <c r="B88" s="69">
        <f t="shared" si="1"/>
        <v>0</v>
      </c>
      <c r="C88" s="147">
        <f t="shared" si="2"/>
        <v>0</v>
      </c>
      <c r="D88" s="69">
        <f t="shared" si="3"/>
        <v>99999</v>
      </c>
      <c r="E88" s="69">
        <f t="shared" si="4"/>
        <v>9999</v>
      </c>
      <c r="F88" s="98" t="str">
        <f t="shared" ca="1" si="5"/>
        <v>00000000000000000000511309</v>
      </c>
      <c r="G88" s="139" t="b">
        <f t="shared" si="6"/>
        <v>1</v>
      </c>
      <c r="H88" s="140">
        <f t="shared" si="7"/>
        <v>78</v>
      </c>
      <c r="I88" s="130" t="s">
        <v>1750</v>
      </c>
      <c r="J88" s="141" t="s">
        <v>1690</v>
      </c>
      <c r="K88" s="17" t="s">
        <v>1690</v>
      </c>
      <c r="L88" s="17" t="s">
        <v>1690</v>
      </c>
      <c r="M88" s="17">
        <v>9999</v>
      </c>
      <c r="N88" s="142">
        <v>0</v>
      </c>
      <c r="O88" s="130" t="s">
        <v>1750</v>
      </c>
      <c r="P88" s="141" t="s">
        <v>1690</v>
      </c>
      <c r="Q88" s="17" t="s">
        <v>1690</v>
      </c>
      <c r="R88" s="17" t="s">
        <v>1690</v>
      </c>
      <c r="S88" s="17">
        <v>9999</v>
      </c>
      <c r="T88" s="142">
        <v>0</v>
      </c>
      <c r="U88" s="130" t="s">
        <v>1750</v>
      </c>
      <c r="V88" s="141" t="s">
        <v>1690</v>
      </c>
      <c r="W88" s="17" t="s">
        <v>1690</v>
      </c>
      <c r="X88" s="17" t="s">
        <v>1690</v>
      </c>
      <c r="Y88" s="17">
        <v>9999</v>
      </c>
      <c r="Z88" s="142">
        <v>0</v>
      </c>
      <c r="AA88" s="130" t="s">
        <v>1750</v>
      </c>
      <c r="AB88" s="141" t="s">
        <v>1690</v>
      </c>
      <c r="AC88" s="17" t="s">
        <v>1690</v>
      </c>
      <c r="AD88" s="17" t="s">
        <v>1690</v>
      </c>
      <c r="AE88" s="17">
        <v>9999</v>
      </c>
      <c r="AF88" s="142">
        <v>0</v>
      </c>
      <c r="AG88" s="130"/>
      <c r="AH88" s="143">
        <f>IF(TYPE(VLOOKUP(H88,Nasazení!$A$3:$E$130,5,0))&lt;4,VLOOKUP(H88,Nasazení!$A$3:$E$130,5,0),0)</f>
        <v>0</v>
      </c>
      <c r="AI88" s="144" t="str">
        <f>IF(N($AH88)&gt;0,VLOOKUP($AH88,Body!$A$4:$F$259,5,0),"")</f>
        <v/>
      </c>
      <c r="AJ88" s="145" t="str">
        <f>IF(N($AH88)&gt;0,VLOOKUP($AH88,Body!$A$4:$F$259,6,0),"")</f>
        <v/>
      </c>
      <c r="AK88" s="144" t="str">
        <f>IF(N($AH88)&gt;0,VLOOKUP($AH88,Body!$A$4:$F$259,2,0),"")</f>
        <v/>
      </c>
      <c r="AL88" s="146" t="str">
        <f t="shared" si="8"/>
        <v/>
      </c>
      <c r="AM88" s="142">
        <f t="shared" si="9"/>
        <v>0</v>
      </c>
      <c r="AN88" s="17">
        <f t="shared" si="10"/>
        <v>0</v>
      </c>
      <c r="AO88" s="17">
        <f t="shared" si="11"/>
        <v>0</v>
      </c>
      <c r="AP88" s="17">
        <f t="shared" si="12"/>
        <v>0</v>
      </c>
      <c r="AQ88" s="17">
        <f t="shared" si="13"/>
        <v>0</v>
      </c>
      <c r="AR88" s="17">
        <f t="shared" si="14"/>
        <v>0</v>
      </c>
    </row>
    <row r="89" spans="1:44" ht="12.75" customHeight="1">
      <c r="A89" s="69">
        <f t="shared" si="0"/>
        <v>0</v>
      </c>
      <c r="B89" s="69">
        <f t="shared" si="1"/>
        <v>0</v>
      </c>
      <c r="C89" s="147">
        <f t="shared" si="2"/>
        <v>0</v>
      </c>
      <c r="D89" s="69">
        <f t="shared" si="3"/>
        <v>99999</v>
      </c>
      <c r="E89" s="69">
        <f t="shared" si="4"/>
        <v>9999</v>
      </c>
      <c r="F89" s="98" t="str">
        <f t="shared" ca="1" si="5"/>
        <v>00000000000000000000683110</v>
      </c>
      <c r="G89" s="139" t="b">
        <f t="shared" si="6"/>
        <v>1</v>
      </c>
      <c r="H89" s="140">
        <f t="shared" si="7"/>
        <v>79</v>
      </c>
      <c r="I89" s="130" t="s">
        <v>1750</v>
      </c>
      <c r="J89" s="141" t="s">
        <v>1690</v>
      </c>
      <c r="K89" s="17" t="s">
        <v>1690</v>
      </c>
      <c r="L89" s="17" t="s">
        <v>1690</v>
      </c>
      <c r="M89" s="17">
        <v>9999</v>
      </c>
      <c r="N89" s="142">
        <v>0</v>
      </c>
      <c r="O89" s="130" t="s">
        <v>1750</v>
      </c>
      <c r="P89" s="141" t="s">
        <v>1690</v>
      </c>
      <c r="Q89" s="17" t="s">
        <v>1690</v>
      </c>
      <c r="R89" s="17" t="s">
        <v>1690</v>
      </c>
      <c r="S89" s="17">
        <v>9999</v>
      </c>
      <c r="T89" s="142">
        <v>0</v>
      </c>
      <c r="U89" s="130" t="s">
        <v>1750</v>
      </c>
      <c r="V89" s="141" t="s">
        <v>1690</v>
      </c>
      <c r="W89" s="17" t="s">
        <v>1690</v>
      </c>
      <c r="X89" s="17" t="s">
        <v>1690</v>
      </c>
      <c r="Y89" s="17">
        <v>9999</v>
      </c>
      <c r="Z89" s="142">
        <v>0</v>
      </c>
      <c r="AA89" s="130" t="s">
        <v>1750</v>
      </c>
      <c r="AB89" s="141" t="s">
        <v>1690</v>
      </c>
      <c r="AC89" s="17" t="s">
        <v>1690</v>
      </c>
      <c r="AD89" s="17" t="s">
        <v>1690</v>
      </c>
      <c r="AE89" s="17">
        <v>9999</v>
      </c>
      <c r="AF89" s="142">
        <v>0</v>
      </c>
      <c r="AG89" s="130"/>
      <c r="AH89" s="143">
        <f>IF(TYPE(VLOOKUP(H89,Nasazení!$A$3:$E$130,5,0))&lt;4,VLOOKUP(H89,Nasazení!$A$3:$E$130,5,0),0)</f>
        <v>0</v>
      </c>
      <c r="AI89" s="144" t="str">
        <f>IF(N($AH89)&gt;0,VLOOKUP($AH89,Body!$A$4:$F$259,5,0),"")</f>
        <v/>
      </c>
      <c r="AJ89" s="145" t="str">
        <f>IF(N($AH89)&gt;0,VLOOKUP($AH89,Body!$A$4:$F$259,6,0),"")</f>
        <v/>
      </c>
      <c r="AK89" s="144" t="str">
        <f>IF(N($AH89)&gt;0,VLOOKUP($AH89,Body!$A$4:$F$259,2,0),"")</f>
        <v/>
      </c>
      <c r="AL89" s="146" t="str">
        <f t="shared" si="8"/>
        <v/>
      </c>
      <c r="AM89" s="142">
        <f t="shared" si="9"/>
        <v>0</v>
      </c>
      <c r="AN89" s="17">
        <f t="shared" si="10"/>
        <v>0</v>
      </c>
      <c r="AO89" s="17">
        <f t="shared" si="11"/>
        <v>0</v>
      </c>
      <c r="AP89" s="17">
        <f t="shared" si="12"/>
        <v>0</v>
      </c>
      <c r="AQ89" s="17">
        <f t="shared" si="13"/>
        <v>0</v>
      </c>
      <c r="AR89" s="17">
        <f t="shared" si="14"/>
        <v>0</v>
      </c>
    </row>
    <row r="90" spans="1:44" ht="12.75" customHeight="1">
      <c r="A90" s="69">
        <f t="shared" si="0"/>
        <v>0</v>
      </c>
      <c r="B90" s="69">
        <f t="shared" si="1"/>
        <v>0</v>
      </c>
      <c r="C90" s="147">
        <f t="shared" si="2"/>
        <v>0</v>
      </c>
      <c r="D90" s="69">
        <f t="shared" si="3"/>
        <v>99999</v>
      </c>
      <c r="E90" s="69">
        <f t="shared" si="4"/>
        <v>9999</v>
      </c>
      <c r="F90" s="98" t="str">
        <f t="shared" ca="1" si="5"/>
        <v>00000000000000000000449709</v>
      </c>
      <c r="G90" s="139" t="b">
        <f t="shared" si="6"/>
        <v>1</v>
      </c>
      <c r="H90" s="140">
        <f t="shared" si="7"/>
        <v>80</v>
      </c>
      <c r="I90" s="130" t="s">
        <v>1750</v>
      </c>
      <c r="J90" s="141" t="s">
        <v>1690</v>
      </c>
      <c r="K90" s="17" t="s">
        <v>1690</v>
      </c>
      <c r="L90" s="17" t="s">
        <v>1690</v>
      </c>
      <c r="M90" s="17">
        <v>9999</v>
      </c>
      <c r="N90" s="142">
        <v>0</v>
      </c>
      <c r="O90" s="130" t="s">
        <v>1750</v>
      </c>
      <c r="P90" s="141" t="s">
        <v>1690</v>
      </c>
      <c r="Q90" s="17" t="s">
        <v>1690</v>
      </c>
      <c r="R90" s="17" t="s">
        <v>1690</v>
      </c>
      <c r="S90" s="17">
        <v>9999</v>
      </c>
      <c r="T90" s="142">
        <v>0</v>
      </c>
      <c r="U90" s="130" t="s">
        <v>1750</v>
      </c>
      <c r="V90" s="141" t="s">
        <v>1690</v>
      </c>
      <c r="W90" s="17" t="s">
        <v>1690</v>
      </c>
      <c r="X90" s="17" t="s">
        <v>1690</v>
      </c>
      <c r="Y90" s="17">
        <v>9999</v>
      </c>
      <c r="Z90" s="142">
        <v>0</v>
      </c>
      <c r="AA90" s="130" t="s">
        <v>1750</v>
      </c>
      <c r="AB90" s="141" t="s">
        <v>1690</v>
      </c>
      <c r="AC90" s="17" t="s">
        <v>1690</v>
      </c>
      <c r="AD90" s="17" t="s">
        <v>1690</v>
      </c>
      <c r="AE90" s="17">
        <v>9999</v>
      </c>
      <c r="AF90" s="142">
        <v>0</v>
      </c>
      <c r="AG90" s="130"/>
      <c r="AH90" s="143">
        <f>IF(TYPE(VLOOKUP(H90,Nasazení!$A$3:$E$130,5,0))&lt;4,VLOOKUP(H90,Nasazení!$A$3:$E$130,5,0),0)</f>
        <v>0</v>
      </c>
      <c r="AI90" s="144" t="str">
        <f>IF(N($AH90)&gt;0,VLOOKUP($AH90,Body!$A$4:$F$259,5,0),"")</f>
        <v/>
      </c>
      <c r="AJ90" s="145" t="str">
        <f>IF(N($AH90)&gt;0,VLOOKUP($AH90,Body!$A$4:$F$259,6,0),"")</f>
        <v/>
      </c>
      <c r="AK90" s="144" t="str">
        <f>IF(N($AH90)&gt;0,VLOOKUP($AH90,Body!$A$4:$F$259,2,0),"")</f>
        <v/>
      </c>
      <c r="AL90" s="146" t="str">
        <f t="shared" si="8"/>
        <v/>
      </c>
      <c r="AM90" s="142">
        <f t="shared" si="9"/>
        <v>0</v>
      </c>
      <c r="AN90" s="17">
        <f t="shared" si="10"/>
        <v>0</v>
      </c>
      <c r="AO90" s="17">
        <f t="shared" si="11"/>
        <v>0</v>
      </c>
      <c r="AP90" s="17">
        <f t="shared" si="12"/>
        <v>0</v>
      </c>
      <c r="AQ90" s="17">
        <f t="shared" si="13"/>
        <v>0</v>
      </c>
      <c r="AR90" s="17">
        <f t="shared" si="14"/>
        <v>0</v>
      </c>
    </row>
    <row r="91" spans="1:44" ht="12.75" customHeight="1">
      <c r="A91" s="69">
        <f t="shared" si="0"/>
        <v>0</v>
      </c>
      <c r="B91" s="69">
        <f t="shared" si="1"/>
        <v>0</v>
      </c>
      <c r="C91" s="147">
        <f t="shared" si="2"/>
        <v>0</v>
      </c>
      <c r="D91" s="69">
        <f t="shared" si="3"/>
        <v>99999</v>
      </c>
      <c r="E91" s="69">
        <f t="shared" si="4"/>
        <v>9999</v>
      </c>
      <c r="F91" s="98" t="str">
        <f t="shared" ca="1" si="5"/>
        <v>00000000000000000000088174</v>
      </c>
      <c r="G91" s="139" t="b">
        <f t="shared" si="6"/>
        <v>1</v>
      </c>
      <c r="H91" s="140">
        <f t="shared" si="7"/>
        <v>81</v>
      </c>
      <c r="I91" s="130" t="s">
        <v>1750</v>
      </c>
      <c r="J91" s="141" t="s">
        <v>1690</v>
      </c>
      <c r="K91" s="17" t="s">
        <v>1690</v>
      </c>
      <c r="L91" s="17" t="s">
        <v>1690</v>
      </c>
      <c r="M91" s="17">
        <v>9999</v>
      </c>
      <c r="N91" s="142">
        <v>0</v>
      </c>
      <c r="O91" s="130" t="s">
        <v>1750</v>
      </c>
      <c r="P91" s="141" t="s">
        <v>1690</v>
      </c>
      <c r="Q91" s="17" t="s">
        <v>1690</v>
      </c>
      <c r="R91" s="17" t="s">
        <v>1690</v>
      </c>
      <c r="S91" s="17">
        <v>9999</v>
      </c>
      <c r="T91" s="142">
        <v>0</v>
      </c>
      <c r="U91" s="130" t="s">
        <v>1750</v>
      </c>
      <c r="V91" s="141" t="s">
        <v>1690</v>
      </c>
      <c r="W91" s="17" t="s">
        <v>1690</v>
      </c>
      <c r="X91" s="17" t="s">
        <v>1690</v>
      </c>
      <c r="Y91" s="17">
        <v>9999</v>
      </c>
      <c r="Z91" s="142">
        <v>0</v>
      </c>
      <c r="AA91" s="130" t="s">
        <v>1750</v>
      </c>
      <c r="AB91" s="141" t="s">
        <v>1690</v>
      </c>
      <c r="AC91" s="17" t="s">
        <v>1690</v>
      </c>
      <c r="AD91" s="17" t="s">
        <v>1690</v>
      </c>
      <c r="AE91" s="17">
        <v>9999</v>
      </c>
      <c r="AF91" s="142">
        <v>0</v>
      </c>
      <c r="AG91" s="130"/>
      <c r="AH91" s="143">
        <f>IF(TYPE(VLOOKUP(H91,Nasazení!$A$3:$E$130,5,0))&lt;4,VLOOKUP(H91,Nasazení!$A$3:$E$130,5,0),0)</f>
        <v>0</v>
      </c>
      <c r="AI91" s="144" t="str">
        <f>IF(N($AH91)&gt;0,VLOOKUP($AH91,Body!$A$4:$F$259,5,0),"")</f>
        <v/>
      </c>
      <c r="AJ91" s="145" t="str">
        <f>IF(N($AH91)&gt;0,VLOOKUP($AH91,Body!$A$4:$F$259,6,0),"")</f>
        <v/>
      </c>
      <c r="AK91" s="144" t="str">
        <f>IF(N($AH91)&gt;0,VLOOKUP($AH91,Body!$A$4:$F$259,2,0),"")</f>
        <v/>
      </c>
      <c r="AL91" s="146" t="str">
        <f t="shared" si="8"/>
        <v/>
      </c>
      <c r="AM91" s="142">
        <f t="shared" si="9"/>
        <v>0</v>
      </c>
      <c r="AN91" s="17">
        <f t="shared" si="10"/>
        <v>0</v>
      </c>
      <c r="AO91" s="17">
        <f t="shared" si="11"/>
        <v>0</v>
      </c>
      <c r="AP91" s="17">
        <f t="shared" si="12"/>
        <v>0</v>
      </c>
      <c r="AQ91" s="17">
        <f t="shared" si="13"/>
        <v>0</v>
      </c>
      <c r="AR91" s="17">
        <f t="shared" si="14"/>
        <v>0</v>
      </c>
    </row>
    <row r="92" spans="1:44" ht="12.75" customHeight="1">
      <c r="A92" s="69">
        <f t="shared" si="0"/>
        <v>0</v>
      </c>
      <c r="B92" s="69">
        <f t="shared" si="1"/>
        <v>0</v>
      </c>
      <c r="C92" s="147">
        <f t="shared" si="2"/>
        <v>0</v>
      </c>
      <c r="D92" s="69">
        <f t="shared" si="3"/>
        <v>99999</v>
      </c>
      <c r="E92" s="69">
        <f t="shared" si="4"/>
        <v>9999</v>
      </c>
      <c r="F92" s="98" t="str">
        <f t="shared" ca="1" si="5"/>
        <v>00000000000000000000028586</v>
      </c>
      <c r="G92" s="139" t="b">
        <f t="shared" si="6"/>
        <v>1</v>
      </c>
      <c r="H92" s="140">
        <f t="shared" si="7"/>
        <v>82</v>
      </c>
      <c r="I92" s="130" t="s">
        <v>1750</v>
      </c>
      <c r="J92" s="141" t="s">
        <v>1690</v>
      </c>
      <c r="K92" s="17" t="s">
        <v>1690</v>
      </c>
      <c r="L92" s="17" t="s">
        <v>1690</v>
      </c>
      <c r="M92" s="17">
        <v>9999</v>
      </c>
      <c r="N92" s="142">
        <v>0</v>
      </c>
      <c r="O92" s="130" t="s">
        <v>1750</v>
      </c>
      <c r="P92" s="141" t="s">
        <v>1690</v>
      </c>
      <c r="Q92" s="17" t="s">
        <v>1690</v>
      </c>
      <c r="R92" s="17" t="s">
        <v>1690</v>
      </c>
      <c r="S92" s="17">
        <v>9999</v>
      </c>
      <c r="T92" s="142">
        <v>0</v>
      </c>
      <c r="U92" s="130" t="s">
        <v>1750</v>
      </c>
      <c r="V92" s="141" t="s">
        <v>1690</v>
      </c>
      <c r="W92" s="17" t="s">
        <v>1690</v>
      </c>
      <c r="X92" s="17" t="s">
        <v>1690</v>
      </c>
      <c r="Y92" s="17">
        <v>9999</v>
      </c>
      <c r="Z92" s="142">
        <v>0</v>
      </c>
      <c r="AA92" s="130" t="s">
        <v>1750</v>
      </c>
      <c r="AB92" s="141" t="s">
        <v>1690</v>
      </c>
      <c r="AC92" s="17" t="s">
        <v>1690</v>
      </c>
      <c r="AD92" s="17" t="s">
        <v>1690</v>
      </c>
      <c r="AE92" s="17">
        <v>9999</v>
      </c>
      <c r="AF92" s="142">
        <v>0</v>
      </c>
      <c r="AG92" s="130"/>
      <c r="AH92" s="143">
        <f>IF(TYPE(VLOOKUP(H92,Nasazení!$A$3:$E$130,5,0))&lt;4,VLOOKUP(H92,Nasazení!$A$3:$E$130,5,0),0)</f>
        <v>0</v>
      </c>
      <c r="AI92" s="144" t="str">
        <f>IF(N($AH92)&gt;0,VLOOKUP($AH92,Body!$A$4:$F$259,5,0),"")</f>
        <v/>
      </c>
      <c r="AJ92" s="145" t="str">
        <f>IF(N($AH92)&gt;0,VLOOKUP($AH92,Body!$A$4:$F$259,6,0),"")</f>
        <v/>
      </c>
      <c r="AK92" s="144" t="str">
        <f>IF(N($AH92)&gt;0,VLOOKUP($AH92,Body!$A$4:$F$259,2,0),"")</f>
        <v/>
      </c>
      <c r="AL92" s="146" t="str">
        <f t="shared" si="8"/>
        <v/>
      </c>
      <c r="AM92" s="142">
        <f t="shared" si="9"/>
        <v>0</v>
      </c>
      <c r="AN92" s="17">
        <f t="shared" si="10"/>
        <v>0</v>
      </c>
      <c r="AO92" s="17">
        <f t="shared" si="11"/>
        <v>0</v>
      </c>
      <c r="AP92" s="17">
        <f t="shared" si="12"/>
        <v>0</v>
      </c>
      <c r="AQ92" s="17">
        <f t="shared" si="13"/>
        <v>0</v>
      </c>
      <c r="AR92" s="17">
        <f t="shared" si="14"/>
        <v>0</v>
      </c>
    </row>
    <row r="93" spans="1:44" ht="12.75" customHeight="1">
      <c r="A93" s="69">
        <f t="shared" si="0"/>
        <v>0</v>
      </c>
      <c r="B93" s="69">
        <f t="shared" si="1"/>
        <v>0</v>
      </c>
      <c r="C93" s="147">
        <f t="shared" si="2"/>
        <v>0</v>
      </c>
      <c r="D93" s="69">
        <f t="shared" si="3"/>
        <v>99999</v>
      </c>
      <c r="E93" s="69">
        <f t="shared" si="4"/>
        <v>9999</v>
      </c>
      <c r="F93" s="98" t="str">
        <f t="shared" ca="1" si="5"/>
        <v>00000000000000000000628626</v>
      </c>
      <c r="G93" s="139" t="b">
        <f t="shared" si="6"/>
        <v>1</v>
      </c>
      <c r="H93" s="140">
        <f t="shared" si="7"/>
        <v>83</v>
      </c>
      <c r="I93" s="130" t="s">
        <v>1750</v>
      </c>
      <c r="J93" s="141" t="s">
        <v>1690</v>
      </c>
      <c r="K93" s="17" t="s">
        <v>1690</v>
      </c>
      <c r="L93" s="17" t="s">
        <v>1690</v>
      </c>
      <c r="M93" s="17">
        <v>9999</v>
      </c>
      <c r="N93" s="142">
        <v>0</v>
      </c>
      <c r="O93" s="130" t="s">
        <v>1750</v>
      </c>
      <c r="P93" s="141" t="s">
        <v>1690</v>
      </c>
      <c r="Q93" s="17" t="s">
        <v>1690</v>
      </c>
      <c r="R93" s="17" t="s">
        <v>1690</v>
      </c>
      <c r="S93" s="17">
        <v>9999</v>
      </c>
      <c r="T93" s="142">
        <v>0</v>
      </c>
      <c r="U93" s="130" t="s">
        <v>1750</v>
      </c>
      <c r="V93" s="141" t="s">
        <v>1690</v>
      </c>
      <c r="W93" s="17" t="s">
        <v>1690</v>
      </c>
      <c r="X93" s="17" t="s">
        <v>1690</v>
      </c>
      <c r="Y93" s="17">
        <v>9999</v>
      </c>
      <c r="Z93" s="142">
        <v>0</v>
      </c>
      <c r="AA93" s="130" t="s">
        <v>1750</v>
      </c>
      <c r="AB93" s="141" t="s">
        <v>1690</v>
      </c>
      <c r="AC93" s="17" t="s">
        <v>1690</v>
      </c>
      <c r="AD93" s="17" t="s">
        <v>1690</v>
      </c>
      <c r="AE93" s="17">
        <v>9999</v>
      </c>
      <c r="AF93" s="142">
        <v>0</v>
      </c>
      <c r="AG93" s="130"/>
      <c r="AH93" s="143">
        <f>IF(TYPE(VLOOKUP(H93,Nasazení!$A$3:$E$130,5,0))&lt;4,VLOOKUP(H93,Nasazení!$A$3:$E$130,5,0),0)</f>
        <v>0</v>
      </c>
      <c r="AI93" s="144" t="str">
        <f>IF(N($AH93)&gt;0,VLOOKUP($AH93,Body!$A$4:$F$259,5,0),"")</f>
        <v/>
      </c>
      <c r="AJ93" s="145" t="str">
        <f>IF(N($AH93)&gt;0,VLOOKUP($AH93,Body!$A$4:$F$259,6,0),"")</f>
        <v/>
      </c>
      <c r="AK93" s="144" t="str">
        <f>IF(N($AH93)&gt;0,VLOOKUP($AH93,Body!$A$4:$F$259,2,0),"")</f>
        <v/>
      </c>
      <c r="AL93" s="146" t="str">
        <f t="shared" si="8"/>
        <v/>
      </c>
      <c r="AM93" s="142">
        <f t="shared" si="9"/>
        <v>0</v>
      </c>
      <c r="AN93" s="17">
        <f t="shared" si="10"/>
        <v>0</v>
      </c>
      <c r="AO93" s="17">
        <f t="shared" si="11"/>
        <v>0</v>
      </c>
      <c r="AP93" s="17">
        <f t="shared" si="12"/>
        <v>0</v>
      </c>
      <c r="AQ93" s="17">
        <f t="shared" si="13"/>
        <v>0</v>
      </c>
      <c r="AR93" s="17">
        <f t="shared" si="14"/>
        <v>0</v>
      </c>
    </row>
    <row r="94" spans="1:44" ht="12.75" customHeight="1">
      <c r="A94" s="69">
        <f t="shared" si="0"/>
        <v>0</v>
      </c>
      <c r="B94" s="69">
        <f t="shared" si="1"/>
        <v>0</v>
      </c>
      <c r="C94" s="147">
        <f t="shared" si="2"/>
        <v>0</v>
      </c>
      <c r="D94" s="69">
        <f t="shared" si="3"/>
        <v>99999</v>
      </c>
      <c r="E94" s="69">
        <f t="shared" si="4"/>
        <v>9999</v>
      </c>
      <c r="F94" s="98" t="str">
        <f t="shared" ca="1" si="5"/>
        <v>00000000000000000000312313</v>
      </c>
      <c r="G94" s="139" t="b">
        <f t="shared" si="6"/>
        <v>1</v>
      </c>
      <c r="H94" s="140">
        <f t="shared" si="7"/>
        <v>84</v>
      </c>
      <c r="I94" s="130" t="s">
        <v>1750</v>
      </c>
      <c r="J94" s="141" t="s">
        <v>1690</v>
      </c>
      <c r="K94" s="17" t="s">
        <v>1690</v>
      </c>
      <c r="L94" s="17" t="s">
        <v>1690</v>
      </c>
      <c r="M94" s="17">
        <v>9999</v>
      </c>
      <c r="N94" s="142">
        <v>0</v>
      </c>
      <c r="O94" s="130" t="s">
        <v>1750</v>
      </c>
      <c r="P94" s="141" t="s">
        <v>1690</v>
      </c>
      <c r="Q94" s="17" t="s">
        <v>1690</v>
      </c>
      <c r="R94" s="17" t="s">
        <v>1690</v>
      </c>
      <c r="S94" s="17">
        <v>9999</v>
      </c>
      <c r="T94" s="142">
        <v>0</v>
      </c>
      <c r="U94" s="130" t="s">
        <v>1750</v>
      </c>
      <c r="V94" s="141" t="s">
        <v>1690</v>
      </c>
      <c r="W94" s="17" t="s">
        <v>1690</v>
      </c>
      <c r="X94" s="17" t="s">
        <v>1690</v>
      </c>
      <c r="Y94" s="17">
        <v>9999</v>
      </c>
      <c r="Z94" s="142">
        <v>0</v>
      </c>
      <c r="AA94" s="130" t="s">
        <v>1750</v>
      </c>
      <c r="AB94" s="141" t="s">
        <v>1690</v>
      </c>
      <c r="AC94" s="17" t="s">
        <v>1690</v>
      </c>
      <c r="AD94" s="17" t="s">
        <v>1690</v>
      </c>
      <c r="AE94" s="17">
        <v>9999</v>
      </c>
      <c r="AF94" s="142">
        <v>0</v>
      </c>
      <c r="AG94" s="130"/>
      <c r="AH94" s="143">
        <f>IF(TYPE(VLOOKUP(H94,Nasazení!$A$3:$E$130,5,0))&lt;4,VLOOKUP(H94,Nasazení!$A$3:$E$130,5,0),0)</f>
        <v>0</v>
      </c>
      <c r="AI94" s="144" t="str">
        <f>IF(N($AH94)&gt;0,VLOOKUP($AH94,Body!$A$4:$F$259,5,0),"")</f>
        <v/>
      </c>
      <c r="AJ94" s="145" t="str">
        <f>IF(N($AH94)&gt;0,VLOOKUP($AH94,Body!$A$4:$F$259,6,0),"")</f>
        <v/>
      </c>
      <c r="AK94" s="144" t="str">
        <f>IF(N($AH94)&gt;0,VLOOKUP($AH94,Body!$A$4:$F$259,2,0),"")</f>
        <v/>
      </c>
      <c r="AL94" s="146" t="str">
        <f t="shared" si="8"/>
        <v/>
      </c>
      <c r="AM94" s="142">
        <f t="shared" si="9"/>
        <v>0</v>
      </c>
      <c r="AN94" s="17">
        <f t="shared" si="10"/>
        <v>0</v>
      </c>
      <c r="AO94" s="17">
        <f t="shared" si="11"/>
        <v>0</v>
      </c>
      <c r="AP94" s="17">
        <f t="shared" si="12"/>
        <v>0</v>
      </c>
      <c r="AQ94" s="17">
        <f t="shared" si="13"/>
        <v>0</v>
      </c>
      <c r="AR94" s="17">
        <f t="shared" si="14"/>
        <v>0</v>
      </c>
    </row>
    <row r="95" spans="1:44" ht="12.75" customHeight="1">
      <c r="A95" s="69">
        <f t="shared" si="0"/>
        <v>0</v>
      </c>
      <c r="B95" s="69">
        <f t="shared" si="1"/>
        <v>0</v>
      </c>
      <c r="C95" s="147">
        <f t="shared" si="2"/>
        <v>0</v>
      </c>
      <c r="D95" s="69">
        <f t="shared" si="3"/>
        <v>99999</v>
      </c>
      <c r="E95" s="69">
        <f t="shared" si="4"/>
        <v>9999</v>
      </c>
      <c r="F95" s="98" t="str">
        <f t="shared" ca="1" si="5"/>
        <v>00000000000000000000211431</v>
      </c>
      <c r="G95" s="139" t="b">
        <f t="shared" si="6"/>
        <v>1</v>
      </c>
      <c r="H95" s="140">
        <f t="shared" si="7"/>
        <v>85</v>
      </c>
      <c r="I95" s="130" t="s">
        <v>1750</v>
      </c>
      <c r="J95" s="141" t="s">
        <v>1690</v>
      </c>
      <c r="K95" s="17" t="s">
        <v>1690</v>
      </c>
      <c r="L95" s="17" t="s">
        <v>1690</v>
      </c>
      <c r="M95" s="17">
        <v>9999</v>
      </c>
      <c r="N95" s="142">
        <v>0</v>
      </c>
      <c r="O95" s="130" t="s">
        <v>1750</v>
      </c>
      <c r="P95" s="141" t="s">
        <v>1690</v>
      </c>
      <c r="Q95" s="17" t="s">
        <v>1690</v>
      </c>
      <c r="R95" s="17" t="s">
        <v>1690</v>
      </c>
      <c r="S95" s="17">
        <v>9999</v>
      </c>
      <c r="T95" s="142">
        <v>0</v>
      </c>
      <c r="U95" s="130" t="s">
        <v>1750</v>
      </c>
      <c r="V95" s="141" t="s">
        <v>1690</v>
      </c>
      <c r="W95" s="17" t="s">
        <v>1690</v>
      </c>
      <c r="X95" s="17" t="s">
        <v>1690</v>
      </c>
      <c r="Y95" s="17">
        <v>9999</v>
      </c>
      <c r="Z95" s="142">
        <v>0</v>
      </c>
      <c r="AA95" s="130" t="s">
        <v>1750</v>
      </c>
      <c r="AB95" s="141" t="s">
        <v>1690</v>
      </c>
      <c r="AC95" s="17" t="s">
        <v>1690</v>
      </c>
      <c r="AD95" s="17" t="s">
        <v>1690</v>
      </c>
      <c r="AE95" s="17">
        <v>9999</v>
      </c>
      <c r="AF95" s="142">
        <v>0</v>
      </c>
      <c r="AG95" s="130"/>
      <c r="AH95" s="143">
        <f>IF(TYPE(VLOOKUP(H95,Nasazení!$A$3:$E$130,5,0))&lt;4,VLOOKUP(H95,Nasazení!$A$3:$E$130,5,0),0)</f>
        <v>0</v>
      </c>
      <c r="AI95" s="144" t="str">
        <f>IF(N($AH95)&gt;0,VLOOKUP($AH95,Body!$A$4:$F$259,5,0),"")</f>
        <v/>
      </c>
      <c r="AJ95" s="145" t="str">
        <f>IF(N($AH95)&gt;0,VLOOKUP($AH95,Body!$A$4:$F$259,6,0),"")</f>
        <v/>
      </c>
      <c r="AK95" s="144" t="str">
        <f>IF(N($AH95)&gt;0,VLOOKUP($AH95,Body!$A$4:$F$259,2,0),"")</f>
        <v/>
      </c>
      <c r="AL95" s="146" t="str">
        <f t="shared" si="8"/>
        <v/>
      </c>
      <c r="AM95" s="142">
        <f t="shared" si="9"/>
        <v>0</v>
      </c>
      <c r="AN95" s="17">
        <f t="shared" si="10"/>
        <v>0</v>
      </c>
      <c r="AO95" s="17">
        <f t="shared" si="11"/>
        <v>0</v>
      </c>
      <c r="AP95" s="17">
        <f t="shared" si="12"/>
        <v>0</v>
      </c>
      <c r="AQ95" s="17">
        <f t="shared" si="13"/>
        <v>0</v>
      </c>
      <c r="AR95" s="17">
        <f t="shared" si="14"/>
        <v>0</v>
      </c>
    </row>
    <row r="96" spans="1:44" ht="12.75" customHeight="1">
      <c r="A96" s="69">
        <f t="shared" si="0"/>
        <v>0</v>
      </c>
      <c r="B96" s="69">
        <f t="shared" si="1"/>
        <v>0</v>
      </c>
      <c r="C96" s="147">
        <f t="shared" si="2"/>
        <v>0</v>
      </c>
      <c r="D96" s="69">
        <f t="shared" si="3"/>
        <v>99999</v>
      </c>
      <c r="E96" s="69">
        <f t="shared" si="4"/>
        <v>9999</v>
      </c>
      <c r="F96" s="98" t="str">
        <f t="shared" ca="1" si="5"/>
        <v>00000000000000000000081530</v>
      </c>
      <c r="G96" s="139" t="b">
        <f t="shared" si="6"/>
        <v>1</v>
      </c>
      <c r="H96" s="140">
        <f t="shared" si="7"/>
        <v>86</v>
      </c>
      <c r="I96" s="130" t="s">
        <v>1750</v>
      </c>
      <c r="J96" s="141" t="s">
        <v>1690</v>
      </c>
      <c r="K96" s="17" t="s">
        <v>1690</v>
      </c>
      <c r="L96" s="17" t="s">
        <v>1690</v>
      </c>
      <c r="M96" s="17">
        <v>9999</v>
      </c>
      <c r="N96" s="142">
        <v>0</v>
      </c>
      <c r="O96" s="130" t="s">
        <v>1750</v>
      </c>
      <c r="P96" s="141" t="s">
        <v>1690</v>
      </c>
      <c r="Q96" s="17" t="s">
        <v>1690</v>
      </c>
      <c r="R96" s="17" t="s">
        <v>1690</v>
      </c>
      <c r="S96" s="17">
        <v>9999</v>
      </c>
      <c r="T96" s="142">
        <v>0</v>
      </c>
      <c r="U96" s="130" t="s">
        <v>1750</v>
      </c>
      <c r="V96" s="141" t="s">
        <v>1690</v>
      </c>
      <c r="W96" s="17" t="s">
        <v>1690</v>
      </c>
      <c r="X96" s="17" t="s">
        <v>1690</v>
      </c>
      <c r="Y96" s="17">
        <v>9999</v>
      </c>
      <c r="Z96" s="142">
        <v>0</v>
      </c>
      <c r="AA96" s="130" t="s">
        <v>1750</v>
      </c>
      <c r="AB96" s="141" t="s">
        <v>1690</v>
      </c>
      <c r="AC96" s="17" t="s">
        <v>1690</v>
      </c>
      <c r="AD96" s="17" t="s">
        <v>1690</v>
      </c>
      <c r="AE96" s="17">
        <v>9999</v>
      </c>
      <c r="AF96" s="142">
        <v>0</v>
      </c>
      <c r="AG96" s="130"/>
      <c r="AH96" s="143">
        <f>IF(TYPE(VLOOKUP(H96,Nasazení!$A$3:$E$130,5,0))&lt;4,VLOOKUP(H96,Nasazení!$A$3:$E$130,5,0),0)</f>
        <v>0</v>
      </c>
      <c r="AI96" s="144" t="str">
        <f>IF(N($AH96)&gt;0,VLOOKUP($AH96,Body!$A$4:$F$259,5,0),"")</f>
        <v/>
      </c>
      <c r="AJ96" s="145" t="str">
        <f>IF(N($AH96)&gt;0,VLOOKUP($AH96,Body!$A$4:$F$259,6,0),"")</f>
        <v/>
      </c>
      <c r="AK96" s="144" t="str">
        <f>IF(N($AH96)&gt;0,VLOOKUP($AH96,Body!$A$4:$F$259,2,0),"")</f>
        <v/>
      </c>
      <c r="AL96" s="146" t="str">
        <f t="shared" si="8"/>
        <v/>
      </c>
      <c r="AM96" s="142">
        <f t="shared" si="9"/>
        <v>0</v>
      </c>
      <c r="AN96" s="17">
        <f t="shared" si="10"/>
        <v>0</v>
      </c>
      <c r="AO96" s="17">
        <f t="shared" si="11"/>
        <v>0</v>
      </c>
      <c r="AP96" s="17">
        <f t="shared" si="12"/>
        <v>0</v>
      </c>
      <c r="AQ96" s="17">
        <f t="shared" si="13"/>
        <v>0</v>
      </c>
      <c r="AR96" s="17">
        <f t="shared" si="14"/>
        <v>0</v>
      </c>
    </row>
    <row r="97" spans="1:44" ht="12.75" customHeight="1">
      <c r="A97" s="69">
        <f t="shared" si="0"/>
        <v>0</v>
      </c>
      <c r="B97" s="69">
        <f t="shared" si="1"/>
        <v>0</v>
      </c>
      <c r="C97" s="147">
        <f t="shared" si="2"/>
        <v>0</v>
      </c>
      <c r="D97" s="69">
        <f t="shared" si="3"/>
        <v>99999</v>
      </c>
      <c r="E97" s="69">
        <f t="shared" si="4"/>
        <v>9999</v>
      </c>
      <c r="F97" s="98" t="str">
        <f t="shared" ca="1" si="5"/>
        <v>00000000000000000000680406</v>
      </c>
      <c r="G97" s="139" t="b">
        <f t="shared" si="6"/>
        <v>1</v>
      </c>
      <c r="H97" s="140">
        <f t="shared" si="7"/>
        <v>87</v>
      </c>
      <c r="I97" s="130" t="s">
        <v>1750</v>
      </c>
      <c r="J97" s="141" t="s">
        <v>1690</v>
      </c>
      <c r="K97" s="17" t="s">
        <v>1690</v>
      </c>
      <c r="L97" s="17" t="s">
        <v>1690</v>
      </c>
      <c r="M97" s="17">
        <v>9999</v>
      </c>
      <c r="N97" s="142">
        <v>0</v>
      </c>
      <c r="O97" s="130" t="s">
        <v>1750</v>
      </c>
      <c r="P97" s="141" t="s">
        <v>1690</v>
      </c>
      <c r="Q97" s="17" t="s">
        <v>1690</v>
      </c>
      <c r="R97" s="17" t="s">
        <v>1690</v>
      </c>
      <c r="S97" s="17">
        <v>9999</v>
      </c>
      <c r="T97" s="142">
        <v>0</v>
      </c>
      <c r="U97" s="130" t="s">
        <v>1750</v>
      </c>
      <c r="V97" s="141" t="s">
        <v>1690</v>
      </c>
      <c r="W97" s="17" t="s">
        <v>1690</v>
      </c>
      <c r="X97" s="17" t="s">
        <v>1690</v>
      </c>
      <c r="Y97" s="17">
        <v>9999</v>
      </c>
      <c r="Z97" s="142">
        <v>0</v>
      </c>
      <c r="AA97" s="130" t="s">
        <v>1750</v>
      </c>
      <c r="AB97" s="141" t="s">
        <v>1690</v>
      </c>
      <c r="AC97" s="17" t="s">
        <v>1690</v>
      </c>
      <c r="AD97" s="17" t="s">
        <v>1690</v>
      </c>
      <c r="AE97" s="17">
        <v>9999</v>
      </c>
      <c r="AF97" s="142">
        <v>0</v>
      </c>
      <c r="AG97" s="130"/>
      <c r="AH97" s="143">
        <f>IF(TYPE(VLOOKUP(H97,Nasazení!$A$3:$E$130,5,0))&lt;4,VLOOKUP(H97,Nasazení!$A$3:$E$130,5,0),0)</f>
        <v>0</v>
      </c>
      <c r="AI97" s="144" t="str">
        <f>IF(N($AH97)&gt;0,VLOOKUP($AH97,Body!$A$4:$F$259,5,0),"")</f>
        <v/>
      </c>
      <c r="AJ97" s="145" t="str">
        <f>IF(N($AH97)&gt;0,VLOOKUP($AH97,Body!$A$4:$F$259,6,0),"")</f>
        <v/>
      </c>
      <c r="AK97" s="144" t="str">
        <f>IF(N($AH97)&gt;0,VLOOKUP($AH97,Body!$A$4:$F$259,2,0),"")</f>
        <v/>
      </c>
      <c r="AL97" s="146" t="str">
        <f t="shared" si="8"/>
        <v/>
      </c>
      <c r="AM97" s="142">
        <f t="shared" si="9"/>
        <v>0</v>
      </c>
      <c r="AN97" s="17">
        <f t="shared" si="10"/>
        <v>0</v>
      </c>
      <c r="AO97" s="17">
        <f t="shared" si="11"/>
        <v>0</v>
      </c>
      <c r="AP97" s="17">
        <f t="shared" si="12"/>
        <v>0</v>
      </c>
      <c r="AQ97" s="17">
        <f t="shared" si="13"/>
        <v>0</v>
      </c>
      <c r="AR97" s="17">
        <f t="shared" si="14"/>
        <v>0</v>
      </c>
    </row>
    <row r="98" spans="1:44" ht="12.75" customHeight="1">
      <c r="A98" s="69">
        <f t="shared" si="0"/>
        <v>0</v>
      </c>
      <c r="B98" s="69">
        <f t="shared" si="1"/>
        <v>0</v>
      </c>
      <c r="C98" s="147">
        <f t="shared" si="2"/>
        <v>0</v>
      </c>
      <c r="D98" s="69">
        <f t="shared" si="3"/>
        <v>99999</v>
      </c>
      <c r="E98" s="69">
        <f t="shared" si="4"/>
        <v>9999</v>
      </c>
      <c r="F98" s="98" t="str">
        <f t="shared" ca="1" si="5"/>
        <v>00000000000000000000012647</v>
      </c>
      <c r="G98" s="139" t="b">
        <f t="shared" si="6"/>
        <v>1</v>
      </c>
      <c r="H98" s="140">
        <f t="shared" si="7"/>
        <v>88</v>
      </c>
      <c r="I98" s="130" t="s">
        <v>1750</v>
      </c>
      <c r="J98" s="141" t="s">
        <v>1690</v>
      </c>
      <c r="K98" s="17" t="s">
        <v>1690</v>
      </c>
      <c r="L98" s="17" t="s">
        <v>1690</v>
      </c>
      <c r="M98" s="17">
        <v>9999</v>
      </c>
      <c r="N98" s="142">
        <v>0</v>
      </c>
      <c r="O98" s="130" t="s">
        <v>1750</v>
      </c>
      <c r="P98" s="141" t="s">
        <v>1690</v>
      </c>
      <c r="Q98" s="17" t="s">
        <v>1690</v>
      </c>
      <c r="R98" s="17" t="s">
        <v>1690</v>
      </c>
      <c r="S98" s="17">
        <v>9999</v>
      </c>
      <c r="T98" s="142">
        <v>0</v>
      </c>
      <c r="U98" s="130" t="s">
        <v>1750</v>
      </c>
      <c r="V98" s="141" t="s">
        <v>1690</v>
      </c>
      <c r="W98" s="17" t="s">
        <v>1690</v>
      </c>
      <c r="X98" s="17" t="s">
        <v>1690</v>
      </c>
      <c r="Y98" s="17">
        <v>9999</v>
      </c>
      <c r="Z98" s="142">
        <v>0</v>
      </c>
      <c r="AA98" s="130" t="s">
        <v>1750</v>
      </c>
      <c r="AB98" s="141" t="s">
        <v>1690</v>
      </c>
      <c r="AC98" s="17" t="s">
        <v>1690</v>
      </c>
      <c r="AD98" s="17" t="s">
        <v>1690</v>
      </c>
      <c r="AE98" s="17">
        <v>9999</v>
      </c>
      <c r="AF98" s="142">
        <v>0</v>
      </c>
      <c r="AG98" s="130"/>
      <c r="AH98" s="143">
        <f>IF(TYPE(VLOOKUP(H98,Nasazení!$A$3:$E$130,5,0))&lt;4,VLOOKUP(H98,Nasazení!$A$3:$E$130,5,0),0)</f>
        <v>0</v>
      </c>
      <c r="AI98" s="144" t="str">
        <f>IF(N($AH98)&gt;0,VLOOKUP($AH98,Body!$A$4:$F$259,5,0),"")</f>
        <v/>
      </c>
      <c r="AJ98" s="145" t="str">
        <f>IF(N($AH98)&gt;0,VLOOKUP($AH98,Body!$A$4:$F$259,6,0),"")</f>
        <v/>
      </c>
      <c r="AK98" s="144" t="str">
        <f>IF(N($AH98)&gt;0,VLOOKUP($AH98,Body!$A$4:$F$259,2,0),"")</f>
        <v/>
      </c>
      <c r="AL98" s="146" t="str">
        <f t="shared" si="8"/>
        <v/>
      </c>
      <c r="AM98" s="142">
        <f t="shared" si="9"/>
        <v>0</v>
      </c>
      <c r="AN98" s="17">
        <f t="shared" si="10"/>
        <v>0</v>
      </c>
      <c r="AO98" s="17">
        <f t="shared" si="11"/>
        <v>0</v>
      </c>
      <c r="AP98" s="17">
        <f t="shared" si="12"/>
        <v>0</v>
      </c>
      <c r="AQ98" s="17">
        <f t="shared" si="13"/>
        <v>0</v>
      </c>
      <c r="AR98" s="17">
        <f t="shared" si="14"/>
        <v>0</v>
      </c>
    </row>
    <row r="99" spans="1:44" ht="12.75" customHeight="1">
      <c r="A99" s="69">
        <f t="shared" si="0"/>
        <v>0</v>
      </c>
      <c r="B99" s="69">
        <f t="shared" si="1"/>
        <v>0</v>
      </c>
      <c r="C99" s="147">
        <f t="shared" si="2"/>
        <v>0</v>
      </c>
      <c r="D99" s="69">
        <f t="shared" si="3"/>
        <v>99999</v>
      </c>
      <c r="E99" s="69">
        <f t="shared" si="4"/>
        <v>9999</v>
      </c>
      <c r="F99" s="98" t="str">
        <f t="shared" ca="1" si="5"/>
        <v>00000000000000000000764793</v>
      </c>
      <c r="G99" s="139" t="b">
        <f t="shared" si="6"/>
        <v>1</v>
      </c>
      <c r="H99" s="140">
        <f t="shared" si="7"/>
        <v>89</v>
      </c>
      <c r="I99" s="130" t="s">
        <v>1750</v>
      </c>
      <c r="J99" s="141" t="s">
        <v>1690</v>
      </c>
      <c r="K99" s="17" t="s">
        <v>1690</v>
      </c>
      <c r="L99" s="17" t="s">
        <v>1690</v>
      </c>
      <c r="M99" s="17">
        <v>9999</v>
      </c>
      <c r="N99" s="142">
        <v>0</v>
      </c>
      <c r="O99" s="130" t="s">
        <v>1750</v>
      </c>
      <c r="P99" s="141" t="s">
        <v>1690</v>
      </c>
      <c r="Q99" s="17" t="s">
        <v>1690</v>
      </c>
      <c r="R99" s="17" t="s">
        <v>1690</v>
      </c>
      <c r="S99" s="17">
        <v>9999</v>
      </c>
      <c r="T99" s="142">
        <v>0</v>
      </c>
      <c r="U99" s="130" t="s">
        <v>1750</v>
      </c>
      <c r="V99" s="141" t="s">
        <v>1690</v>
      </c>
      <c r="W99" s="17" t="s">
        <v>1690</v>
      </c>
      <c r="X99" s="17" t="s">
        <v>1690</v>
      </c>
      <c r="Y99" s="17">
        <v>9999</v>
      </c>
      <c r="Z99" s="142">
        <v>0</v>
      </c>
      <c r="AA99" s="130" t="s">
        <v>1750</v>
      </c>
      <c r="AB99" s="141" t="s">
        <v>1690</v>
      </c>
      <c r="AC99" s="17" t="s">
        <v>1690</v>
      </c>
      <c r="AD99" s="17" t="s">
        <v>1690</v>
      </c>
      <c r="AE99" s="17">
        <v>9999</v>
      </c>
      <c r="AF99" s="142">
        <v>0</v>
      </c>
      <c r="AG99" s="130"/>
      <c r="AH99" s="143">
        <f>IF(TYPE(VLOOKUP(H99,Nasazení!$A$3:$E$130,5,0))&lt;4,VLOOKUP(H99,Nasazení!$A$3:$E$130,5,0),0)</f>
        <v>0</v>
      </c>
      <c r="AI99" s="144" t="str">
        <f>IF(N($AH99)&gt;0,VLOOKUP($AH99,Body!$A$4:$F$259,5,0),"")</f>
        <v/>
      </c>
      <c r="AJ99" s="145" t="str">
        <f>IF(N($AH99)&gt;0,VLOOKUP($AH99,Body!$A$4:$F$259,6,0),"")</f>
        <v/>
      </c>
      <c r="AK99" s="144" t="str">
        <f>IF(N($AH99)&gt;0,VLOOKUP($AH99,Body!$A$4:$F$259,2,0),"")</f>
        <v/>
      </c>
      <c r="AL99" s="146" t="str">
        <f t="shared" si="8"/>
        <v/>
      </c>
      <c r="AM99" s="142">
        <f t="shared" si="9"/>
        <v>0</v>
      </c>
      <c r="AN99" s="17">
        <f t="shared" si="10"/>
        <v>0</v>
      </c>
      <c r="AO99" s="17">
        <f t="shared" si="11"/>
        <v>0</v>
      </c>
      <c r="AP99" s="17">
        <f t="shared" si="12"/>
        <v>0</v>
      </c>
      <c r="AQ99" s="17">
        <f t="shared" si="13"/>
        <v>0</v>
      </c>
      <c r="AR99" s="17">
        <f t="shared" si="14"/>
        <v>0</v>
      </c>
    </row>
    <row r="100" spans="1:44" ht="12.75" customHeight="1">
      <c r="A100" s="69">
        <f t="shared" si="0"/>
        <v>0</v>
      </c>
      <c r="B100" s="69">
        <f t="shared" si="1"/>
        <v>0</v>
      </c>
      <c r="C100" s="147">
        <f t="shared" si="2"/>
        <v>0</v>
      </c>
      <c r="D100" s="69">
        <f t="shared" si="3"/>
        <v>99999</v>
      </c>
      <c r="E100" s="69">
        <f t="shared" si="4"/>
        <v>9999</v>
      </c>
      <c r="F100" s="98" t="str">
        <f t="shared" ca="1" si="5"/>
        <v>00000000000000000000658579</v>
      </c>
      <c r="G100" s="139" t="b">
        <f t="shared" si="6"/>
        <v>1</v>
      </c>
      <c r="H100" s="140">
        <f t="shared" si="7"/>
        <v>90</v>
      </c>
      <c r="I100" s="130" t="s">
        <v>1750</v>
      </c>
      <c r="J100" s="141" t="s">
        <v>1690</v>
      </c>
      <c r="K100" s="17" t="s">
        <v>1690</v>
      </c>
      <c r="L100" s="17" t="s">
        <v>1690</v>
      </c>
      <c r="M100" s="17">
        <v>9999</v>
      </c>
      <c r="N100" s="142">
        <v>0</v>
      </c>
      <c r="O100" s="130" t="s">
        <v>1750</v>
      </c>
      <c r="P100" s="141" t="s">
        <v>1690</v>
      </c>
      <c r="Q100" s="17" t="s">
        <v>1690</v>
      </c>
      <c r="R100" s="17" t="s">
        <v>1690</v>
      </c>
      <c r="S100" s="17">
        <v>9999</v>
      </c>
      <c r="T100" s="142">
        <v>0</v>
      </c>
      <c r="U100" s="130" t="s">
        <v>1750</v>
      </c>
      <c r="V100" s="141" t="s">
        <v>1690</v>
      </c>
      <c r="W100" s="17" t="s">
        <v>1690</v>
      </c>
      <c r="X100" s="17" t="s">
        <v>1690</v>
      </c>
      <c r="Y100" s="17">
        <v>9999</v>
      </c>
      <c r="Z100" s="142">
        <v>0</v>
      </c>
      <c r="AA100" s="130" t="s">
        <v>1750</v>
      </c>
      <c r="AB100" s="141" t="s">
        <v>1690</v>
      </c>
      <c r="AC100" s="17" t="s">
        <v>1690</v>
      </c>
      <c r="AD100" s="17" t="s">
        <v>1690</v>
      </c>
      <c r="AE100" s="17">
        <v>9999</v>
      </c>
      <c r="AF100" s="142">
        <v>0</v>
      </c>
      <c r="AG100" s="130"/>
      <c r="AH100" s="143">
        <f>IF(TYPE(VLOOKUP(H100,Nasazení!$A$3:$E$130,5,0))&lt;4,VLOOKUP(H100,Nasazení!$A$3:$E$130,5,0),0)</f>
        <v>0</v>
      </c>
      <c r="AI100" s="144" t="str">
        <f>IF(N($AH100)&gt;0,VLOOKUP($AH100,Body!$A$4:$F$259,5,0),"")</f>
        <v/>
      </c>
      <c r="AJ100" s="145" t="str">
        <f>IF(N($AH100)&gt;0,VLOOKUP($AH100,Body!$A$4:$F$259,6,0),"")</f>
        <v/>
      </c>
      <c r="AK100" s="144" t="str">
        <f>IF(N($AH100)&gt;0,VLOOKUP($AH100,Body!$A$4:$F$259,2,0),"")</f>
        <v/>
      </c>
      <c r="AL100" s="146" t="str">
        <f t="shared" si="8"/>
        <v/>
      </c>
      <c r="AM100" s="142">
        <f t="shared" si="9"/>
        <v>0</v>
      </c>
      <c r="AN100" s="17">
        <f t="shared" si="10"/>
        <v>0</v>
      </c>
      <c r="AO100" s="17">
        <f t="shared" si="11"/>
        <v>0</v>
      </c>
      <c r="AP100" s="17">
        <f t="shared" si="12"/>
        <v>0</v>
      </c>
      <c r="AQ100" s="17">
        <f t="shared" si="13"/>
        <v>0</v>
      </c>
      <c r="AR100" s="17">
        <f t="shared" si="14"/>
        <v>0</v>
      </c>
    </row>
    <row r="101" spans="1:44" ht="12.75" customHeight="1">
      <c r="A101" s="69">
        <f t="shared" si="0"/>
        <v>0</v>
      </c>
      <c r="B101" s="69">
        <f t="shared" si="1"/>
        <v>0</v>
      </c>
      <c r="C101" s="147">
        <f t="shared" si="2"/>
        <v>0</v>
      </c>
      <c r="D101" s="69">
        <f t="shared" si="3"/>
        <v>99999</v>
      </c>
      <c r="E101" s="69">
        <f t="shared" si="4"/>
        <v>9999</v>
      </c>
      <c r="F101" s="98" t="str">
        <f t="shared" ca="1" si="5"/>
        <v>00000000000000000000836161</v>
      </c>
      <c r="G101" s="139" t="b">
        <f t="shared" si="6"/>
        <v>1</v>
      </c>
      <c r="H101" s="140">
        <f t="shared" si="7"/>
        <v>91</v>
      </c>
      <c r="I101" s="130" t="s">
        <v>1750</v>
      </c>
      <c r="J101" s="141" t="s">
        <v>1690</v>
      </c>
      <c r="K101" s="17" t="s">
        <v>1690</v>
      </c>
      <c r="L101" s="17" t="s">
        <v>1690</v>
      </c>
      <c r="M101" s="17">
        <v>9999</v>
      </c>
      <c r="N101" s="142">
        <v>0</v>
      </c>
      <c r="O101" s="130" t="s">
        <v>1750</v>
      </c>
      <c r="P101" s="141" t="s">
        <v>1690</v>
      </c>
      <c r="Q101" s="17" t="s">
        <v>1690</v>
      </c>
      <c r="R101" s="17" t="s">
        <v>1690</v>
      </c>
      <c r="S101" s="17">
        <v>9999</v>
      </c>
      <c r="T101" s="142">
        <v>0</v>
      </c>
      <c r="U101" s="130" t="s">
        <v>1750</v>
      </c>
      <c r="V101" s="141" t="s">
        <v>1690</v>
      </c>
      <c r="W101" s="17" t="s">
        <v>1690</v>
      </c>
      <c r="X101" s="17" t="s">
        <v>1690</v>
      </c>
      <c r="Y101" s="17">
        <v>9999</v>
      </c>
      <c r="Z101" s="142">
        <v>0</v>
      </c>
      <c r="AA101" s="130" t="s">
        <v>1750</v>
      </c>
      <c r="AB101" s="141" t="s">
        <v>1690</v>
      </c>
      <c r="AC101" s="17" t="s">
        <v>1690</v>
      </c>
      <c r="AD101" s="17" t="s">
        <v>1690</v>
      </c>
      <c r="AE101" s="17">
        <v>9999</v>
      </c>
      <c r="AF101" s="142">
        <v>0</v>
      </c>
      <c r="AG101" s="130"/>
      <c r="AH101" s="143">
        <f>IF(TYPE(VLOOKUP(H101,Nasazení!$A$3:$E$130,5,0))&lt;4,VLOOKUP(H101,Nasazení!$A$3:$E$130,5,0),0)</f>
        <v>0</v>
      </c>
      <c r="AI101" s="144" t="str">
        <f>IF(N($AH101)&gt;0,VLOOKUP($AH101,Body!$A$4:$F$259,5,0),"")</f>
        <v/>
      </c>
      <c r="AJ101" s="145" t="str">
        <f>IF(N($AH101)&gt;0,VLOOKUP($AH101,Body!$A$4:$F$259,6,0),"")</f>
        <v/>
      </c>
      <c r="AK101" s="144" t="str">
        <f>IF(N($AH101)&gt;0,VLOOKUP($AH101,Body!$A$4:$F$259,2,0),"")</f>
        <v/>
      </c>
      <c r="AL101" s="146" t="str">
        <f t="shared" si="8"/>
        <v/>
      </c>
      <c r="AM101" s="142">
        <f t="shared" si="9"/>
        <v>0</v>
      </c>
      <c r="AN101" s="17">
        <f t="shared" si="10"/>
        <v>0</v>
      </c>
      <c r="AO101" s="17">
        <f t="shared" si="11"/>
        <v>0</v>
      </c>
      <c r="AP101" s="17">
        <f t="shared" si="12"/>
        <v>0</v>
      </c>
      <c r="AQ101" s="17">
        <f t="shared" si="13"/>
        <v>0</v>
      </c>
      <c r="AR101" s="17">
        <f t="shared" si="14"/>
        <v>0</v>
      </c>
    </row>
    <row r="102" spans="1:44" ht="12.75" customHeight="1">
      <c r="A102" s="69">
        <f t="shared" si="0"/>
        <v>0</v>
      </c>
      <c r="B102" s="69">
        <f t="shared" si="1"/>
        <v>0</v>
      </c>
      <c r="C102" s="147">
        <f t="shared" si="2"/>
        <v>0</v>
      </c>
      <c r="D102" s="69">
        <f t="shared" si="3"/>
        <v>99999</v>
      </c>
      <c r="E102" s="69">
        <f t="shared" si="4"/>
        <v>9999</v>
      </c>
      <c r="F102" s="98" t="str">
        <f t="shared" ca="1" si="5"/>
        <v>00000000000000000000106688</v>
      </c>
      <c r="G102" s="139" t="b">
        <f t="shared" si="6"/>
        <v>1</v>
      </c>
      <c r="H102" s="140">
        <f t="shared" si="7"/>
        <v>92</v>
      </c>
      <c r="I102" s="130" t="s">
        <v>1750</v>
      </c>
      <c r="J102" s="141" t="s">
        <v>1690</v>
      </c>
      <c r="K102" s="17" t="s">
        <v>1690</v>
      </c>
      <c r="L102" s="17" t="s">
        <v>1690</v>
      </c>
      <c r="M102" s="17">
        <v>9999</v>
      </c>
      <c r="N102" s="142">
        <v>0</v>
      </c>
      <c r="O102" s="130" t="s">
        <v>1750</v>
      </c>
      <c r="P102" s="141" t="s">
        <v>1690</v>
      </c>
      <c r="Q102" s="17" t="s">
        <v>1690</v>
      </c>
      <c r="R102" s="17" t="s">
        <v>1690</v>
      </c>
      <c r="S102" s="17">
        <v>9999</v>
      </c>
      <c r="T102" s="142">
        <v>0</v>
      </c>
      <c r="U102" s="130" t="s">
        <v>1750</v>
      </c>
      <c r="V102" s="141" t="s">
        <v>1690</v>
      </c>
      <c r="W102" s="17" t="s">
        <v>1690</v>
      </c>
      <c r="X102" s="17" t="s">
        <v>1690</v>
      </c>
      <c r="Y102" s="17">
        <v>9999</v>
      </c>
      <c r="Z102" s="142">
        <v>0</v>
      </c>
      <c r="AA102" s="130" t="s">
        <v>1750</v>
      </c>
      <c r="AB102" s="141" t="s">
        <v>1690</v>
      </c>
      <c r="AC102" s="17" t="s">
        <v>1690</v>
      </c>
      <c r="AD102" s="17" t="s">
        <v>1690</v>
      </c>
      <c r="AE102" s="17">
        <v>9999</v>
      </c>
      <c r="AF102" s="142">
        <v>0</v>
      </c>
      <c r="AG102" s="130"/>
      <c r="AH102" s="143">
        <f>IF(TYPE(VLOOKUP(H102,Nasazení!$A$3:$E$130,5,0))&lt;4,VLOOKUP(H102,Nasazení!$A$3:$E$130,5,0),0)</f>
        <v>0</v>
      </c>
      <c r="AI102" s="144" t="str">
        <f>IF(N($AH102)&gt;0,VLOOKUP($AH102,Body!$A$4:$F$259,5,0),"")</f>
        <v/>
      </c>
      <c r="AJ102" s="145" t="str">
        <f>IF(N($AH102)&gt;0,VLOOKUP($AH102,Body!$A$4:$F$259,6,0),"")</f>
        <v/>
      </c>
      <c r="AK102" s="144" t="str">
        <f>IF(N($AH102)&gt;0,VLOOKUP($AH102,Body!$A$4:$F$259,2,0),"")</f>
        <v/>
      </c>
      <c r="AL102" s="146" t="str">
        <f t="shared" si="8"/>
        <v/>
      </c>
      <c r="AM102" s="142">
        <f t="shared" si="9"/>
        <v>0</v>
      </c>
      <c r="AN102" s="17">
        <f t="shared" si="10"/>
        <v>0</v>
      </c>
      <c r="AO102" s="17">
        <f t="shared" si="11"/>
        <v>0</v>
      </c>
      <c r="AP102" s="17">
        <f t="shared" si="12"/>
        <v>0</v>
      </c>
      <c r="AQ102" s="17">
        <f t="shared" si="13"/>
        <v>0</v>
      </c>
      <c r="AR102" s="17">
        <f t="shared" si="14"/>
        <v>0</v>
      </c>
    </row>
    <row r="103" spans="1:44" ht="12.75" customHeight="1">
      <c r="A103" s="69">
        <f t="shared" si="0"/>
        <v>0</v>
      </c>
      <c r="B103" s="69">
        <f t="shared" si="1"/>
        <v>0</v>
      </c>
      <c r="C103" s="147">
        <f t="shared" si="2"/>
        <v>0</v>
      </c>
      <c r="D103" s="69">
        <f t="shared" si="3"/>
        <v>99999</v>
      </c>
      <c r="E103" s="69">
        <f t="shared" si="4"/>
        <v>9999</v>
      </c>
      <c r="F103" s="98" t="str">
        <f t="shared" ca="1" si="5"/>
        <v>00000000000000000000548285</v>
      </c>
      <c r="G103" s="139" t="b">
        <f t="shared" si="6"/>
        <v>1</v>
      </c>
      <c r="H103" s="140">
        <f t="shared" si="7"/>
        <v>93</v>
      </c>
      <c r="I103" s="130" t="s">
        <v>1750</v>
      </c>
      <c r="J103" s="141" t="s">
        <v>1690</v>
      </c>
      <c r="K103" s="17" t="s">
        <v>1690</v>
      </c>
      <c r="L103" s="17" t="s">
        <v>1690</v>
      </c>
      <c r="M103" s="17">
        <v>9999</v>
      </c>
      <c r="N103" s="142">
        <v>0</v>
      </c>
      <c r="O103" s="130" t="s">
        <v>1750</v>
      </c>
      <c r="P103" s="141" t="s">
        <v>1690</v>
      </c>
      <c r="Q103" s="17" t="s">
        <v>1690</v>
      </c>
      <c r="R103" s="17" t="s">
        <v>1690</v>
      </c>
      <c r="S103" s="17">
        <v>9999</v>
      </c>
      <c r="T103" s="142">
        <v>0</v>
      </c>
      <c r="U103" s="130" t="s">
        <v>1750</v>
      </c>
      <c r="V103" s="141" t="s">
        <v>1690</v>
      </c>
      <c r="W103" s="17" t="s">
        <v>1690</v>
      </c>
      <c r="X103" s="17" t="s">
        <v>1690</v>
      </c>
      <c r="Y103" s="17">
        <v>9999</v>
      </c>
      <c r="Z103" s="142">
        <v>0</v>
      </c>
      <c r="AA103" s="130" t="s">
        <v>1750</v>
      </c>
      <c r="AB103" s="141" t="s">
        <v>1690</v>
      </c>
      <c r="AC103" s="17" t="s">
        <v>1690</v>
      </c>
      <c r="AD103" s="17" t="s">
        <v>1690</v>
      </c>
      <c r="AE103" s="17">
        <v>9999</v>
      </c>
      <c r="AF103" s="142">
        <v>0</v>
      </c>
      <c r="AG103" s="130"/>
      <c r="AH103" s="143">
        <f>IF(TYPE(VLOOKUP(H103,Nasazení!$A$3:$E$130,5,0))&lt;4,VLOOKUP(H103,Nasazení!$A$3:$E$130,5,0),0)</f>
        <v>0</v>
      </c>
      <c r="AI103" s="144" t="str">
        <f>IF(N($AH103)&gt;0,VLOOKUP($AH103,Body!$A$4:$F$259,5,0),"")</f>
        <v/>
      </c>
      <c r="AJ103" s="145" t="str">
        <f>IF(N($AH103)&gt;0,VLOOKUP($AH103,Body!$A$4:$F$259,6,0),"")</f>
        <v/>
      </c>
      <c r="AK103" s="144" t="str">
        <f>IF(N($AH103)&gt;0,VLOOKUP($AH103,Body!$A$4:$F$259,2,0),"")</f>
        <v/>
      </c>
      <c r="AL103" s="146" t="str">
        <f t="shared" si="8"/>
        <v/>
      </c>
      <c r="AM103" s="142">
        <f t="shared" si="9"/>
        <v>0</v>
      </c>
      <c r="AN103" s="17">
        <f t="shared" si="10"/>
        <v>0</v>
      </c>
      <c r="AO103" s="17">
        <f t="shared" si="11"/>
        <v>0</v>
      </c>
      <c r="AP103" s="17">
        <f t="shared" si="12"/>
        <v>0</v>
      </c>
      <c r="AQ103" s="17">
        <f t="shared" si="13"/>
        <v>0</v>
      </c>
      <c r="AR103" s="17">
        <f t="shared" si="14"/>
        <v>0</v>
      </c>
    </row>
    <row r="104" spans="1:44" ht="12.75" customHeight="1">
      <c r="A104" s="69">
        <f t="shared" si="0"/>
        <v>0</v>
      </c>
      <c r="B104" s="69">
        <f t="shared" si="1"/>
        <v>0</v>
      </c>
      <c r="C104" s="147">
        <f t="shared" si="2"/>
        <v>0</v>
      </c>
      <c r="D104" s="69">
        <f t="shared" si="3"/>
        <v>99999</v>
      </c>
      <c r="E104" s="69">
        <f t="shared" si="4"/>
        <v>9999</v>
      </c>
      <c r="F104" s="98" t="str">
        <f t="shared" ca="1" si="5"/>
        <v>00000000000000000000913785</v>
      </c>
      <c r="G104" s="139" t="b">
        <f t="shared" si="6"/>
        <v>1</v>
      </c>
      <c r="H104" s="140">
        <f t="shared" si="7"/>
        <v>94</v>
      </c>
      <c r="I104" s="130" t="s">
        <v>1750</v>
      </c>
      <c r="J104" s="141" t="s">
        <v>1690</v>
      </c>
      <c r="K104" s="17" t="s">
        <v>1690</v>
      </c>
      <c r="L104" s="17" t="s">
        <v>1690</v>
      </c>
      <c r="M104" s="17">
        <v>9999</v>
      </c>
      <c r="N104" s="142">
        <v>0</v>
      </c>
      <c r="O104" s="130" t="s">
        <v>1750</v>
      </c>
      <c r="P104" s="141" t="s">
        <v>1690</v>
      </c>
      <c r="Q104" s="17" t="s">
        <v>1690</v>
      </c>
      <c r="R104" s="17" t="s">
        <v>1690</v>
      </c>
      <c r="S104" s="17">
        <v>9999</v>
      </c>
      <c r="T104" s="142">
        <v>0</v>
      </c>
      <c r="U104" s="130" t="s">
        <v>1750</v>
      </c>
      <c r="V104" s="141" t="s">
        <v>1690</v>
      </c>
      <c r="W104" s="17" t="s">
        <v>1690</v>
      </c>
      <c r="X104" s="17" t="s">
        <v>1690</v>
      </c>
      <c r="Y104" s="17">
        <v>9999</v>
      </c>
      <c r="Z104" s="142">
        <v>0</v>
      </c>
      <c r="AA104" s="130" t="s">
        <v>1750</v>
      </c>
      <c r="AB104" s="141" t="s">
        <v>1690</v>
      </c>
      <c r="AC104" s="17" t="s">
        <v>1690</v>
      </c>
      <c r="AD104" s="17" t="s">
        <v>1690</v>
      </c>
      <c r="AE104" s="17">
        <v>9999</v>
      </c>
      <c r="AF104" s="142">
        <v>0</v>
      </c>
      <c r="AG104" s="130"/>
      <c r="AH104" s="143">
        <f>IF(TYPE(VLOOKUP(H104,Nasazení!$A$3:$E$130,5,0))&lt;4,VLOOKUP(H104,Nasazení!$A$3:$E$130,5,0),0)</f>
        <v>0</v>
      </c>
      <c r="AI104" s="144" t="str">
        <f>IF(N($AH104)&gt;0,VLOOKUP($AH104,Body!$A$4:$F$259,5,0),"")</f>
        <v/>
      </c>
      <c r="AJ104" s="145" t="str">
        <f>IF(N($AH104)&gt;0,VLOOKUP($AH104,Body!$A$4:$F$259,6,0),"")</f>
        <v/>
      </c>
      <c r="AK104" s="144" t="str">
        <f>IF(N($AH104)&gt;0,VLOOKUP($AH104,Body!$A$4:$F$259,2,0),"")</f>
        <v/>
      </c>
      <c r="AL104" s="146" t="str">
        <f t="shared" si="8"/>
        <v/>
      </c>
      <c r="AM104" s="142">
        <f t="shared" si="9"/>
        <v>0</v>
      </c>
      <c r="AN104" s="17">
        <f t="shared" si="10"/>
        <v>0</v>
      </c>
      <c r="AO104" s="17">
        <f t="shared" si="11"/>
        <v>0</v>
      </c>
      <c r="AP104" s="17">
        <f t="shared" si="12"/>
        <v>0</v>
      </c>
      <c r="AQ104" s="17">
        <f t="shared" si="13"/>
        <v>0</v>
      </c>
      <c r="AR104" s="17">
        <f t="shared" si="14"/>
        <v>0</v>
      </c>
    </row>
    <row r="105" spans="1:44" ht="12.75" customHeight="1">
      <c r="A105" s="69">
        <f t="shared" si="0"/>
        <v>0</v>
      </c>
      <c r="B105" s="69">
        <f t="shared" si="1"/>
        <v>0</v>
      </c>
      <c r="C105" s="147">
        <f t="shared" si="2"/>
        <v>0</v>
      </c>
      <c r="D105" s="69">
        <f t="shared" si="3"/>
        <v>99999</v>
      </c>
      <c r="E105" s="69">
        <f t="shared" si="4"/>
        <v>9999</v>
      </c>
      <c r="F105" s="98" t="str">
        <f t="shared" ca="1" si="5"/>
        <v>00000000000000000000247968</v>
      </c>
      <c r="G105" s="139" t="b">
        <f t="shared" si="6"/>
        <v>1</v>
      </c>
      <c r="H105" s="140">
        <f t="shared" si="7"/>
        <v>95</v>
      </c>
      <c r="I105" s="130" t="s">
        <v>1750</v>
      </c>
      <c r="J105" s="141" t="s">
        <v>1690</v>
      </c>
      <c r="K105" s="17" t="s">
        <v>1690</v>
      </c>
      <c r="L105" s="17" t="s">
        <v>1690</v>
      </c>
      <c r="M105" s="17">
        <v>9999</v>
      </c>
      <c r="N105" s="142">
        <v>0</v>
      </c>
      <c r="O105" s="130" t="s">
        <v>1750</v>
      </c>
      <c r="P105" s="141" t="s">
        <v>1690</v>
      </c>
      <c r="Q105" s="17" t="s">
        <v>1690</v>
      </c>
      <c r="R105" s="17" t="s">
        <v>1690</v>
      </c>
      <c r="S105" s="17">
        <v>9999</v>
      </c>
      <c r="T105" s="142">
        <v>0</v>
      </c>
      <c r="U105" s="130" t="s">
        <v>1750</v>
      </c>
      <c r="V105" s="141" t="s">
        <v>1690</v>
      </c>
      <c r="W105" s="17" t="s">
        <v>1690</v>
      </c>
      <c r="X105" s="17" t="s">
        <v>1690</v>
      </c>
      <c r="Y105" s="17">
        <v>9999</v>
      </c>
      <c r="Z105" s="142">
        <v>0</v>
      </c>
      <c r="AA105" s="130" t="s">
        <v>1750</v>
      </c>
      <c r="AB105" s="141" t="s">
        <v>1690</v>
      </c>
      <c r="AC105" s="17" t="s">
        <v>1690</v>
      </c>
      <c r="AD105" s="17" t="s">
        <v>1690</v>
      </c>
      <c r="AE105" s="17">
        <v>9999</v>
      </c>
      <c r="AF105" s="142">
        <v>0</v>
      </c>
      <c r="AG105" s="130"/>
      <c r="AH105" s="143">
        <f>IF(TYPE(VLOOKUP(H105,Nasazení!$A$3:$E$130,5,0))&lt;4,VLOOKUP(H105,Nasazení!$A$3:$E$130,5,0),0)</f>
        <v>0</v>
      </c>
      <c r="AI105" s="144" t="str">
        <f>IF(N($AH105)&gt;0,VLOOKUP($AH105,Body!$A$4:$F$259,5,0),"")</f>
        <v/>
      </c>
      <c r="AJ105" s="145" t="str">
        <f>IF(N($AH105)&gt;0,VLOOKUP($AH105,Body!$A$4:$F$259,6,0),"")</f>
        <v/>
      </c>
      <c r="AK105" s="144" t="str">
        <f>IF(N($AH105)&gt;0,VLOOKUP($AH105,Body!$A$4:$F$259,2,0),"")</f>
        <v/>
      </c>
      <c r="AL105" s="146" t="str">
        <f t="shared" si="8"/>
        <v/>
      </c>
      <c r="AM105" s="142">
        <f t="shared" si="9"/>
        <v>0</v>
      </c>
      <c r="AN105" s="17">
        <f t="shared" si="10"/>
        <v>0</v>
      </c>
      <c r="AO105" s="17">
        <f t="shared" si="11"/>
        <v>0</v>
      </c>
      <c r="AP105" s="17">
        <f t="shared" si="12"/>
        <v>0</v>
      </c>
      <c r="AQ105" s="17">
        <f t="shared" si="13"/>
        <v>0</v>
      </c>
      <c r="AR105" s="17">
        <f t="shared" si="14"/>
        <v>0</v>
      </c>
    </row>
    <row r="106" spans="1:44" ht="12.75" customHeight="1">
      <c r="A106" s="69">
        <f t="shared" si="0"/>
        <v>0</v>
      </c>
      <c r="B106" s="69">
        <f t="shared" si="1"/>
        <v>0</v>
      </c>
      <c r="C106" s="147">
        <f t="shared" si="2"/>
        <v>0</v>
      </c>
      <c r="D106" s="69">
        <f t="shared" si="3"/>
        <v>99999</v>
      </c>
      <c r="E106" s="69">
        <f t="shared" si="4"/>
        <v>9999</v>
      </c>
      <c r="F106" s="98" t="str">
        <f t="shared" ca="1" si="5"/>
        <v>00000000000000000000178195</v>
      </c>
      <c r="G106" s="139" t="b">
        <f t="shared" si="6"/>
        <v>1</v>
      </c>
      <c r="H106" s="140">
        <f t="shared" si="7"/>
        <v>96</v>
      </c>
      <c r="I106" s="130" t="s">
        <v>1750</v>
      </c>
      <c r="J106" s="141" t="s">
        <v>1690</v>
      </c>
      <c r="K106" s="17" t="s">
        <v>1690</v>
      </c>
      <c r="L106" s="17" t="s">
        <v>1690</v>
      </c>
      <c r="M106" s="17">
        <v>9999</v>
      </c>
      <c r="N106" s="142">
        <v>0</v>
      </c>
      <c r="O106" s="130" t="s">
        <v>1750</v>
      </c>
      <c r="P106" s="141" t="s">
        <v>1690</v>
      </c>
      <c r="Q106" s="17" t="s">
        <v>1690</v>
      </c>
      <c r="R106" s="17" t="s">
        <v>1690</v>
      </c>
      <c r="S106" s="17">
        <v>9999</v>
      </c>
      <c r="T106" s="142">
        <v>0</v>
      </c>
      <c r="U106" s="130" t="s">
        <v>1750</v>
      </c>
      <c r="V106" s="141" t="s">
        <v>1690</v>
      </c>
      <c r="W106" s="17" t="s">
        <v>1690</v>
      </c>
      <c r="X106" s="17" t="s">
        <v>1690</v>
      </c>
      <c r="Y106" s="17">
        <v>9999</v>
      </c>
      <c r="Z106" s="142">
        <v>0</v>
      </c>
      <c r="AA106" s="130" t="s">
        <v>1750</v>
      </c>
      <c r="AB106" s="141" t="s">
        <v>1690</v>
      </c>
      <c r="AC106" s="17" t="s">
        <v>1690</v>
      </c>
      <c r="AD106" s="17" t="s">
        <v>1690</v>
      </c>
      <c r="AE106" s="17">
        <v>9999</v>
      </c>
      <c r="AF106" s="142">
        <v>0</v>
      </c>
      <c r="AG106" s="130"/>
      <c r="AH106" s="143">
        <f>IF(TYPE(VLOOKUP(H106,Nasazení!$A$3:$E$130,5,0))&lt;4,VLOOKUP(H106,Nasazení!$A$3:$E$130,5,0),0)</f>
        <v>0</v>
      </c>
      <c r="AI106" s="144" t="str">
        <f>IF(N($AH106)&gt;0,VLOOKUP($AH106,Body!$A$4:$F$259,5,0),"")</f>
        <v/>
      </c>
      <c r="AJ106" s="145" t="str">
        <f>IF(N($AH106)&gt;0,VLOOKUP($AH106,Body!$A$4:$F$259,6,0),"")</f>
        <v/>
      </c>
      <c r="AK106" s="144" t="str">
        <f>IF(N($AH106)&gt;0,VLOOKUP($AH106,Body!$A$4:$F$259,2,0),"")</f>
        <v/>
      </c>
      <c r="AL106" s="146" t="str">
        <f t="shared" si="8"/>
        <v/>
      </c>
      <c r="AM106" s="142">
        <f t="shared" si="9"/>
        <v>0</v>
      </c>
      <c r="AN106" s="17">
        <f t="shared" si="10"/>
        <v>0</v>
      </c>
      <c r="AO106" s="17">
        <f t="shared" si="11"/>
        <v>0</v>
      </c>
      <c r="AP106" s="17">
        <f t="shared" si="12"/>
        <v>0</v>
      </c>
      <c r="AQ106" s="17">
        <f t="shared" si="13"/>
        <v>0</v>
      </c>
      <c r="AR106" s="17">
        <f t="shared" si="14"/>
        <v>0</v>
      </c>
    </row>
    <row r="107" spans="1:44" ht="12.75" customHeight="1">
      <c r="A107" s="69">
        <f t="shared" si="0"/>
        <v>0</v>
      </c>
      <c r="B107" s="69">
        <f t="shared" si="1"/>
        <v>0</v>
      </c>
      <c r="C107" s="147">
        <f t="shared" si="2"/>
        <v>0</v>
      </c>
      <c r="D107" s="69">
        <f t="shared" si="3"/>
        <v>99999</v>
      </c>
      <c r="E107" s="69">
        <f t="shared" si="4"/>
        <v>9999</v>
      </c>
      <c r="F107" s="98" t="str">
        <f t="shared" ca="1" si="5"/>
        <v>00000000000000000000453870</v>
      </c>
      <c r="G107" s="139" t="b">
        <f t="shared" si="6"/>
        <v>1</v>
      </c>
      <c r="H107" s="140">
        <f t="shared" si="7"/>
        <v>97</v>
      </c>
      <c r="I107" s="130" t="s">
        <v>1750</v>
      </c>
      <c r="J107" s="141" t="s">
        <v>1690</v>
      </c>
      <c r="K107" s="17" t="s">
        <v>1690</v>
      </c>
      <c r="L107" s="17" t="s">
        <v>1690</v>
      </c>
      <c r="M107" s="17">
        <v>9999</v>
      </c>
      <c r="N107" s="142">
        <v>0</v>
      </c>
      <c r="O107" s="130" t="s">
        <v>1750</v>
      </c>
      <c r="P107" s="141" t="s">
        <v>1690</v>
      </c>
      <c r="Q107" s="17" t="s">
        <v>1690</v>
      </c>
      <c r="R107" s="17" t="s">
        <v>1690</v>
      </c>
      <c r="S107" s="17">
        <v>9999</v>
      </c>
      <c r="T107" s="142">
        <v>0</v>
      </c>
      <c r="U107" s="130" t="s">
        <v>1750</v>
      </c>
      <c r="V107" s="141" t="s">
        <v>1690</v>
      </c>
      <c r="W107" s="17" t="s">
        <v>1690</v>
      </c>
      <c r="X107" s="17" t="s">
        <v>1690</v>
      </c>
      <c r="Y107" s="17">
        <v>9999</v>
      </c>
      <c r="Z107" s="142">
        <v>0</v>
      </c>
      <c r="AA107" s="130" t="s">
        <v>1750</v>
      </c>
      <c r="AB107" s="141" t="s">
        <v>1690</v>
      </c>
      <c r="AC107" s="17" t="s">
        <v>1690</v>
      </c>
      <c r="AD107" s="17" t="s">
        <v>1690</v>
      </c>
      <c r="AE107" s="17">
        <v>9999</v>
      </c>
      <c r="AF107" s="142">
        <v>0</v>
      </c>
      <c r="AG107" s="130"/>
      <c r="AH107" s="143">
        <f>IF(TYPE(VLOOKUP(H107,Nasazení!$A$3:$E$130,5,0))&lt;4,VLOOKUP(H107,Nasazení!$A$3:$E$130,5,0),0)</f>
        <v>0</v>
      </c>
      <c r="AI107" s="144" t="str">
        <f>IF(N($AH107)&gt;0,VLOOKUP($AH107,Body!$A$4:$F$259,5,0),"")</f>
        <v/>
      </c>
      <c r="AJ107" s="145" t="str">
        <f>IF(N($AH107)&gt;0,VLOOKUP($AH107,Body!$A$4:$F$259,6,0),"")</f>
        <v/>
      </c>
      <c r="AK107" s="144" t="str">
        <f>IF(N($AH107)&gt;0,VLOOKUP($AH107,Body!$A$4:$F$259,2,0),"")</f>
        <v/>
      </c>
      <c r="AL107" s="146" t="str">
        <f t="shared" si="8"/>
        <v/>
      </c>
      <c r="AM107" s="142">
        <f t="shared" si="9"/>
        <v>0</v>
      </c>
      <c r="AN107" s="17">
        <f t="shared" si="10"/>
        <v>0</v>
      </c>
      <c r="AO107" s="17">
        <f t="shared" si="11"/>
        <v>0</v>
      </c>
      <c r="AP107" s="17">
        <f t="shared" si="12"/>
        <v>0</v>
      </c>
      <c r="AQ107" s="17">
        <f t="shared" si="13"/>
        <v>0</v>
      </c>
      <c r="AR107" s="17">
        <f t="shared" si="14"/>
        <v>0</v>
      </c>
    </row>
    <row r="108" spans="1:44" ht="12.75" customHeight="1">
      <c r="A108" s="69">
        <f t="shared" si="0"/>
        <v>0</v>
      </c>
      <c r="B108" s="69">
        <f t="shared" si="1"/>
        <v>0</v>
      </c>
      <c r="C108" s="147">
        <f t="shared" si="2"/>
        <v>0</v>
      </c>
      <c r="D108" s="69">
        <f t="shared" si="3"/>
        <v>99999</v>
      </c>
      <c r="E108" s="69">
        <f t="shared" si="4"/>
        <v>9999</v>
      </c>
      <c r="F108" s="98" t="str">
        <f t="shared" ca="1" si="5"/>
        <v>00000000000000000000274685</v>
      </c>
      <c r="G108" s="139" t="b">
        <f t="shared" si="6"/>
        <v>1</v>
      </c>
      <c r="H108" s="140">
        <f t="shared" si="7"/>
        <v>98</v>
      </c>
      <c r="I108" s="130" t="s">
        <v>1750</v>
      </c>
      <c r="J108" s="141" t="s">
        <v>1690</v>
      </c>
      <c r="K108" s="17" t="s">
        <v>1690</v>
      </c>
      <c r="L108" s="17" t="s">
        <v>1690</v>
      </c>
      <c r="M108" s="17">
        <v>9999</v>
      </c>
      <c r="N108" s="142">
        <v>0</v>
      </c>
      <c r="O108" s="130" t="s">
        <v>1750</v>
      </c>
      <c r="P108" s="141" t="s">
        <v>1690</v>
      </c>
      <c r="Q108" s="17" t="s">
        <v>1690</v>
      </c>
      <c r="R108" s="17" t="s">
        <v>1690</v>
      </c>
      <c r="S108" s="17">
        <v>9999</v>
      </c>
      <c r="T108" s="142">
        <v>0</v>
      </c>
      <c r="U108" s="130" t="s">
        <v>1750</v>
      </c>
      <c r="V108" s="141" t="s">
        <v>1690</v>
      </c>
      <c r="W108" s="17" t="s">
        <v>1690</v>
      </c>
      <c r="X108" s="17" t="s">
        <v>1690</v>
      </c>
      <c r="Y108" s="17">
        <v>9999</v>
      </c>
      <c r="Z108" s="142">
        <v>0</v>
      </c>
      <c r="AA108" s="130" t="s">
        <v>1750</v>
      </c>
      <c r="AB108" s="141" t="s">
        <v>1690</v>
      </c>
      <c r="AC108" s="17" t="s">
        <v>1690</v>
      </c>
      <c r="AD108" s="17" t="s">
        <v>1690</v>
      </c>
      <c r="AE108" s="17">
        <v>9999</v>
      </c>
      <c r="AF108" s="142">
        <v>0</v>
      </c>
      <c r="AG108" s="130"/>
      <c r="AH108" s="143">
        <f>IF(TYPE(VLOOKUP(H108,Nasazení!$A$3:$E$130,5,0))&lt;4,VLOOKUP(H108,Nasazení!$A$3:$E$130,5,0),0)</f>
        <v>0</v>
      </c>
      <c r="AI108" s="144" t="str">
        <f>IF(N($AH108)&gt;0,VLOOKUP($AH108,Body!$A$4:$F$259,5,0),"")</f>
        <v/>
      </c>
      <c r="AJ108" s="145" t="str">
        <f>IF(N($AH108)&gt;0,VLOOKUP($AH108,Body!$A$4:$F$259,6,0),"")</f>
        <v/>
      </c>
      <c r="AK108" s="144" t="str">
        <f>IF(N($AH108)&gt;0,VLOOKUP($AH108,Body!$A$4:$F$259,2,0),"")</f>
        <v/>
      </c>
      <c r="AL108" s="146" t="str">
        <f t="shared" si="8"/>
        <v/>
      </c>
      <c r="AM108" s="142">
        <f t="shared" si="9"/>
        <v>0</v>
      </c>
      <c r="AN108" s="17">
        <f t="shared" si="10"/>
        <v>0</v>
      </c>
      <c r="AO108" s="17">
        <f t="shared" si="11"/>
        <v>0</v>
      </c>
      <c r="AP108" s="17">
        <f t="shared" si="12"/>
        <v>0</v>
      </c>
      <c r="AQ108" s="17">
        <f t="shared" si="13"/>
        <v>0</v>
      </c>
      <c r="AR108" s="17">
        <f t="shared" si="14"/>
        <v>0</v>
      </c>
    </row>
    <row r="109" spans="1:44" ht="12.75" customHeight="1">
      <c r="A109" s="69">
        <f t="shared" si="0"/>
        <v>0</v>
      </c>
      <c r="B109" s="69">
        <f t="shared" si="1"/>
        <v>0</v>
      </c>
      <c r="C109" s="147">
        <f t="shared" si="2"/>
        <v>0</v>
      </c>
      <c r="D109" s="69">
        <f t="shared" si="3"/>
        <v>99999</v>
      </c>
      <c r="E109" s="69">
        <f t="shared" si="4"/>
        <v>9999</v>
      </c>
      <c r="F109" s="98" t="str">
        <f t="shared" ca="1" si="5"/>
        <v>00000000000000000000398360</v>
      </c>
      <c r="G109" s="139" t="b">
        <f t="shared" si="6"/>
        <v>1</v>
      </c>
      <c r="H109" s="140">
        <f t="shared" si="7"/>
        <v>99</v>
      </c>
      <c r="I109" s="130" t="s">
        <v>1750</v>
      </c>
      <c r="J109" s="141" t="s">
        <v>1690</v>
      </c>
      <c r="K109" s="17" t="s">
        <v>1690</v>
      </c>
      <c r="L109" s="17" t="s">
        <v>1690</v>
      </c>
      <c r="M109" s="17">
        <v>9999</v>
      </c>
      <c r="N109" s="142">
        <v>0</v>
      </c>
      <c r="O109" s="130" t="s">
        <v>1750</v>
      </c>
      <c r="P109" s="141" t="s">
        <v>1690</v>
      </c>
      <c r="Q109" s="17" t="s">
        <v>1690</v>
      </c>
      <c r="R109" s="17" t="s">
        <v>1690</v>
      </c>
      <c r="S109" s="17">
        <v>9999</v>
      </c>
      <c r="T109" s="142">
        <v>0</v>
      </c>
      <c r="U109" s="130" t="s">
        <v>1750</v>
      </c>
      <c r="V109" s="141" t="s">
        <v>1690</v>
      </c>
      <c r="W109" s="17" t="s">
        <v>1690</v>
      </c>
      <c r="X109" s="17" t="s">
        <v>1690</v>
      </c>
      <c r="Y109" s="17">
        <v>9999</v>
      </c>
      <c r="Z109" s="142">
        <v>0</v>
      </c>
      <c r="AA109" s="130" t="s">
        <v>1750</v>
      </c>
      <c r="AB109" s="141" t="s">
        <v>1690</v>
      </c>
      <c r="AC109" s="17" t="s">
        <v>1690</v>
      </c>
      <c r="AD109" s="17" t="s">
        <v>1690</v>
      </c>
      <c r="AE109" s="17">
        <v>9999</v>
      </c>
      <c r="AF109" s="142">
        <v>0</v>
      </c>
      <c r="AG109" s="130"/>
      <c r="AH109" s="143">
        <f>IF(TYPE(VLOOKUP(H109,Nasazení!$A$3:$E$130,5,0))&lt;4,VLOOKUP(H109,Nasazení!$A$3:$E$130,5,0),0)</f>
        <v>0</v>
      </c>
      <c r="AI109" s="144" t="str">
        <f>IF(N($AH109)&gt;0,VLOOKUP($AH109,Body!$A$4:$F$259,5,0),"")</f>
        <v/>
      </c>
      <c r="AJ109" s="145" t="str">
        <f>IF(N($AH109)&gt;0,VLOOKUP($AH109,Body!$A$4:$F$259,6,0),"")</f>
        <v/>
      </c>
      <c r="AK109" s="144" t="str">
        <f>IF(N($AH109)&gt;0,VLOOKUP($AH109,Body!$A$4:$F$259,2,0),"")</f>
        <v/>
      </c>
      <c r="AL109" s="146" t="str">
        <f t="shared" si="8"/>
        <v/>
      </c>
      <c r="AM109" s="142">
        <f t="shared" si="9"/>
        <v>0</v>
      </c>
      <c r="AN109" s="17">
        <f t="shared" si="10"/>
        <v>0</v>
      </c>
      <c r="AO109" s="17">
        <f t="shared" si="11"/>
        <v>0</v>
      </c>
      <c r="AP109" s="17">
        <f t="shared" si="12"/>
        <v>0</v>
      </c>
      <c r="AQ109" s="17">
        <f t="shared" si="13"/>
        <v>0</v>
      </c>
      <c r="AR109" s="17">
        <f t="shared" si="14"/>
        <v>0</v>
      </c>
    </row>
    <row r="110" spans="1:44" ht="12.75" customHeight="1">
      <c r="A110" s="69">
        <f t="shared" si="0"/>
        <v>0</v>
      </c>
      <c r="B110" s="69">
        <f t="shared" si="1"/>
        <v>0</v>
      </c>
      <c r="C110" s="147">
        <f t="shared" si="2"/>
        <v>0</v>
      </c>
      <c r="D110" s="69">
        <f t="shared" si="3"/>
        <v>99999</v>
      </c>
      <c r="E110" s="69">
        <f t="shared" si="4"/>
        <v>9999</v>
      </c>
      <c r="F110" s="98" t="str">
        <f t="shared" ca="1" si="5"/>
        <v>00000000000000000000366696</v>
      </c>
      <c r="G110" s="139" t="b">
        <f t="shared" si="6"/>
        <v>1</v>
      </c>
      <c r="H110" s="140">
        <f t="shared" si="7"/>
        <v>100</v>
      </c>
      <c r="I110" s="130" t="s">
        <v>1750</v>
      </c>
      <c r="J110" s="141" t="s">
        <v>1690</v>
      </c>
      <c r="K110" s="17" t="s">
        <v>1690</v>
      </c>
      <c r="L110" s="17" t="s">
        <v>1690</v>
      </c>
      <c r="M110" s="17">
        <v>9999</v>
      </c>
      <c r="N110" s="142">
        <v>0</v>
      </c>
      <c r="O110" s="130" t="s">
        <v>1750</v>
      </c>
      <c r="P110" s="141" t="s">
        <v>1690</v>
      </c>
      <c r="Q110" s="17" t="s">
        <v>1690</v>
      </c>
      <c r="R110" s="17" t="s">
        <v>1690</v>
      </c>
      <c r="S110" s="17">
        <v>9999</v>
      </c>
      <c r="T110" s="142">
        <v>0</v>
      </c>
      <c r="U110" s="130" t="s">
        <v>1750</v>
      </c>
      <c r="V110" s="141" t="s">
        <v>1690</v>
      </c>
      <c r="W110" s="17" t="s">
        <v>1690</v>
      </c>
      <c r="X110" s="17" t="s">
        <v>1690</v>
      </c>
      <c r="Y110" s="17">
        <v>9999</v>
      </c>
      <c r="Z110" s="142">
        <v>0</v>
      </c>
      <c r="AA110" s="130" t="s">
        <v>1750</v>
      </c>
      <c r="AB110" s="141" t="s">
        <v>1690</v>
      </c>
      <c r="AC110" s="17" t="s">
        <v>1690</v>
      </c>
      <c r="AD110" s="17" t="s">
        <v>1690</v>
      </c>
      <c r="AE110" s="17">
        <v>9999</v>
      </c>
      <c r="AF110" s="142">
        <v>0</v>
      </c>
      <c r="AG110" s="130"/>
      <c r="AH110" s="143">
        <f>IF(TYPE(VLOOKUP(H110,Nasazení!$A$3:$E$130,5,0))&lt;4,VLOOKUP(H110,Nasazení!$A$3:$E$130,5,0),0)</f>
        <v>0</v>
      </c>
      <c r="AI110" s="144" t="str">
        <f>IF(N($AH110)&gt;0,VLOOKUP($AH110,Body!$A$4:$F$259,5,0),"")</f>
        <v/>
      </c>
      <c r="AJ110" s="145" t="str">
        <f>IF(N($AH110)&gt;0,VLOOKUP($AH110,Body!$A$4:$F$259,6,0),"")</f>
        <v/>
      </c>
      <c r="AK110" s="144" t="str">
        <f>IF(N($AH110)&gt;0,VLOOKUP($AH110,Body!$A$4:$F$259,2,0),"")</f>
        <v/>
      </c>
      <c r="AL110" s="146" t="str">
        <f t="shared" si="8"/>
        <v/>
      </c>
      <c r="AM110" s="142">
        <f t="shared" si="9"/>
        <v>0</v>
      </c>
      <c r="AN110" s="17">
        <f t="shared" si="10"/>
        <v>0</v>
      </c>
      <c r="AO110" s="17">
        <f t="shared" si="11"/>
        <v>0</v>
      </c>
      <c r="AP110" s="17">
        <f t="shared" si="12"/>
        <v>0</v>
      </c>
      <c r="AQ110" s="17">
        <f t="shared" si="13"/>
        <v>0</v>
      </c>
      <c r="AR110" s="17">
        <f t="shared" si="14"/>
        <v>0</v>
      </c>
    </row>
    <row r="111" spans="1:44" ht="12.75" customHeight="1">
      <c r="A111" s="69">
        <f t="shared" si="0"/>
        <v>0</v>
      </c>
      <c r="B111" s="69">
        <f t="shared" si="1"/>
        <v>0</v>
      </c>
      <c r="C111" s="147">
        <f t="shared" si="2"/>
        <v>0</v>
      </c>
      <c r="D111" s="69">
        <f t="shared" si="3"/>
        <v>99999</v>
      </c>
      <c r="E111" s="69">
        <f t="shared" si="4"/>
        <v>9999</v>
      </c>
      <c r="F111" s="98" t="str">
        <f t="shared" ca="1" si="5"/>
        <v>00000000000000000000786089</v>
      </c>
      <c r="G111" s="139" t="b">
        <f t="shared" si="6"/>
        <v>1</v>
      </c>
      <c r="H111" s="140">
        <f t="shared" si="7"/>
        <v>101</v>
      </c>
      <c r="I111" s="130" t="s">
        <v>1750</v>
      </c>
      <c r="J111" s="141" t="s">
        <v>1690</v>
      </c>
      <c r="K111" s="17" t="s">
        <v>1690</v>
      </c>
      <c r="L111" s="17" t="s">
        <v>1690</v>
      </c>
      <c r="M111" s="17">
        <v>9999</v>
      </c>
      <c r="N111" s="142">
        <v>0</v>
      </c>
      <c r="O111" s="130" t="s">
        <v>1750</v>
      </c>
      <c r="P111" s="141" t="s">
        <v>1690</v>
      </c>
      <c r="Q111" s="17" t="s">
        <v>1690</v>
      </c>
      <c r="R111" s="17" t="s">
        <v>1690</v>
      </c>
      <c r="S111" s="17">
        <v>9999</v>
      </c>
      <c r="T111" s="142">
        <v>0</v>
      </c>
      <c r="U111" s="130" t="s">
        <v>1750</v>
      </c>
      <c r="V111" s="141" t="s">
        <v>1690</v>
      </c>
      <c r="W111" s="17" t="s">
        <v>1690</v>
      </c>
      <c r="X111" s="17" t="s">
        <v>1690</v>
      </c>
      <c r="Y111" s="17">
        <v>9999</v>
      </c>
      <c r="Z111" s="142">
        <v>0</v>
      </c>
      <c r="AA111" s="130" t="s">
        <v>1750</v>
      </c>
      <c r="AB111" s="141" t="s">
        <v>1690</v>
      </c>
      <c r="AC111" s="17" t="s">
        <v>1690</v>
      </c>
      <c r="AD111" s="17" t="s">
        <v>1690</v>
      </c>
      <c r="AE111" s="17">
        <v>9999</v>
      </c>
      <c r="AF111" s="142">
        <v>0</v>
      </c>
      <c r="AG111" s="130"/>
      <c r="AH111" s="143">
        <f>IF(TYPE(VLOOKUP(H111,Nasazení!$A$3:$E$130,5,0))&lt;4,VLOOKUP(H111,Nasazení!$A$3:$E$130,5,0),0)</f>
        <v>0</v>
      </c>
      <c r="AI111" s="144" t="str">
        <f>IF(N($AH111)&gt;0,VLOOKUP($AH111,Body!$A$4:$F$259,5,0),"")</f>
        <v/>
      </c>
      <c r="AJ111" s="145" t="str">
        <f>IF(N($AH111)&gt;0,VLOOKUP($AH111,Body!$A$4:$F$259,6,0),"")</f>
        <v/>
      </c>
      <c r="AK111" s="144" t="str">
        <f>IF(N($AH111)&gt;0,VLOOKUP($AH111,Body!$A$4:$F$259,2,0),"")</f>
        <v/>
      </c>
      <c r="AL111" s="146" t="str">
        <f t="shared" si="8"/>
        <v/>
      </c>
      <c r="AM111" s="142">
        <f t="shared" si="9"/>
        <v>0</v>
      </c>
      <c r="AN111" s="17">
        <f t="shared" si="10"/>
        <v>0</v>
      </c>
      <c r="AO111" s="17">
        <f t="shared" si="11"/>
        <v>0</v>
      </c>
      <c r="AP111" s="17">
        <f t="shared" si="12"/>
        <v>0</v>
      </c>
      <c r="AQ111" s="17">
        <f t="shared" si="13"/>
        <v>0</v>
      </c>
      <c r="AR111" s="17">
        <f t="shared" si="14"/>
        <v>0</v>
      </c>
    </row>
    <row r="112" spans="1:44" ht="12.75" customHeight="1">
      <c r="A112" s="69">
        <f t="shared" si="0"/>
        <v>0</v>
      </c>
      <c r="B112" s="69">
        <f t="shared" si="1"/>
        <v>0</v>
      </c>
      <c r="C112" s="147">
        <f t="shared" si="2"/>
        <v>0</v>
      </c>
      <c r="D112" s="69">
        <f t="shared" si="3"/>
        <v>99999</v>
      </c>
      <c r="E112" s="69">
        <f t="shared" si="4"/>
        <v>9999</v>
      </c>
      <c r="F112" s="98" t="str">
        <f t="shared" ca="1" si="5"/>
        <v>00000000000000000000518385</v>
      </c>
      <c r="G112" s="139" t="b">
        <f t="shared" si="6"/>
        <v>1</v>
      </c>
      <c r="H112" s="140">
        <f t="shared" si="7"/>
        <v>102</v>
      </c>
      <c r="I112" s="130" t="s">
        <v>1750</v>
      </c>
      <c r="J112" s="141" t="s">
        <v>1690</v>
      </c>
      <c r="K112" s="17" t="s">
        <v>1690</v>
      </c>
      <c r="L112" s="17" t="s">
        <v>1690</v>
      </c>
      <c r="M112" s="17">
        <v>9999</v>
      </c>
      <c r="N112" s="142">
        <v>0</v>
      </c>
      <c r="O112" s="130" t="s">
        <v>1750</v>
      </c>
      <c r="P112" s="141" t="s">
        <v>1690</v>
      </c>
      <c r="Q112" s="17" t="s">
        <v>1690</v>
      </c>
      <c r="R112" s="17" t="s">
        <v>1690</v>
      </c>
      <c r="S112" s="17">
        <v>9999</v>
      </c>
      <c r="T112" s="142">
        <v>0</v>
      </c>
      <c r="U112" s="130" t="s">
        <v>1750</v>
      </c>
      <c r="V112" s="141" t="s">
        <v>1690</v>
      </c>
      <c r="W112" s="17" t="s">
        <v>1690</v>
      </c>
      <c r="X112" s="17" t="s">
        <v>1690</v>
      </c>
      <c r="Y112" s="17">
        <v>9999</v>
      </c>
      <c r="Z112" s="142">
        <v>0</v>
      </c>
      <c r="AA112" s="130" t="s">
        <v>1750</v>
      </c>
      <c r="AB112" s="141" t="s">
        <v>1690</v>
      </c>
      <c r="AC112" s="17" t="s">
        <v>1690</v>
      </c>
      <c r="AD112" s="17" t="s">
        <v>1690</v>
      </c>
      <c r="AE112" s="17">
        <v>9999</v>
      </c>
      <c r="AF112" s="142">
        <v>0</v>
      </c>
      <c r="AG112" s="130"/>
      <c r="AH112" s="143">
        <f>IF(TYPE(VLOOKUP(H112,Nasazení!$A$3:$E$130,5,0))&lt;4,VLOOKUP(H112,Nasazení!$A$3:$E$130,5,0),0)</f>
        <v>0</v>
      </c>
      <c r="AI112" s="144" t="str">
        <f>IF(N($AH112)&gt;0,VLOOKUP($AH112,Body!$A$4:$F$259,5,0),"")</f>
        <v/>
      </c>
      <c r="AJ112" s="145" t="str">
        <f>IF(N($AH112)&gt;0,VLOOKUP($AH112,Body!$A$4:$F$259,6,0),"")</f>
        <v/>
      </c>
      <c r="AK112" s="144" t="str">
        <f>IF(N($AH112)&gt;0,VLOOKUP($AH112,Body!$A$4:$F$259,2,0),"")</f>
        <v/>
      </c>
      <c r="AL112" s="146" t="str">
        <f t="shared" si="8"/>
        <v/>
      </c>
      <c r="AM112" s="142">
        <f t="shared" si="9"/>
        <v>0</v>
      </c>
      <c r="AN112" s="17">
        <f t="shared" si="10"/>
        <v>0</v>
      </c>
      <c r="AO112" s="17">
        <f t="shared" si="11"/>
        <v>0</v>
      </c>
      <c r="AP112" s="17">
        <f t="shared" si="12"/>
        <v>0</v>
      </c>
      <c r="AQ112" s="17">
        <f t="shared" si="13"/>
        <v>0</v>
      </c>
      <c r="AR112" s="17">
        <f t="shared" si="14"/>
        <v>0</v>
      </c>
    </row>
    <row r="113" spans="1:44" ht="12.75" customHeight="1">
      <c r="A113" s="69">
        <f t="shared" si="0"/>
        <v>0</v>
      </c>
      <c r="B113" s="69">
        <f t="shared" si="1"/>
        <v>0</v>
      </c>
      <c r="C113" s="147">
        <f t="shared" si="2"/>
        <v>0</v>
      </c>
      <c r="D113" s="69">
        <f t="shared" si="3"/>
        <v>99999</v>
      </c>
      <c r="E113" s="69">
        <f t="shared" si="4"/>
        <v>9999</v>
      </c>
      <c r="F113" s="98" t="str">
        <f t="shared" ca="1" si="5"/>
        <v>00000000000000000000118450</v>
      </c>
      <c r="G113" s="139" t="b">
        <f t="shared" si="6"/>
        <v>1</v>
      </c>
      <c r="H113" s="140">
        <f t="shared" si="7"/>
        <v>103</v>
      </c>
      <c r="I113" s="130" t="s">
        <v>1750</v>
      </c>
      <c r="J113" s="141" t="s">
        <v>1690</v>
      </c>
      <c r="K113" s="17" t="s">
        <v>1690</v>
      </c>
      <c r="L113" s="17" t="s">
        <v>1690</v>
      </c>
      <c r="M113" s="17">
        <v>9999</v>
      </c>
      <c r="N113" s="142">
        <v>0</v>
      </c>
      <c r="O113" s="130" t="s">
        <v>1750</v>
      </c>
      <c r="P113" s="141" t="s">
        <v>1690</v>
      </c>
      <c r="Q113" s="17" t="s">
        <v>1690</v>
      </c>
      <c r="R113" s="17" t="s">
        <v>1690</v>
      </c>
      <c r="S113" s="17">
        <v>9999</v>
      </c>
      <c r="T113" s="142">
        <v>0</v>
      </c>
      <c r="U113" s="130" t="s">
        <v>1750</v>
      </c>
      <c r="V113" s="141" t="s">
        <v>1690</v>
      </c>
      <c r="W113" s="17" t="s">
        <v>1690</v>
      </c>
      <c r="X113" s="17" t="s">
        <v>1690</v>
      </c>
      <c r="Y113" s="17">
        <v>9999</v>
      </c>
      <c r="Z113" s="142">
        <v>0</v>
      </c>
      <c r="AA113" s="130" t="s">
        <v>1750</v>
      </c>
      <c r="AB113" s="141" t="s">
        <v>1690</v>
      </c>
      <c r="AC113" s="17" t="s">
        <v>1690</v>
      </c>
      <c r="AD113" s="17" t="s">
        <v>1690</v>
      </c>
      <c r="AE113" s="17">
        <v>9999</v>
      </c>
      <c r="AF113" s="142">
        <v>0</v>
      </c>
      <c r="AG113" s="130"/>
      <c r="AH113" s="143">
        <f>IF(TYPE(VLOOKUP(H113,Nasazení!$A$3:$E$130,5,0))&lt;4,VLOOKUP(H113,Nasazení!$A$3:$E$130,5,0),0)</f>
        <v>0</v>
      </c>
      <c r="AI113" s="144" t="str">
        <f>IF(N($AH113)&gt;0,VLOOKUP($AH113,Body!$A$4:$F$259,5,0),"")</f>
        <v/>
      </c>
      <c r="AJ113" s="145" t="str">
        <f>IF(N($AH113)&gt;0,VLOOKUP($AH113,Body!$A$4:$F$259,6,0),"")</f>
        <v/>
      </c>
      <c r="AK113" s="144" t="str">
        <f>IF(N($AH113)&gt;0,VLOOKUP($AH113,Body!$A$4:$F$259,2,0),"")</f>
        <v/>
      </c>
      <c r="AL113" s="146" t="str">
        <f t="shared" si="8"/>
        <v/>
      </c>
      <c r="AM113" s="142">
        <f t="shared" si="9"/>
        <v>0</v>
      </c>
      <c r="AN113" s="17">
        <f t="shared" si="10"/>
        <v>0</v>
      </c>
      <c r="AO113" s="17">
        <f t="shared" si="11"/>
        <v>0</v>
      </c>
      <c r="AP113" s="17">
        <f t="shared" si="12"/>
        <v>0</v>
      </c>
      <c r="AQ113" s="17">
        <f t="shared" si="13"/>
        <v>0</v>
      </c>
      <c r="AR113" s="17">
        <f t="shared" si="14"/>
        <v>0</v>
      </c>
    </row>
    <row r="114" spans="1:44" ht="12.75" customHeight="1">
      <c r="A114" s="69">
        <f t="shared" si="0"/>
        <v>0</v>
      </c>
      <c r="B114" s="69">
        <f t="shared" si="1"/>
        <v>0</v>
      </c>
      <c r="C114" s="147">
        <f t="shared" si="2"/>
        <v>0</v>
      </c>
      <c r="D114" s="69">
        <f t="shared" si="3"/>
        <v>99999</v>
      </c>
      <c r="E114" s="69">
        <f t="shared" si="4"/>
        <v>9999</v>
      </c>
      <c r="F114" s="98" t="str">
        <f t="shared" ca="1" si="5"/>
        <v>00000000000000000000448119</v>
      </c>
      <c r="G114" s="139" t="b">
        <f t="shared" si="6"/>
        <v>1</v>
      </c>
      <c r="H114" s="140">
        <f t="shared" si="7"/>
        <v>104</v>
      </c>
      <c r="I114" s="130" t="s">
        <v>1750</v>
      </c>
      <c r="J114" s="141" t="s">
        <v>1690</v>
      </c>
      <c r="K114" s="17" t="s">
        <v>1690</v>
      </c>
      <c r="L114" s="17" t="s">
        <v>1690</v>
      </c>
      <c r="M114" s="17">
        <v>9999</v>
      </c>
      <c r="N114" s="142">
        <v>0</v>
      </c>
      <c r="O114" s="130" t="s">
        <v>1750</v>
      </c>
      <c r="P114" s="141" t="s">
        <v>1690</v>
      </c>
      <c r="Q114" s="17" t="s">
        <v>1690</v>
      </c>
      <c r="R114" s="17" t="s">
        <v>1690</v>
      </c>
      <c r="S114" s="17">
        <v>9999</v>
      </c>
      <c r="T114" s="142">
        <v>0</v>
      </c>
      <c r="U114" s="130" t="s">
        <v>1750</v>
      </c>
      <c r="V114" s="141" t="s">
        <v>1690</v>
      </c>
      <c r="W114" s="17" t="s">
        <v>1690</v>
      </c>
      <c r="X114" s="17" t="s">
        <v>1690</v>
      </c>
      <c r="Y114" s="17">
        <v>9999</v>
      </c>
      <c r="Z114" s="142">
        <v>0</v>
      </c>
      <c r="AA114" s="130" t="s">
        <v>1750</v>
      </c>
      <c r="AB114" s="141" t="s">
        <v>1690</v>
      </c>
      <c r="AC114" s="17" t="s">
        <v>1690</v>
      </c>
      <c r="AD114" s="17" t="s">
        <v>1690</v>
      </c>
      <c r="AE114" s="17">
        <v>9999</v>
      </c>
      <c r="AF114" s="142">
        <v>0</v>
      </c>
      <c r="AG114" s="130"/>
      <c r="AH114" s="143">
        <f>IF(TYPE(VLOOKUP(H114,Nasazení!$A$3:$E$130,5,0))&lt;4,VLOOKUP(H114,Nasazení!$A$3:$E$130,5,0),0)</f>
        <v>0</v>
      </c>
      <c r="AI114" s="144" t="str">
        <f>IF(N($AH114)&gt;0,VLOOKUP($AH114,Body!$A$4:$F$259,5,0),"")</f>
        <v/>
      </c>
      <c r="AJ114" s="145" t="str">
        <f>IF(N($AH114)&gt;0,VLOOKUP($AH114,Body!$A$4:$F$259,6,0),"")</f>
        <v/>
      </c>
      <c r="AK114" s="144" t="str">
        <f>IF(N($AH114)&gt;0,VLOOKUP($AH114,Body!$A$4:$F$259,2,0),"")</f>
        <v/>
      </c>
      <c r="AL114" s="146" t="str">
        <f t="shared" si="8"/>
        <v/>
      </c>
      <c r="AM114" s="142">
        <f t="shared" si="9"/>
        <v>0</v>
      </c>
      <c r="AN114" s="17">
        <f t="shared" si="10"/>
        <v>0</v>
      </c>
      <c r="AO114" s="17">
        <f t="shared" si="11"/>
        <v>0</v>
      </c>
      <c r="AP114" s="17">
        <f t="shared" si="12"/>
        <v>0</v>
      </c>
      <c r="AQ114" s="17">
        <f t="shared" si="13"/>
        <v>0</v>
      </c>
      <c r="AR114" s="17">
        <f t="shared" si="14"/>
        <v>0</v>
      </c>
    </row>
    <row r="115" spans="1:44" ht="12.75" customHeight="1">
      <c r="A115" s="69">
        <f t="shared" si="0"/>
        <v>0</v>
      </c>
      <c r="B115" s="69">
        <f t="shared" si="1"/>
        <v>0</v>
      </c>
      <c r="C115" s="147">
        <f t="shared" si="2"/>
        <v>0</v>
      </c>
      <c r="D115" s="69">
        <f t="shared" si="3"/>
        <v>99999</v>
      </c>
      <c r="E115" s="69">
        <f t="shared" si="4"/>
        <v>9999</v>
      </c>
      <c r="F115" s="98" t="str">
        <f t="shared" ca="1" si="5"/>
        <v>00000000000000000000810715</v>
      </c>
      <c r="G115" s="139" t="b">
        <f t="shared" si="6"/>
        <v>1</v>
      </c>
      <c r="H115" s="140">
        <f t="shared" si="7"/>
        <v>105</v>
      </c>
      <c r="I115" s="130" t="s">
        <v>1750</v>
      </c>
      <c r="J115" s="141" t="s">
        <v>1690</v>
      </c>
      <c r="K115" s="17" t="s">
        <v>1690</v>
      </c>
      <c r="L115" s="17" t="s">
        <v>1690</v>
      </c>
      <c r="M115" s="17">
        <v>9999</v>
      </c>
      <c r="N115" s="142">
        <v>0</v>
      </c>
      <c r="O115" s="130" t="s">
        <v>1750</v>
      </c>
      <c r="P115" s="141" t="s">
        <v>1690</v>
      </c>
      <c r="Q115" s="17" t="s">
        <v>1690</v>
      </c>
      <c r="R115" s="17" t="s">
        <v>1690</v>
      </c>
      <c r="S115" s="17">
        <v>9999</v>
      </c>
      <c r="T115" s="142">
        <v>0</v>
      </c>
      <c r="U115" s="130" t="s">
        <v>1750</v>
      </c>
      <c r="V115" s="141" t="s">
        <v>1690</v>
      </c>
      <c r="W115" s="17" t="s">
        <v>1690</v>
      </c>
      <c r="X115" s="17" t="s">
        <v>1690</v>
      </c>
      <c r="Y115" s="17">
        <v>9999</v>
      </c>
      <c r="Z115" s="142">
        <v>0</v>
      </c>
      <c r="AA115" s="130" t="s">
        <v>1750</v>
      </c>
      <c r="AB115" s="141" t="s">
        <v>1690</v>
      </c>
      <c r="AC115" s="17" t="s">
        <v>1690</v>
      </c>
      <c r="AD115" s="17" t="s">
        <v>1690</v>
      </c>
      <c r="AE115" s="17">
        <v>9999</v>
      </c>
      <c r="AF115" s="142">
        <v>0</v>
      </c>
      <c r="AG115" s="130"/>
      <c r="AH115" s="143">
        <f>IF(TYPE(VLOOKUP(H115,Nasazení!$A$3:$E$130,5,0))&lt;4,VLOOKUP(H115,Nasazení!$A$3:$E$130,5,0),0)</f>
        <v>0</v>
      </c>
      <c r="AI115" s="144" t="str">
        <f>IF(N($AH115)&gt;0,VLOOKUP($AH115,Body!$A$4:$F$259,5,0),"")</f>
        <v/>
      </c>
      <c r="AJ115" s="145" t="str">
        <f>IF(N($AH115)&gt;0,VLOOKUP($AH115,Body!$A$4:$F$259,6,0),"")</f>
        <v/>
      </c>
      <c r="AK115" s="144" t="str">
        <f>IF(N($AH115)&gt;0,VLOOKUP($AH115,Body!$A$4:$F$259,2,0),"")</f>
        <v/>
      </c>
      <c r="AL115" s="146" t="str">
        <f t="shared" si="8"/>
        <v/>
      </c>
      <c r="AM115" s="142">
        <f t="shared" si="9"/>
        <v>0</v>
      </c>
      <c r="AN115" s="17">
        <f t="shared" si="10"/>
        <v>0</v>
      </c>
      <c r="AO115" s="17">
        <f t="shared" si="11"/>
        <v>0</v>
      </c>
      <c r="AP115" s="17">
        <f t="shared" si="12"/>
        <v>0</v>
      </c>
      <c r="AQ115" s="17">
        <f t="shared" si="13"/>
        <v>0</v>
      </c>
      <c r="AR115" s="17">
        <f t="shared" si="14"/>
        <v>0</v>
      </c>
    </row>
    <row r="116" spans="1:44" ht="12.75" customHeight="1">
      <c r="A116" s="69">
        <f t="shared" si="0"/>
        <v>0</v>
      </c>
      <c r="B116" s="69">
        <f t="shared" si="1"/>
        <v>0</v>
      </c>
      <c r="C116" s="147">
        <f t="shared" si="2"/>
        <v>0</v>
      </c>
      <c r="D116" s="69">
        <f t="shared" si="3"/>
        <v>99999</v>
      </c>
      <c r="E116" s="69">
        <f t="shared" si="4"/>
        <v>9999</v>
      </c>
      <c r="F116" s="98" t="str">
        <f t="shared" ca="1" si="5"/>
        <v>00000000000000000000654768</v>
      </c>
      <c r="G116" s="139" t="b">
        <f t="shared" si="6"/>
        <v>1</v>
      </c>
      <c r="H116" s="140">
        <f t="shared" si="7"/>
        <v>106</v>
      </c>
      <c r="I116" s="130" t="s">
        <v>1750</v>
      </c>
      <c r="J116" s="141" t="s">
        <v>1690</v>
      </c>
      <c r="K116" s="17" t="s">
        <v>1690</v>
      </c>
      <c r="L116" s="17" t="s">
        <v>1690</v>
      </c>
      <c r="M116" s="17">
        <v>9999</v>
      </c>
      <c r="N116" s="142">
        <v>0</v>
      </c>
      <c r="O116" s="130" t="s">
        <v>1750</v>
      </c>
      <c r="P116" s="141" t="s">
        <v>1690</v>
      </c>
      <c r="Q116" s="17" t="s">
        <v>1690</v>
      </c>
      <c r="R116" s="17" t="s">
        <v>1690</v>
      </c>
      <c r="S116" s="17">
        <v>9999</v>
      </c>
      <c r="T116" s="142">
        <v>0</v>
      </c>
      <c r="U116" s="130" t="s">
        <v>1750</v>
      </c>
      <c r="V116" s="141" t="s">
        <v>1690</v>
      </c>
      <c r="W116" s="17" t="s">
        <v>1690</v>
      </c>
      <c r="X116" s="17" t="s">
        <v>1690</v>
      </c>
      <c r="Y116" s="17">
        <v>9999</v>
      </c>
      <c r="Z116" s="142">
        <v>0</v>
      </c>
      <c r="AA116" s="130" t="s">
        <v>1750</v>
      </c>
      <c r="AB116" s="141" t="s">
        <v>1690</v>
      </c>
      <c r="AC116" s="17" t="s">
        <v>1690</v>
      </c>
      <c r="AD116" s="17" t="s">
        <v>1690</v>
      </c>
      <c r="AE116" s="17">
        <v>9999</v>
      </c>
      <c r="AF116" s="142">
        <v>0</v>
      </c>
      <c r="AG116" s="130"/>
      <c r="AH116" s="143">
        <f>IF(TYPE(VLOOKUP(H116,Nasazení!$A$3:$E$130,5,0))&lt;4,VLOOKUP(H116,Nasazení!$A$3:$E$130,5,0),0)</f>
        <v>0</v>
      </c>
      <c r="AI116" s="144" t="str">
        <f>IF(N($AH116)&gt;0,VLOOKUP($AH116,Body!$A$4:$F$259,5,0),"")</f>
        <v/>
      </c>
      <c r="AJ116" s="145" t="str">
        <f>IF(N($AH116)&gt;0,VLOOKUP($AH116,Body!$A$4:$F$259,6,0),"")</f>
        <v/>
      </c>
      <c r="AK116" s="144" t="str">
        <f>IF(N($AH116)&gt;0,VLOOKUP($AH116,Body!$A$4:$F$259,2,0),"")</f>
        <v/>
      </c>
      <c r="AL116" s="146" t="str">
        <f t="shared" si="8"/>
        <v/>
      </c>
      <c r="AM116" s="142">
        <f t="shared" si="9"/>
        <v>0</v>
      </c>
      <c r="AN116" s="17">
        <f t="shared" si="10"/>
        <v>0</v>
      </c>
      <c r="AO116" s="17">
        <f t="shared" si="11"/>
        <v>0</v>
      </c>
      <c r="AP116" s="17">
        <f t="shared" si="12"/>
        <v>0</v>
      </c>
      <c r="AQ116" s="17">
        <f t="shared" si="13"/>
        <v>0</v>
      </c>
      <c r="AR116" s="17">
        <f t="shared" si="14"/>
        <v>0</v>
      </c>
    </row>
    <row r="117" spans="1:44" ht="12.75" customHeight="1">
      <c r="A117" s="69">
        <f t="shared" si="0"/>
        <v>0</v>
      </c>
      <c r="B117" s="69">
        <f t="shared" si="1"/>
        <v>0</v>
      </c>
      <c r="C117" s="147">
        <f t="shared" si="2"/>
        <v>0</v>
      </c>
      <c r="D117" s="69">
        <f t="shared" si="3"/>
        <v>99999</v>
      </c>
      <c r="E117" s="69">
        <f t="shared" si="4"/>
        <v>9999</v>
      </c>
      <c r="F117" s="98" t="str">
        <f t="shared" ca="1" si="5"/>
        <v>00000000000000000000305916</v>
      </c>
      <c r="G117" s="139" t="b">
        <f t="shared" si="6"/>
        <v>1</v>
      </c>
      <c r="H117" s="140">
        <f t="shared" si="7"/>
        <v>107</v>
      </c>
      <c r="I117" s="130" t="s">
        <v>1750</v>
      </c>
      <c r="J117" s="141" t="s">
        <v>1690</v>
      </c>
      <c r="K117" s="17" t="s">
        <v>1690</v>
      </c>
      <c r="L117" s="17" t="s">
        <v>1690</v>
      </c>
      <c r="M117" s="17">
        <v>9999</v>
      </c>
      <c r="N117" s="142">
        <v>0</v>
      </c>
      <c r="O117" s="130" t="s">
        <v>1750</v>
      </c>
      <c r="P117" s="141" t="s">
        <v>1690</v>
      </c>
      <c r="Q117" s="17" t="s">
        <v>1690</v>
      </c>
      <c r="R117" s="17" t="s">
        <v>1690</v>
      </c>
      <c r="S117" s="17">
        <v>9999</v>
      </c>
      <c r="T117" s="142">
        <v>0</v>
      </c>
      <c r="U117" s="130" t="s">
        <v>1750</v>
      </c>
      <c r="V117" s="141" t="s">
        <v>1690</v>
      </c>
      <c r="W117" s="17" t="s">
        <v>1690</v>
      </c>
      <c r="X117" s="17" t="s">
        <v>1690</v>
      </c>
      <c r="Y117" s="17">
        <v>9999</v>
      </c>
      <c r="Z117" s="142">
        <v>0</v>
      </c>
      <c r="AA117" s="130" t="s">
        <v>1750</v>
      </c>
      <c r="AB117" s="141" t="s">
        <v>1690</v>
      </c>
      <c r="AC117" s="17" t="s">
        <v>1690</v>
      </c>
      <c r="AD117" s="17" t="s">
        <v>1690</v>
      </c>
      <c r="AE117" s="17">
        <v>9999</v>
      </c>
      <c r="AF117" s="142">
        <v>0</v>
      </c>
      <c r="AG117" s="130"/>
      <c r="AH117" s="143">
        <f>IF(TYPE(VLOOKUP(H117,Nasazení!$A$3:$E$130,5,0))&lt;4,VLOOKUP(H117,Nasazení!$A$3:$E$130,5,0),0)</f>
        <v>0</v>
      </c>
      <c r="AI117" s="144" t="str">
        <f>IF(N($AH117)&gt;0,VLOOKUP($AH117,Body!$A$4:$F$259,5,0),"")</f>
        <v/>
      </c>
      <c r="AJ117" s="145" t="str">
        <f>IF(N($AH117)&gt;0,VLOOKUP($AH117,Body!$A$4:$F$259,6,0),"")</f>
        <v/>
      </c>
      <c r="AK117" s="144" t="str">
        <f>IF(N($AH117)&gt;0,VLOOKUP($AH117,Body!$A$4:$F$259,2,0),"")</f>
        <v/>
      </c>
      <c r="AL117" s="146" t="str">
        <f t="shared" si="8"/>
        <v/>
      </c>
      <c r="AM117" s="142">
        <f t="shared" si="9"/>
        <v>0</v>
      </c>
      <c r="AN117" s="17">
        <f t="shared" si="10"/>
        <v>0</v>
      </c>
      <c r="AO117" s="17">
        <f t="shared" si="11"/>
        <v>0</v>
      </c>
      <c r="AP117" s="17">
        <f t="shared" si="12"/>
        <v>0</v>
      </c>
      <c r="AQ117" s="17">
        <f t="shared" si="13"/>
        <v>0</v>
      </c>
      <c r="AR117" s="17">
        <f t="shared" si="14"/>
        <v>0</v>
      </c>
    </row>
    <row r="118" spans="1:44" ht="12.75" customHeight="1">
      <c r="A118" s="69">
        <f t="shared" si="0"/>
        <v>0</v>
      </c>
      <c r="B118" s="69">
        <f t="shared" si="1"/>
        <v>0</v>
      </c>
      <c r="C118" s="147">
        <f t="shared" si="2"/>
        <v>0</v>
      </c>
      <c r="D118" s="69">
        <f t="shared" si="3"/>
        <v>99999</v>
      </c>
      <c r="E118" s="69">
        <f t="shared" si="4"/>
        <v>9999</v>
      </c>
      <c r="F118" s="98" t="str">
        <f t="shared" ca="1" si="5"/>
        <v>00000000000000000000305609</v>
      </c>
      <c r="G118" s="139" t="b">
        <f t="shared" si="6"/>
        <v>1</v>
      </c>
      <c r="H118" s="140">
        <f t="shared" si="7"/>
        <v>108</v>
      </c>
      <c r="I118" s="130" t="s">
        <v>1750</v>
      </c>
      <c r="J118" s="141" t="s">
        <v>1690</v>
      </c>
      <c r="K118" s="17" t="s">
        <v>1690</v>
      </c>
      <c r="L118" s="17" t="s">
        <v>1690</v>
      </c>
      <c r="M118" s="17">
        <v>9999</v>
      </c>
      <c r="N118" s="142">
        <v>0</v>
      </c>
      <c r="O118" s="130" t="s">
        <v>1750</v>
      </c>
      <c r="P118" s="141" t="s">
        <v>1690</v>
      </c>
      <c r="Q118" s="17" t="s">
        <v>1690</v>
      </c>
      <c r="R118" s="17" t="s">
        <v>1690</v>
      </c>
      <c r="S118" s="17">
        <v>9999</v>
      </c>
      <c r="T118" s="142">
        <v>0</v>
      </c>
      <c r="U118" s="130" t="s">
        <v>1750</v>
      </c>
      <c r="V118" s="141" t="s">
        <v>1690</v>
      </c>
      <c r="W118" s="17" t="s">
        <v>1690</v>
      </c>
      <c r="X118" s="17" t="s">
        <v>1690</v>
      </c>
      <c r="Y118" s="17">
        <v>9999</v>
      </c>
      <c r="Z118" s="142">
        <v>0</v>
      </c>
      <c r="AA118" s="130" t="s">
        <v>1750</v>
      </c>
      <c r="AB118" s="141" t="s">
        <v>1690</v>
      </c>
      <c r="AC118" s="17" t="s">
        <v>1690</v>
      </c>
      <c r="AD118" s="17" t="s">
        <v>1690</v>
      </c>
      <c r="AE118" s="17">
        <v>9999</v>
      </c>
      <c r="AF118" s="142">
        <v>0</v>
      </c>
      <c r="AG118" s="130"/>
      <c r="AH118" s="143">
        <f>IF(TYPE(VLOOKUP(H118,Nasazení!$A$3:$E$130,5,0))&lt;4,VLOOKUP(H118,Nasazení!$A$3:$E$130,5,0),0)</f>
        <v>0</v>
      </c>
      <c r="AI118" s="144" t="str">
        <f>IF(N($AH118)&gt;0,VLOOKUP($AH118,Body!$A$4:$F$259,5,0),"")</f>
        <v/>
      </c>
      <c r="AJ118" s="145" t="str">
        <f>IF(N($AH118)&gt;0,VLOOKUP($AH118,Body!$A$4:$F$259,6,0),"")</f>
        <v/>
      </c>
      <c r="AK118" s="144" t="str">
        <f>IF(N($AH118)&gt;0,VLOOKUP($AH118,Body!$A$4:$F$259,2,0),"")</f>
        <v/>
      </c>
      <c r="AL118" s="146" t="str">
        <f t="shared" si="8"/>
        <v/>
      </c>
      <c r="AM118" s="142">
        <f t="shared" si="9"/>
        <v>0</v>
      </c>
      <c r="AN118" s="17">
        <f t="shared" si="10"/>
        <v>0</v>
      </c>
      <c r="AO118" s="17">
        <f t="shared" si="11"/>
        <v>0</v>
      </c>
      <c r="AP118" s="17">
        <f t="shared" si="12"/>
        <v>0</v>
      </c>
      <c r="AQ118" s="17">
        <f t="shared" si="13"/>
        <v>0</v>
      </c>
      <c r="AR118" s="17">
        <f t="shared" si="14"/>
        <v>0</v>
      </c>
    </row>
    <row r="119" spans="1:44" ht="12.75" customHeight="1">
      <c r="A119" s="69">
        <f t="shared" si="0"/>
        <v>0</v>
      </c>
      <c r="B119" s="69">
        <f t="shared" si="1"/>
        <v>0</v>
      </c>
      <c r="C119" s="147">
        <f t="shared" si="2"/>
        <v>0</v>
      </c>
      <c r="D119" s="69">
        <f t="shared" si="3"/>
        <v>99999</v>
      </c>
      <c r="E119" s="69">
        <f t="shared" si="4"/>
        <v>9999</v>
      </c>
      <c r="F119" s="98" t="str">
        <f t="shared" ca="1" si="5"/>
        <v>00000000000000000000220251</v>
      </c>
      <c r="G119" s="139" t="b">
        <f t="shared" si="6"/>
        <v>1</v>
      </c>
      <c r="H119" s="140">
        <f t="shared" si="7"/>
        <v>109</v>
      </c>
      <c r="I119" s="130" t="s">
        <v>1750</v>
      </c>
      <c r="J119" s="141" t="s">
        <v>1690</v>
      </c>
      <c r="K119" s="17" t="s">
        <v>1690</v>
      </c>
      <c r="L119" s="17" t="s">
        <v>1690</v>
      </c>
      <c r="M119" s="17">
        <v>9999</v>
      </c>
      <c r="N119" s="142">
        <v>0</v>
      </c>
      <c r="O119" s="130" t="s">
        <v>1750</v>
      </c>
      <c r="P119" s="141" t="s">
        <v>1690</v>
      </c>
      <c r="Q119" s="17" t="s">
        <v>1690</v>
      </c>
      <c r="R119" s="17" t="s">
        <v>1690</v>
      </c>
      <c r="S119" s="17">
        <v>9999</v>
      </c>
      <c r="T119" s="142">
        <v>0</v>
      </c>
      <c r="U119" s="130" t="s">
        <v>1750</v>
      </c>
      <c r="V119" s="141" t="s">
        <v>1690</v>
      </c>
      <c r="W119" s="17" t="s">
        <v>1690</v>
      </c>
      <c r="X119" s="17" t="s">
        <v>1690</v>
      </c>
      <c r="Y119" s="17">
        <v>9999</v>
      </c>
      <c r="Z119" s="142">
        <v>0</v>
      </c>
      <c r="AA119" s="130" t="s">
        <v>1750</v>
      </c>
      <c r="AB119" s="141" t="s">
        <v>1690</v>
      </c>
      <c r="AC119" s="17" t="s">
        <v>1690</v>
      </c>
      <c r="AD119" s="17" t="s">
        <v>1690</v>
      </c>
      <c r="AE119" s="17">
        <v>9999</v>
      </c>
      <c r="AF119" s="142">
        <v>0</v>
      </c>
      <c r="AG119" s="130"/>
      <c r="AH119" s="143">
        <f>IF(TYPE(VLOOKUP(H119,Nasazení!$A$3:$E$130,5,0))&lt;4,VLOOKUP(H119,Nasazení!$A$3:$E$130,5,0),0)</f>
        <v>0</v>
      </c>
      <c r="AI119" s="144" t="str">
        <f>IF(N($AH119)&gt;0,VLOOKUP($AH119,Body!$A$4:$F$259,5,0),"")</f>
        <v/>
      </c>
      <c r="AJ119" s="145" t="str">
        <f>IF(N($AH119)&gt;0,VLOOKUP($AH119,Body!$A$4:$F$259,6,0),"")</f>
        <v/>
      </c>
      <c r="AK119" s="144" t="str">
        <f>IF(N($AH119)&gt;0,VLOOKUP($AH119,Body!$A$4:$F$259,2,0),"")</f>
        <v/>
      </c>
      <c r="AL119" s="146" t="str">
        <f t="shared" si="8"/>
        <v/>
      </c>
      <c r="AM119" s="142">
        <f t="shared" si="9"/>
        <v>0</v>
      </c>
      <c r="AN119" s="17">
        <f t="shared" si="10"/>
        <v>0</v>
      </c>
      <c r="AO119" s="17">
        <f t="shared" si="11"/>
        <v>0</v>
      </c>
      <c r="AP119" s="17">
        <f t="shared" si="12"/>
        <v>0</v>
      </c>
      <c r="AQ119" s="17">
        <f t="shared" si="13"/>
        <v>0</v>
      </c>
      <c r="AR119" s="17">
        <f t="shared" si="14"/>
        <v>0</v>
      </c>
    </row>
    <row r="120" spans="1:44" ht="12.75" customHeight="1">
      <c r="A120" s="69">
        <f t="shared" si="0"/>
        <v>0</v>
      </c>
      <c r="B120" s="69">
        <f t="shared" si="1"/>
        <v>0</v>
      </c>
      <c r="C120" s="147">
        <f t="shared" si="2"/>
        <v>0</v>
      </c>
      <c r="D120" s="69">
        <f t="shared" si="3"/>
        <v>99999</v>
      </c>
      <c r="E120" s="69">
        <f t="shared" si="4"/>
        <v>9999</v>
      </c>
      <c r="F120" s="98" t="str">
        <f t="shared" ca="1" si="5"/>
        <v>00000000000000000000461364</v>
      </c>
      <c r="G120" s="139" t="b">
        <f t="shared" si="6"/>
        <v>1</v>
      </c>
      <c r="H120" s="140">
        <f t="shared" si="7"/>
        <v>110</v>
      </c>
      <c r="I120" s="130" t="s">
        <v>1750</v>
      </c>
      <c r="J120" s="141" t="s">
        <v>1690</v>
      </c>
      <c r="K120" s="17" t="s">
        <v>1690</v>
      </c>
      <c r="L120" s="17" t="s">
        <v>1690</v>
      </c>
      <c r="M120" s="17">
        <v>9999</v>
      </c>
      <c r="N120" s="142">
        <v>0</v>
      </c>
      <c r="O120" s="130" t="s">
        <v>1750</v>
      </c>
      <c r="P120" s="141" t="s">
        <v>1690</v>
      </c>
      <c r="Q120" s="17" t="s">
        <v>1690</v>
      </c>
      <c r="R120" s="17" t="s">
        <v>1690</v>
      </c>
      <c r="S120" s="17">
        <v>9999</v>
      </c>
      <c r="T120" s="142">
        <v>0</v>
      </c>
      <c r="U120" s="130" t="s">
        <v>1750</v>
      </c>
      <c r="V120" s="141" t="s">
        <v>1690</v>
      </c>
      <c r="W120" s="17" t="s">
        <v>1690</v>
      </c>
      <c r="X120" s="17" t="s">
        <v>1690</v>
      </c>
      <c r="Y120" s="17">
        <v>9999</v>
      </c>
      <c r="Z120" s="142">
        <v>0</v>
      </c>
      <c r="AA120" s="130" t="s">
        <v>1750</v>
      </c>
      <c r="AB120" s="141" t="s">
        <v>1690</v>
      </c>
      <c r="AC120" s="17" t="s">
        <v>1690</v>
      </c>
      <c r="AD120" s="17" t="s">
        <v>1690</v>
      </c>
      <c r="AE120" s="17">
        <v>9999</v>
      </c>
      <c r="AF120" s="142">
        <v>0</v>
      </c>
      <c r="AG120" s="130"/>
      <c r="AH120" s="143">
        <f>IF(TYPE(VLOOKUP(H120,Nasazení!$A$3:$E$130,5,0))&lt;4,VLOOKUP(H120,Nasazení!$A$3:$E$130,5,0),0)</f>
        <v>0</v>
      </c>
      <c r="AI120" s="144" t="str">
        <f>IF(N($AH120)&gt;0,VLOOKUP($AH120,Body!$A$4:$F$259,5,0),"")</f>
        <v/>
      </c>
      <c r="AJ120" s="145" t="str">
        <f>IF(N($AH120)&gt;0,VLOOKUP($AH120,Body!$A$4:$F$259,6,0),"")</f>
        <v/>
      </c>
      <c r="AK120" s="144" t="str">
        <f>IF(N($AH120)&gt;0,VLOOKUP($AH120,Body!$A$4:$F$259,2,0),"")</f>
        <v/>
      </c>
      <c r="AL120" s="146" t="str">
        <f t="shared" si="8"/>
        <v/>
      </c>
      <c r="AM120" s="142">
        <f t="shared" si="9"/>
        <v>0</v>
      </c>
      <c r="AN120" s="17">
        <f t="shared" si="10"/>
        <v>0</v>
      </c>
      <c r="AO120" s="17">
        <f t="shared" si="11"/>
        <v>0</v>
      </c>
      <c r="AP120" s="17">
        <f t="shared" si="12"/>
        <v>0</v>
      </c>
      <c r="AQ120" s="17">
        <f t="shared" si="13"/>
        <v>0</v>
      </c>
      <c r="AR120" s="17">
        <f t="shared" si="14"/>
        <v>0</v>
      </c>
    </row>
    <row r="121" spans="1:44" ht="12.75" customHeight="1">
      <c r="A121" s="69">
        <f t="shared" si="0"/>
        <v>0</v>
      </c>
      <c r="B121" s="69">
        <f t="shared" si="1"/>
        <v>0</v>
      </c>
      <c r="C121" s="147">
        <f t="shared" si="2"/>
        <v>0</v>
      </c>
      <c r="D121" s="69">
        <f t="shared" si="3"/>
        <v>99999</v>
      </c>
      <c r="E121" s="69">
        <f t="shared" si="4"/>
        <v>9999</v>
      </c>
      <c r="F121" s="98" t="str">
        <f t="shared" ca="1" si="5"/>
        <v>00000000000000000000063186</v>
      </c>
      <c r="G121" s="139" t="b">
        <f t="shared" si="6"/>
        <v>1</v>
      </c>
      <c r="H121" s="140">
        <f t="shared" si="7"/>
        <v>111</v>
      </c>
      <c r="I121" s="130" t="s">
        <v>1750</v>
      </c>
      <c r="J121" s="141" t="s">
        <v>1690</v>
      </c>
      <c r="K121" s="17" t="s">
        <v>1690</v>
      </c>
      <c r="L121" s="17" t="s">
        <v>1690</v>
      </c>
      <c r="M121" s="17">
        <v>9999</v>
      </c>
      <c r="N121" s="142">
        <v>0</v>
      </c>
      <c r="O121" s="130" t="s">
        <v>1750</v>
      </c>
      <c r="P121" s="141" t="s">
        <v>1690</v>
      </c>
      <c r="Q121" s="17" t="s">
        <v>1690</v>
      </c>
      <c r="R121" s="17" t="s">
        <v>1690</v>
      </c>
      <c r="S121" s="17">
        <v>9999</v>
      </c>
      <c r="T121" s="142">
        <v>0</v>
      </c>
      <c r="U121" s="130" t="s">
        <v>1750</v>
      </c>
      <c r="V121" s="141" t="s">
        <v>1690</v>
      </c>
      <c r="W121" s="17" t="s">
        <v>1690</v>
      </c>
      <c r="X121" s="17" t="s">
        <v>1690</v>
      </c>
      <c r="Y121" s="17">
        <v>9999</v>
      </c>
      <c r="Z121" s="142">
        <v>0</v>
      </c>
      <c r="AA121" s="130" t="s">
        <v>1750</v>
      </c>
      <c r="AB121" s="141" t="s">
        <v>1690</v>
      </c>
      <c r="AC121" s="17" t="s">
        <v>1690</v>
      </c>
      <c r="AD121" s="17" t="s">
        <v>1690</v>
      </c>
      <c r="AE121" s="17">
        <v>9999</v>
      </c>
      <c r="AF121" s="142">
        <v>0</v>
      </c>
      <c r="AG121" s="130"/>
      <c r="AH121" s="143">
        <f>IF(TYPE(VLOOKUP(H121,Nasazení!$A$3:$E$130,5,0))&lt;4,VLOOKUP(H121,Nasazení!$A$3:$E$130,5,0),0)</f>
        <v>0</v>
      </c>
      <c r="AI121" s="144" t="str">
        <f>IF(N($AH121)&gt;0,VLOOKUP($AH121,Body!$A$4:$F$259,5,0),"")</f>
        <v/>
      </c>
      <c r="AJ121" s="145" t="str">
        <f>IF(N($AH121)&gt;0,VLOOKUP($AH121,Body!$A$4:$F$259,6,0),"")</f>
        <v/>
      </c>
      <c r="AK121" s="144" t="str">
        <f>IF(N($AH121)&gt;0,VLOOKUP($AH121,Body!$A$4:$F$259,2,0),"")</f>
        <v/>
      </c>
      <c r="AL121" s="146" t="str">
        <f t="shared" si="8"/>
        <v/>
      </c>
      <c r="AM121" s="142">
        <f t="shared" si="9"/>
        <v>0</v>
      </c>
      <c r="AN121" s="17">
        <f t="shared" si="10"/>
        <v>0</v>
      </c>
      <c r="AO121" s="17">
        <f t="shared" si="11"/>
        <v>0</v>
      </c>
      <c r="AP121" s="17">
        <f t="shared" si="12"/>
        <v>0</v>
      </c>
      <c r="AQ121" s="17">
        <f t="shared" si="13"/>
        <v>0</v>
      </c>
      <c r="AR121" s="17">
        <f t="shared" si="14"/>
        <v>0</v>
      </c>
    </row>
    <row r="122" spans="1:44" ht="12.75" customHeight="1">
      <c r="A122" s="69">
        <f t="shared" si="0"/>
        <v>0</v>
      </c>
      <c r="B122" s="69">
        <f t="shared" si="1"/>
        <v>0</v>
      </c>
      <c r="C122" s="147">
        <f t="shared" si="2"/>
        <v>0</v>
      </c>
      <c r="D122" s="69">
        <f t="shared" si="3"/>
        <v>99999</v>
      </c>
      <c r="E122" s="69">
        <f t="shared" si="4"/>
        <v>9999</v>
      </c>
      <c r="F122" s="98" t="str">
        <f t="shared" ca="1" si="5"/>
        <v>00000000000000000000250391</v>
      </c>
      <c r="G122" s="139" t="b">
        <f t="shared" si="6"/>
        <v>1</v>
      </c>
      <c r="H122" s="140">
        <f t="shared" si="7"/>
        <v>112</v>
      </c>
      <c r="I122" s="130" t="s">
        <v>1750</v>
      </c>
      <c r="J122" s="141" t="s">
        <v>1690</v>
      </c>
      <c r="K122" s="17" t="s">
        <v>1690</v>
      </c>
      <c r="L122" s="17" t="s">
        <v>1690</v>
      </c>
      <c r="M122" s="17">
        <v>9999</v>
      </c>
      <c r="N122" s="142">
        <v>0</v>
      </c>
      <c r="O122" s="130" t="s">
        <v>1750</v>
      </c>
      <c r="P122" s="141" t="s">
        <v>1690</v>
      </c>
      <c r="Q122" s="17" t="s">
        <v>1690</v>
      </c>
      <c r="R122" s="17" t="s">
        <v>1690</v>
      </c>
      <c r="S122" s="17">
        <v>9999</v>
      </c>
      <c r="T122" s="142">
        <v>0</v>
      </c>
      <c r="U122" s="130" t="s">
        <v>1750</v>
      </c>
      <c r="V122" s="141" t="s">
        <v>1690</v>
      </c>
      <c r="W122" s="17" t="s">
        <v>1690</v>
      </c>
      <c r="X122" s="17" t="s">
        <v>1690</v>
      </c>
      <c r="Y122" s="17">
        <v>9999</v>
      </c>
      <c r="Z122" s="142">
        <v>0</v>
      </c>
      <c r="AA122" s="130" t="s">
        <v>1750</v>
      </c>
      <c r="AB122" s="141" t="s">
        <v>1690</v>
      </c>
      <c r="AC122" s="17" t="s">
        <v>1690</v>
      </c>
      <c r="AD122" s="17" t="s">
        <v>1690</v>
      </c>
      <c r="AE122" s="17">
        <v>9999</v>
      </c>
      <c r="AF122" s="142">
        <v>0</v>
      </c>
      <c r="AG122" s="130"/>
      <c r="AH122" s="143">
        <f>IF(TYPE(VLOOKUP(H122,Nasazení!$A$3:$E$130,5,0))&lt;4,VLOOKUP(H122,Nasazení!$A$3:$E$130,5,0),0)</f>
        <v>0</v>
      </c>
      <c r="AI122" s="144" t="str">
        <f>IF(N($AH122)&gt;0,VLOOKUP($AH122,Body!$A$4:$F$259,5,0),"")</f>
        <v/>
      </c>
      <c r="AJ122" s="145" t="str">
        <f>IF(N($AH122)&gt;0,VLOOKUP($AH122,Body!$A$4:$F$259,6,0),"")</f>
        <v/>
      </c>
      <c r="AK122" s="144" t="str">
        <f>IF(N($AH122)&gt;0,VLOOKUP($AH122,Body!$A$4:$F$259,2,0),"")</f>
        <v/>
      </c>
      <c r="AL122" s="146" t="str">
        <f t="shared" si="8"/>
        <v/>
      </c>
      <c r="AM122" s="142">
        <f t="shared" si="9"/>
        <v>0</v>
      </c>
      <c r="AN122" s="17">
        <f t="shared" si="10"/>
        <v>0</v>
      </c>
      <c r="AO122" s="17">
        <f t="shared" si="11"/>
        <v>0</v>
      </c>
      <c r="AP122" s="17">
        <f t="shared" si="12"/>
        <v>0</v>
      </c>
      <c r="AQ122" s="17">
        <f t="shared" si="13"/>
        <v>0</v>
      </c>
      <c r="AR122" s="17">
        <f t="shared" si="14"/>
        <v>0</v>
      </c>
    </row>
    <row r="123" spans="1:44" ht="12.75" customHeight="1">
      <c r="A123" s="69">
        <f t="shared" si="0"/>
        <v>0</v>
      </c>
      <c r="B123" s="69">
        <f t="shared" si="1"/>
        <v>0</v>
      </c>
      <c r="C123" s="147">
        <f t="shared" si="2"/>
        <v>0</v>
      </c>
      <c r="D123" s="69">
        <f t="shared" si="3"/>
        <v>99999</v>
      </c>
      <c r="E123" s="69">
        <f t="shared" si="4"/>
        <v>9999</v>
      </c>
      <c r="F123" s="98" t="str">
        <f t="shared" ca="1" si="5"/>
        <v>00000000000000000000911705</v>
      </c>
      <c r="G123" s="139" t="b">
        <f t="shared" si="6"/>
        <v>1</v>
      </c>
      <c r="H123" s="140">
        <f t="shared" si="7"/>
        <v>113</v>
      </c>
      <c r="I123" s="130" t="s">
        <v>1750</v>
      </c>
      <c r="J123" s="141" t="s">
        <v>1690</v>
      </c>
      <c r="K123" s="17" t="s">
        <v>1690</v>
      </c>
      <c r="L123" s="17" t="s">
        <v>1690</v>
      </c>
      <c r="M123" s="17">
        <v>9999</v>
      </c>
      <c r="N123" s="142">
        <v>0</v>
      </c>
      <c r="O123" s="130" t="s">
        <v>1750</v>
      </c>
      <c r="P123" s="141" t="s">
        <v>1690</v>
      </c>
      <c r="Q123" s="17" t="s">
        <v>1690</v>
      </c>
      <c r="R123" s="17" t="s">
        <v>1690</v>
      </c>
      <c r="S123" s="17">
        <v>9999</v>
      </c>
      <c r="T123" s="142">
        <v>0</v>
      </c>
      <c r="U123" s="130" t="s">
        <v>1750</v>
      </c>
      <c r="V123" s="141" t="s">
        <v>1690</v>
      </c>
      <c r="W123" s="17" t="s">
        <v>1690</v>
      </c>
      <c r="X123" s="17" t="s">
        <v>1690</v>
      </c>
      <c r="Y123" s="17">
        <v>9999</v>
      </c>
      <c r="Z123" s="142">
        <v>0</v>
      </c>
      <c r="AA123" s="130" t="s">
        <v>1750</v>
      </c>
      <c r="AB123" s="141" t="s">
        <v>1690</v>
      </c>
      <c r="AC123" s="17" t="s">
        <v>1690</v>
      </c>
      <c r="AD123" s="17" t="s">
        <v>1690</v>
      </c>
      <c r="AE123" s="17">
        <v>9999</v>
      </c>
      <c r="AF123" s="142">
        <v>0</v>
      </c>
      <c r="AG123" s="130"/>
      <c r="AH123" s="143">
        <f>IF(TYPE(VLOOKUP(H123,Nasazení!$A$3:$E$130,5,0))&lt;4,VLOOKUP(H123,Nasazení!$A$3:$E$130,5,0),0)</f>
        <v>0</v>
      </c>
      <c r="AI123" s="144" t="str">
        <f>IF(N($AH123)&gt;0,VLOOKUP($AH123,Body!$A$4:$F$259,5,0),"")</f>
        <v/>
      </c>
      <c r="AJ123" s="145" t="str">
        <f>IF(N($AH123)&gt;0,VLOOKUP($AH123,Body!$A$4:$F$259,6,0),"")</f>
        <v/>
      </c>
      <c r="AK123" s="144" t="str">
        <f>IF(N($AH123)&gt;0,VLOOKUP($AH123,Body!$A$4:$F$259,2,0),"")</f>
        <v/>
      </c>
      <c r="AL123" s="146" t="str">
        <f t="shared" si="8"/>
        <v/>
      </c>
      <c r="AM123" s="142">
        <f t="shared" si="9"/>
        <v>0</v>
      </c>
      <c r="AN123" s="17">
        <f t="shared" si="10"/>
        <v>0</v>
      </c>
      <c r="AO123" s="17">
        <f t="shared" si="11"/>
        <v>0</v>
      </c>
      <c r="AP123" s="17">
        <f t="shared" si="12"/>
        <v>0</v>
      </c>
      <c r="AQ123" s="17">
        <f t="shared" si="13"/>
        <v>0</v>
      </c>
      <c r="AR123" s="17">
        <f t="shared" si="14"/>
        <v>0</v>
      </c>
    </row>
    <row r="124" spans="1:44" ht="12.75" customHeight="1">
      <c r="A124" s="69">
        <f t="shared" si="0"/>
        <v>0</v>
      </c>
      <c r="B124" s="69">
        <f t="shared" si="1"/>
        <v>0</v>
      </c>
      <c r="C124" s="147">
        <f t="shared" si="2"/>
        <v>0</v>
      </c>
      <c r="D124" s="69">
        <f t="shared" si="3"/>
        <v>99999</v>
      </c>
      <c r="E124" s="69">
        <f t="shared" si="4"/>
        <v>9999</v>
      </c>
      <c r="F124" s="98" t="str">
        <f t="shared" ca="1" si="5"/>
        <v>00000000000000000000362707</v>
      </c>
      <c r="G124" s="139" t="b">
        <f t="shared" si="6"/>
        <v>1</v>
      </c>
      <c r="H124" s="140">
        <f t="shared" si="7"/>
        <v>114</v>
      </c>
      <c r="I124" s="130" t="s">
        <v>1750</v>
      </c>
      <c r="J124" s="141" t="s">
        <v>1690</v>
      </c>
      <c r="K124" s="17" t="s">
        <v>1690</v>
      </c>
      <c r="L124" s="17" t="s">
        <v>1690</v>
      </c>
      <c r="M124" s="17">
        <v>9999</v>
      </c>
      <c r="N124" s="142">
        <v>0</v>
      </c>
      <c r="O124" s="130" t="s">
        <v>1750</v>
      </c>
      <c r="P124" s="141" t="s">
        <v>1690</v>
      </c>
      <c r="Q124" s="17" t="s">
        <v>1690</v>
      </c>
      <c r="R124" s="17" t="s">
        <v>1690</v>
      </c>
      <c r="S124" s="17">
        <v>9999</v>
      </c>
      <c r="T124" s="142">
        <v>0</v>
      </c>
      <c r="U124" s="130" t="s">
        <v>1750</v>
      </c>
      <c r="V124" s="141" t="s">
        <v>1690</v>
      </c>
      <c r="W124" s="17" t="s">
        <v>1690</v>
      </c>
      <c r="X124" s="17" t="s">
        <v>1690</v>
      </c>
      <c r="Y124" s="17">
        <v>9999</v>
      </c>
      <c r="Z124" s="142">
        <v>0</v>
      </c>
      <c r="AA124" s="130" t="s">
        <v>1750</v>
      </c>
      <c r="AB124" s="141" t="s">
        <v>1690</v>
      </c>
      <c r="AC124" s="17" t="s">
        <v>1690</v>
      </c>
      <c r="AD124" s="17" t="s">
        <v>1690</v>
      </c>
      <c r="AE124" s="17">
        <v>9999</v>
      </c>
      <c r="AF124" s="142">
        <v>0</v>
      </c>
      <c r="AG124" s="130"/>
      <c r="AH124" s="143">
        <f>IF(TYPE(VLOOKUP(H124,Nasazení!$A$3:$E$130,5,0))&lt;4,VLOOKUP(H124,Nasazení!$A$3:$E$130,5,0),0)</f>
        <v>0</v>
      </c>
      <c r="AI124" s="144" t="str">
        <f>IF(N($AH124)&gt;0,VLOOKUP($AH124,Body!$A$4:$F$259,5,0),"")</f>
        <v/>
      </c>
      <c r="AJ124" s="145" t="str">
        <f>IF(N($AH124)&gt;0,VLOOKUP($AH124,Body!$A$4:$F$259,6,0),"")</f>
        <v/>
      </c>
      <c r="AK124" s="144" t="str">
        <f>IF(N($AH124)&gt;0,VLOOKUP($AH124,Body!$A$4:$F$259,2,0),"")</f>
        <v/>
      </c>
      <c r="AL124" s="146" t="str">
        <f t="shared" si="8"/>
        <v/>
      </c>
      <c r="AM124" s="142">
        <f t="shared" si="9"/>
        <v>0</v>
      </c>
      <c r="AN124" s="17">
        <f t="shared" si="10"/>
        <v>0</v>
      </c>
      <c r="AO124" s="17">
        <f t="shared" si="11"/>
        <v>0</v>
      </c>
      <c r="AP124" s="17">
        <f t="shared" si="12"/>
        <v>0</v>
      </c>
      <c r="AQ124" s="17">
        <f t="shared" si="13"/>
        <v>0</v>
      </c>
      <c r="AR124" s="17">
        <f t="shared" si="14"/>
        <v>0</v>
      </c>
    </row>
    <row r="125" spans="1:44" ht="12.75" customHeight="1">
      <c r="A125" s="69">
        <f t="shared" si="0"/>
        <v>0</v>
      </c>
      <c r="B125" s="69">
        <f t="shared" si="1"/>
        <v>0</v>
      </c>
      <c r="C125" s="147">
        <f t="shared" si="2"/>
        <v>0</v>
      </c>
      <c r="D125" s="69">
        <f t="shared" si="3"/>
        <v>99999</v>
      </c>
      <c r="E125" s="69">
        <f t="shared" si="4"/>
        <v>9999</v>
      </c>
      <c r="F125" s="98" t="str">
        <f t="shared" ca="1" si="5"/>
        <v>00000000000000000000581567</v>
      </c>
      <c r="G125" s="139" t="b">
        <f t="shared" si="6"/>
        <v>1</v>
      </c>
      <c r="H125" s="140">
        <f t="shared" si="7"/>
        <v>115</v>
      </c>
      <c r="I125" s="130" t="s">
        <v>1750</v>
      </c>
      <c r="J125" s="141" t="s">
        <v>1690</v>
      </c>
      <c r="K125" s="17" t="s">
        <v>1690</v>
      </c>
      <c r="L125" s="17" t="s">
        <v>1690</v>
      </c>
      <c r="M125" s="17">
        <v>9999</v>
      </c>
      <c r="N125" s="142">
        <v>0</v>
      </c>
      <c r="O125" s="130" t="s">
        <v>1750</v>
      </c>
      <c r="P125" s="141" t="s">
        <v>1690</v>
      </c>
      <c r="Q125" s="17" t="s">
        <v>1690</v>
      </c>
      <c r="R125" s="17" t="s">
        <v>1690</v>
      </c>
      <c r="S125" s="17">
        <v>9999</v>
      </c>
      <c r="T125" s="142">
        <v>0</v>
      </c>
      <c r="U125" s="130" t="s">
        <v>1750</v>
      </c>
      <c r="V125" s="141" t="s">
        <v>1690</v>
      </c>
      <c r="W125" s="17" t="s">
        <v>1690</v>
      </c>
      <c r="X125" s="17" t="s">
        <v>1690</v>
      </c>
      <c r="Y125" s="17">
        <v>9999</v>
      </c>
      <c r="Z125" s="142">
        <v>0</v>
      </c>
      <c r="AA125" s="130" t="s">
        <v>1750</v>
      </c>
      <c r="AB125" s="141" t="s">
        <v>1690</v>
      </c>
      <c r="AC125" s="17" t="s">
        <v>1690</v>
      </c>
      <c r="AD125" s="17" t="s">
        <v>1690</v>
      </c>
      <c r="AE125" s="17">
        <v>9999</v>
      </c>
      <c r="AF125" s="142">
        <v>0</v>
      </c>
      <c r="AG125" s="130"/>
      <c r="AH125" s="143">
        <f>IF(TYPE(VLOOKUP(H125,Nasazení!$A$3:$E$130,5,0))&lt;4,VLOOKUP(H125,Nasazení!$A$3:$E$130,5,0),0)</f>
        <v>0</v>
      </c>
      <c r="AI125" s="144" t="str">
        <f>IF(N($AH125)&gt;0,VLOOKUP($AH125,Body!$A$4:$F$259,5,0),"")</f>
        <v/>
      </c>
      <c r="AJ125" s="145" t="str">
        <f>IF(N($AH125)&gt;0,VLOOKUP($AH125,Body!$A$4:$F$259,6,0),"")</f>
        <v/>
      </c>
      <c r="AK125" s="144" t="str">
        <f>IF(N($AH125)&gt;0,VLOOKUP($AH125,Body!$A$4:$F$259,2,0),"")</f>
        <v/>
      </c>
      <c r="AL125" s="146" t="str">
        <f t="shared" si="8"/>
        <v/>
      </c>
      <c r="AM125" s="142">
        <f t="shared" si="9"/>
        <v>0</v>
      </c>
      <c r="AN125" s="17">
        <f t="shared" si="10"/>
        <v>0</v>
      </c>
      <c r="AO125" s="17">
        <f t="shared" si="11"/>
        <v>0</v>
      </c>
      <c r="AP125" s="17">
        <f t="shared" si="12"/>
        <v>0</v>
      </c>
      <c r="AQ125" s="17">
        <f t="shared" si="13"/>
        <v>0</v>
      </c>
      <c r="AR125" s="17">
        <f t="shared" si="14"/>
        <v>0</v>
      </c>
    </row>
    <row r="126" spans="1:44" ht="12.75" customHeight="1">
      <c r="A126" s="69">
        <f t="shared" si="0"/>
        <v>0</v>
      </c>
      <c r="B126" s="69">
        <f t="shared" si="1"/>
        <v>0</v>
      </c>
      <c r="C126" s="147">
        <f t="shared" si="2"/>
        <v>0</v>
      </c>
      <c r="D126" s="69">
        <f t="shared" si="3"/>
        <v>99999</v>
      </c>
      <c r="E126" s="69">
        <f t="shared" si="4"/>
        <v>9999</v>
      </c>
      <c r="F126" s="98" t="str">
        <f t="shared" ca="1" si="5"/>
        <v>00000000000000000000406020</v>
      </c>
      <c r="G126" s="139" t="b">
        <f t="shared" si="6"/>
        <v>1</v>
      </c>
      <c r="H126" s="140">
        <f t="shared" si="7"/>
        <v>116</v>
      </c>
      <c r="I126" s="130" t="s">
        <v>1750</v>
      </c>
      <c r="J126" s="141" t="s">
        <v>1690</v>
      </c>
      <c r="K126" s="17" t="s">
        <v>1690</v>
      </c>
      <c r="L126" s="17" t="s">
        <v>1690</v>
      </c>
      <c r="M126" s="17">
        <v>9999</v>
      </c>
      <c r="N126" s="142">
        <v>0</v>
      </c>
      <c r="O126" s="130" t="s">
        <v>1750</v>
      </c>
      <c r="P126" s="141" t="s">
        <v>1690</v>
      </c>
      <c r="Q126" s="17" t="s">
        <v>1690</v>
      </c>
      <c r="R126" s="17" t="s">
        <v>1690</v>
      </c>
      <c r="S126" s="17">
        <v>9999</v>
      </c>
      <c r="T126" s="142">
        <v>0</v>
      </c>
      <c r="U126" s="130" t="s">
        <v>1750</v>
      </c>
      <c r="V126" s="141" t="s">
        <v>1690</v>
      </c>
      <c r="W126" s="17" t="s">
        <v>1690</v>
      </c>
      <c r="X126" s="17" t="s">
        <v>1690</v>
      </c>
      <c r="Y126" s="17">
        <v>9999</v>
      </c>
      <c r="Z126" s="142">
        <v>0</v>
      </c>
      <c r="AA126" s="130" t="s">
        <v>1750</v>
      </c>
      <c r="AB126" s="141" t="s">
        <v>1690</v>
      </c>
      <c r="AC126" s="17" t="s">
        <v>1690</v>
      </c>
      <c r="AD126" s="17" t="s">
        <v>1690</v>
      </c>
      <c r="AE126" s="17">
        <v>9999</v>
      </c>
      <c r="AF126" s="142">
        <v>0</v>
      </c>
      <c r="AG126" s="130"/>
      <c r="AH126" s="143">
        <f>IF(TYPE(VLOOKUP(H126,Nasazení!$A$3:$E$130,5,0))&lt;4,VLOOKUP(H126,Nasazení!$A$3:$E$130,5,0),0)</f>
        <v>0</v>
      </c>
      <c r="AI126" s="144" t="str">
        <f>IF(N($AH126)&gt;0,VLOOKUP($AH126,Body!$A$4:$F$259,5,0),"")</f>
        <v/>
      </c>
      <c r="AJ126" s="145" t="str">
        <f>IF(N($AH126)&gt;0,VLOOKUP($AH126,Body!$A$4:$F$259,6,0),"")</f>
        <v/>
      </c>
      <c r="AK126" s="144" t="str">
        <f>IF(N($AH126)&gt;0,VLOOKUP($AH126,Body!$A$4:$F$259,2,0),"")</f>
        <v/>
      </c>
      <c r="AL126" s="146" t="str">
        <f t="shared" si="8"/>
        <v/>
      </c>
      <c r="AM126" s="142">
        <f t="shared" si="9"/>
        <v>0</v>
      </c>
      <c r="AN126" s="17">
        <f t="shared" si="10"/>
        <v>0</v>
      </c>
      <c r="AO126" s="17">
        <f t="shared" si="11"/>
        <v>0</v>
      </c>
      <c r="AP126" s="17">
        <f t="shared" si="12"/>
        <v>0</v>
      </c>
      <c r="AQ126" s="17">
        <f t="shared" si="13"/>
        <v>0</v>
      </c>
      <c r="AR126" s="17">
        <f t="shared" si="14"/>
        <v>0</v>
      </c>
    </row>
    <row r="127" spans="1:44" ht="12.75" customHeight="1">
      <c r="A127" s="69">
        <f t="shared" si="0"/>
        <v>0</v>
      </c>
      <c r="B127" s="69">
        <f t="shared" si="1"/>
        <v>0</v>
      </c>
      <c r="C127" s="147">
        <f t="shared" si="2"/>
        <v>0</v>
      </c>
      <c r="D127" s="69">
        <f t="shared" si="3"/>
        <v>99999</v>
      </c>
      <c r="E127" s="69">
        <f t="shared" si="4"/>
        <v>9999</v>
      </c>
      <c r="F127" s="98" t="str">
        <f t="shared" ca="1" si="5"/>
        <v>00000000000000000000581898</v>
      </c>
      <c r="G127" s="139" t="b">
        <f t="shared" si="6"/>
        <v>1</v>
      </c>
      <c r="H127" s="140">
        <f t="shared" si="7"/>
        <v>117</v>
      </c>
      <c r="I127" s="130" t="s">
        <v>1750</v>
      </c>
      <c r="J127" s="141" t="s">
        <v>1690</v>
      </c>
      <c r="K127" s="17" t="s">
        <v>1690</v>
      </c>
      <c r="L127" s="17" t="s">
        <v>1690</v>
      </c>
      <c r="M127" s="17">
        <v>9999</v>
      </c>
      <c r="N127" s="142">
        <v>0</v>
      </c>
      <c r="O127" s="130" t="s">
        <v>1750</v>
      </c>
      <c r="P127" s="141" t="s">
        <v>1690</v>
      </c>
      <c r="Q127" s="17" t="s">
        <v>1690</v>
      </c>
      <c r="R127" s="17" t="s">
        <v>1690</v>
      </c>
      <c r="S127" s="17">
        <v>9999</v>
      </c>
      <c r="T127" s="142">
        <v>0</v>
      </c>
      <c r="U127" s="130" t="s">
        <v>1750</v>
      </c>
      <c r="V127" s="141" t="s">
        <v>1690</v>
      </c>
      <c r="W127" s="17" t="s">
        <v>1690</v>
      </c>
      <c r="X127" s="17" t="s">
        <v>1690</v>
      </c>
      <c r="Y127" s="17">
        <v>9999</v>
      </c>
      <c r="Z127" s="142">
        <v>0</v>
      </c>
      <c r="AA127" s="130" t="s">
        <v>1750</v>
      </c>
      <c r="AB127" s="141" t="s">
        <v>1690</v>
      </c>
      <c r="AC127" s="17" t="s">
        <v>1690</v>
      </c>
      <c r="AD127" s="17" t="s">
        <v>1690</v>
      </c>
      <c r="AE127" s="17">
        <v>9999</v>
      </c>
      <c r="AF127" s="142">
        <v>0</v>
      </c>
      <c r="AG127" s="130"/>
      <c r="AH127" s="143">
        <f>IF(TYPE(VLOOKUP(H127,Nasazení!$A$3:$E$130,5,0))&lt;4,VLOOKUP(H127,Nasazení!$A$3:$E$130,5,0),0)</f>
        <v>0</v>
      </c>
      <c r="AI127" s="144" t="str">
        <f>IF(N($AH127)&gt;0,VLOOKUP($AH127,Body!$A$4:$F$259,5,0),"")</f>
        <v/>
      </c>
      <c r="AJ127" s="145" t="str">
        <f>IF(N($AH127)&gt;0,VLOOKUP($AH127,Body!$A$4:$F$259,6,0),"")</f>
        <v/>
      </c>
      <c r="AK127" s="144" t="str">
        <f>IF(N($AH127)&gt;0,VLOOKUP($AH127,Body!$A$4:$F$259,2,0),"")</f>
        <v/>
      </c>
      <c r="AL127" s="146" t="str">
        <f t="shared" si="8"/>
        <v/>
      </c>
      <c r="AM127" s="142">
        <f t="shared" si="9"/>
        <v>0</v>
      </c>
      <c r="AN127" s="17">
        <f t="shared" si="10"/>
        <v>0</v>
      </c>
      <c r="AO127" s="17">
        <f t="shared" si="11"/>
        <v>0</v>
      </c>
      <c r="AP127" s="17">
        <f t="shared" si="12"/>
        <v>0</v>
      </c>
      <c r="AQ127" s="17">
        <f t="shared" si="13"/>
        <v>0</v>
      </c>
      <c r="AR127" s="17">
        <f t="shared" si="14"/>
        <v>0</v>
      </c>
    </row>
    <row r="128" spans="1:44" ht="12.75" customHeight="1">
      <c r="A128" s="69">
        <f t="shared" si="0"/>
        <v>0</v>
      </c>
      <c r="B128" s="69">
        <f t="shared" si="1"/>
        <v>0</v>
      </c>
      <c r="C128" s="147">
        <f t="shared" si="2"/>
        <v>0</v>
      </c>
      <c r="D128" s="69">
        <f t="shared" si="3"/>
        <v>99999</v>
      </c>
      <c r="E128" s="69">
        <f t="shared" si="4"/>
        <v>9999</v>
      </c>
      <c r="F128" s="98" t="str">
        <f t="shared" ca="1" si="5"/>
        <v>00000000000000000000968525</v>
      </c>
      <c r="G128" s="139" t="b">
        <f t="shared" si="6"/>
        <v>1</v>
      </c>
      <c r="H128" s="140">
        <f t="shared" si="7"/>
        <v>118</v>
      </c>
      <c r="I128" s="130" t="s">
        <v>1750</v>
      </c>
      <c r="J128" s="141" t="s">
        <v>1690</v>
      </c>
      <c r="K128" s="17" t="s">
        <v>1690</v>
      </c>
      <c r="L128" s="17" t="s">
        <v>1690</v>
      </c>
      <c r="M128" s="17">
        <v>9999</v>
      </c>
      <c r="N128" s="142">
        <v>0</v>
      </c>
      <c r="O128" s="130" t="s">
        <v>1750</v>
      </c>
      <c r="P128" s="141" t="s">
        <v>1690</v>
      </c>
      <c r="Q128" s="17" t="s">
        <v>1690</v>
      </c>
      <c r="R128" s="17" t="s">
        <v>1690</v>
      </c>
      <c r="S128" s="17">
        <v>9999</v>
      </c>
      <c r="T128" s="142">
        <v>0</v>
      </c>
      <c r="U128" s="130" t="s">
        <v>1750</v>
      </c>
      <c r="V128" s="141" t="s">
        <v>1690</v>
      </c>
      <c r="W128" s="17" t="s">
        <v>1690</v>
      </c>
      <c r="X128" s="17" t="s">
        <v>1690</v>
      </c>
      <c r="Y128" s="17">
        <v>9999</v>
      </c>
      <c r="Z128" s="142">
        <v>0</v>
      </c>
      <c r="AA128" s="130" t="s">
        <v>1750</v>
      </c>
      <c r="AB128" s="141" t="s">
        <v>1690</v>
      </c>
      <c r="AC128" s="17" t="s">
        <v>1690</v>
      </c>
      <c r="AD128" s="17" t="s">
        <v>1690</v>
      </c>
      <c r="AE128" s="17">
        <v>9999</v>
      </c>
      <c r="AF128" s="142">
        <v>0</v>
      </c>
      <c r="AG128" s="130"/>
      <c r="AH128" s="143">
        <f>IF(TYPE(VLOOKUP(H128,Nasazení!$A$3:$E$130,5,0))&lt;4,VLOOKUP(H128,Nasazení!$A$3:$E$130,5,0),0)</f>
        <v>0</v>
      </c>
      <c r="AI128" s="144" t="str">
        <f>IF(N($AH128)&gt;0,VLOOKUP($AH128,Body!$A$4:$F$259,5,0),"")</f>
        <v/>
      </c>
      <c r="AJ128" s="145" t="str">
        <f>IF(N($AH128)&gt;0,VLOOKUP($AH128,Body!$A$4:$F$259,6,0),"")</f>
        <v/>
      </c>
      <c r="AK128" s="144" t="str">
        <f>IF(N($AH128)&gt;0,VLOOKUP($AH128,Body!$A$4:$F$259,2,0),"")</f>
        <v/>
      </c>
      <c r="AL128" s="146" t="str">
        <f t="shared" si="8"/>
        <v/>
      </c>
      <c r="AM128" s="142">
        <f t="shared" si="9"/>
        <v>0</v>
      </c>
      <c r="AN128" s="17">
        <f t="shared" si="10"/>
        <v>0</v>
      </c>
      <c r="AO128" s="17">
        <f t="shared" si="11"/>
        <v>0</v>
      </c>
      <c r="AP128" s="17">
        <f t="shared" si="12"/>
        <v>0</v>
      </c>
      <c r="AQ128" s="17">
        <f t="shared" si="13"/>
        <v>0</v>
      </c>
      <c r="AR128" s="17">
        <f t="shared" si="14"/>
        <v>0</v>
      </c>
    </row>
    <row r="129" spans="1:44" ht="12.75" customHeight="1">
      <c r="A129" s="69">
        <f t="shared" si="0"/>
        <v>0</v>
      </c>
      <c r="B129" s="69">
        <f t="shared" si="1"/>
        <v>0</v>
      </c>
      <c r="C129" s="147">
        <f t="shared" si="2"/>
        <v>0</v>
      </c>
      <c r="D129" s="69">
        <f t="shared" si="3"/>
        <v>99999</v>
      </c>
      <c r="E129" s="69">
        <f t="shared" si="4"/>
        <v>9999</v>
      </c>
      <c r="F129" s="98" t="str">
        <f t="shared" ca="1" si="5"/>
        <v>00000000000000000000446490</v>
      </c>
      <c r="G129" s="139" t="b">
        <f t="shared" si="6"/>
        <v>1</v>
      </c>
      <c r="H129" s="140">
        <f t="shared" si="7"/>
        <v>119</v>
      </c>
      <c r="I129" s="130" t="s">
        <v>1750</v>
      </c>
      <c r="J129" s="141" t="s">
        <v>1690</v>
      </c>
      <c r="K129" s="17" t="s">
        <v>1690</v>
      </c>
      <c r="L129" s="17" t="s">
        <v>1690</v>
      </c>
      <c r="M129" s="17">
        <v>9999</v>
      </c>
      <c r="N129" s="142">
        <v>0</v>
      </c>
      <c r="O129" s="130" t="s">
        <v>1750</v>
      </c>
      <c r="P129" s="141" t="s">
        <v>1690</v>
      </c>
      <c r="Q129" s="17" t="s">
        <v>1690</v>
      </c>
      <c r="R129" s="17" t="s">
        <v>1690</v>
      </c>
      <c r="S129" s="17">
        <v>9999</v>
      </c>
      <c r="T129" s="142">
        <v>0</v>
      </c>
      <c r="U129" s="130" t="s">
        <v>1750</v>
      </c>
      <c r="V129" s="141" t="s">
        <v>1690</v>
      </c>
      <c r="W129" s="17" t="s">
        <v>1690</v>
      </c>
      <c r="X129" s="17" t="s">
        <v>1690</v>
      </c>
      <c r="Y129" s="17">
        <v>9999</v>
      </c>
      <c r="Z129" s="142">
        <v>0</v>
      </c>
      <c r="AA129" s="130" t="s">
        <v>1750</v>
      </c>
      <c r="AB129" s="141" t="s">
        <v>1690</v>
      </c>
      <c r="AC129" s="17" t="s">
        <v>1690</v>
      </c>
      <c r="AD129" s="17" t="s">
        <v>1690</v>
      </c>
      <c r="AE129" s="17">
        <v>9999</v>
      </c>
      <c r="AF129" s="142">
        <v>0</v>
      </c>
      <c r="AG129" s="130"/>
      <c r="AH129" s="143">
        <f>IF(TYPE(VLOOKUP(H129,Nasazení!$A$3:$E$130,5,0))&lt;4,VLOOKUP(H129,Nasazení!$A$3:$E$130,5,0),0)</f>
        <v>0</v>
      </c>
      <c r="AI129" s="144" t="str">
        <f>IF(N($AH129)&gt;0,VLOOKUP($AH129,Body!$A$4:$F$259,5,0),"")</f>
        <v/>
      </c>
      <c r="AJ129" s="145" t="str">
        <f>IF(N($AH129)&gt;0,VLOOKUP($AH129,Body!$A$4:$F$259,6,0),"")</f>
        <v/>
      </c>
      <c r="AK129" s="144" t="str">
        <f>IF(N($AH129)&gt;0,VLOOKUP($AH129,Body!$A$4:$F$259,2,0),"")</f>
        <v/>
      </c>
      <c r="AL129" s="146" t="str">
        <f t="shared" si="8"/>
        <v/>
      </c>
      <c r="AM129" s="142">
        <f t="shared" si="9"/>
        <v>0</v>
      </c>
      <c r="AN129" s="17">
        <f t="shared" si="10"/>
        <v>0</v>
      </c>
      <c r="AO129" s="17">
        <f t="shared" si="11"/>
        <v>0</v>
      </c>
      <c r="AP129" s="17">
        <f t="shared" si="12"/>
        <v>0</v>
      </c>
      <c r="AQ129" s="17">
        <f t="shared" si="13"/>
        <v>0</v>
      </c>
      <c r="AR129" s="17">
        <f t="shared" si="14"/>
        <v>0</v>
      </c>
    </row>
    <row r="130" spans="1:44" ht="12.75" customHeight="1">
      <c r="A130" s="69">
        <f t="shared" si="0"/>
        <v>0</v>
      </c>
      <c r="B130" s="69">
        <f t="shared" si="1"/>
        <v>0</v>
      </c>
      <c r="C130" s="147">
        <f t="shared" si="2"/>
        <v>0</v>
      </c>
      <c r="D130" s="69">
        <f t="shared" si="3"/>
        <v>99999</v>
      </c>
      <c r="E130" s="69">
        <f t="shared" si="4"/>
        <v>9999</v>
      </c>
      <c r="F130" s="98" t="str">
        <f t="shared" ca="1" si="5"/>
        <v>00000000000000000000742600</v>
      </c>
      <c r="G130" s="139" t="b">
        <f t="shared" si="6"/>
        <v>1</v>
      </c>
      <c r="H130" s="140">
        <f t="shared" si="7"/>
        <v>120</v>
      </c>
      <c r="I130" s="130" t="s">
        <v>1750</v>
      </c>
      <c r="J130" s="141" t="s">
        <v>1690</v>
      </c>
      <c r="K130" s="17" t="s">
        <v>1690</v>
      </c>
      <c r="L130" s="17" t="s">
        <v>1690</v>
      </c>
      <c r="M130" s="17">
        <v>9999</v>
      </c>
      <c r="N130" s="142">
        <v>0</v>
      </c>
      <c r="O130" s="130" t="s">
        <v>1750</v>
      </c>
      <c r="P130" s="141" t="s">
        <v>1690</v>
      </c>
      <c r="Q130" s="17" t="s">
        <v>1690</v>
      </c>
      <c r="R130" s="17" t="s">
        <v>1690</v>
      </c>
      <c r="S130" s="17">
        <v>9999</v>
      </c>
      <c r="T130" s="142">
        <v>0</v>
      </c>
      <c r="U130" s="130" t="s">
        <v>1750</v>
      </c>
      <c r="V130" s="141" t="s">
        <v>1690</v>
      </c>
      <c r="W130" s="17" t="s">
        <v>1690</v>
      </c>
      <c r="X130" s="17" t="s">
        <v>1690</v>
      </c>
      <c r="Y130" s="17">
        <v>9999</v>
      </c>
      <c r="Z130" s="142">
        <v>0</v>
      </c>
      <c r="AA130" s="130" t="s">
        <v>1750</v>
      </c>
      <c r="AB130" s="141" t="s">
        <v>1690</v>
      </c>
      <c r="AC130" s="17" t="s">
        <v>1690</v>
      </c>
      <c r="AD130" s="17" t="s">
        <v>1690</v>
      </c>
      <c r="AE130" s="17">
        <v>9999</v>
      </c>
      <c r="AF130" s="142">
        <v>0</v>
      </c>
      <c r="AG130" s="130"/>
      <c r="AH130" s="143">
        <f>IF(TYPE(VLOOKUP(H130,Nasazení!$A$3:$E$130,5,0))&lt;4,VLOOKUP(H130,Nasazení!$A$3:$E$130,5,0),0)</f>
        <v>0</v>
      </c>
      <c r="AI130" s="144" t="str">
        <f>IF(N($AH130)&gt;0,VLOOKUP($AH130,Body!$A$4:$F$259,5,0),"")</f>
        <v/>
      </c>
      <c r="AJ130" s="145" t="str">
        <f>IF(N($AH130)&gt;0,VLOOKUP($AH130,Body!$A$4:$F$259,6,0),"")</f>
        <v/>
      </c>
      <c r="AK130" s="144" t="str">
        <f>IF(N($AH130)&gt;0,VLOOKUP($AH130,Body!$A$4:$F$259,2,0),"")</f>
        <v/>
      </c>
      <c r="AL130" s="146" t="str">
        <f t="shared" si="8"/>
        <v/>
      </c>
      <c r="AM130" s="142">
        <f t="shared" si="9"/>
        <v>0</v>
      </c>
      <c r="AN130" s="17">
        <f t="shared" si="10"/>
        <v>0</v>
      </c>
      <c r="AO130" s="17">
        <f t="shared" si="11"/>
        <v>0</v>
      </c>
      <c r="AP130" s="17">
        <f t="shared" si="12"/>
        <v>0</v>
      </c>
      <c r="AQ130" s="17">
        <f t="shared" si="13"/>
        <v>0</v>
      </c>
      <c r="AR130" s="17">
        <f t="shared" si="14"/>
        <v>0</v>
      </c>
    </row>
    <row r="131" spans="1:44" ht="12.75" customHeight="1">
      <c r="A131" s="69">
        <f t="shared" si="0"/>
        <v>0</v>
      </c>
      <c r="B131" s="69">
        <f t="shared" si="1"/>
        <v>0</v>
      </c>
      <c r="C131" s="147">
        <f t="shared" si="2"/>
        <v>0</v>
      </c>
      <c r="D131" s="69">
        <f t="shared" si="3"/>
        <v>99999</v>
      </c>
      <c r="E131" s="69">
        <f t="shared" si="4"/>
        <v>9999</v>
      </c>
      <c r="F131" s="98" t="str">
        <f t="shared" ca="1" si="5"/>
        <v>00000000000000000000064116</v>
      </c>
      <c r="G131" s="139" t="b">
        <f t="shared" si="6"/>
        <v>1</v>
      </c>
      <c r="H131" s="140">
        <f t="shared" si="7"/>
        <v>121</v>
      </c>
      <c r="I131" s="130" t="s">
        <v>1750</v>
      </c>
      <c r="J131" s="141" t="s">
        <v>1690</v>
      </c>
      <c r="K131" s="17" t="s">
        <v>1690</v>
      </c>
      <c r="L131" s="17" t="s">
        <v>1690</v>
      </c>
      <c r="M131" s="17">
        <v>9999</v>
      </c>
      <c r="N131" s="142">
        <v>0</v>
      </c>
      <c r="O131" s="130" t="s">
        <v>1750</v>
      </c>
      <c r="P131" s="141" t="s">
        <v>1690</v>
      </c>
      <c r="Q131" s="17" t="s">
        <v>1690</v>
      </c>
      <c r="R131" s="17" t="s">
        <v>1690</v>
      </c>
      <c r="S131" s="17">
        <v>9999</v>
      </c>
      <c r="T131" s="142">
        <v>0</v>
      </c>
      <c r="U131" s="130" t="s">
        <v>1750</v>
      </c>
      <c r="V131" s="141" t="s">
        <v>1690</v>
      </c>
      <c r="W131" s="17" t="s">
        <v>1690</v>
      </c>
      <c r="X131" s="17" t="s">
        <v>1690</v>
      </c>
      <c r="Y131" s="17">
        <v>9999</v>
      </c>
      <c r="Z131" s="142">
        <v>0</v>
      </c>
      <c r="AA131" s="130" t="s">
        <v>1750</v>
      </c>
      <c r="AB131" s="141" t="s">
        <v>1690</v>
      </c>
      <c r="AC131" s="17" t="s">
        <v>1690</v>
      </c>
      <c r="AD131" s="17" t="s">
        <v>1690</v>
      </c>
      <c r="AE131" s="17">
        <v>9999</v>
      </c>
      <c r="AF131" s="142">
        <v>0</v>
      </c>
      <c r="AG131" s="130"/>
      <c r="AH131" s="143">
        <f>IF(TYPE(VLOOKUP(H131,Nasazení!$A$3:$E$130,5,0))&lt;4,VLOOKUP(H131,Nasazení!$A$3:$E$130,5,0),0)</f>
        <v>0</v>
      </c>
      <c r="AI131" s="144" t="str">
        <f>IF(N($AH131)&gt;0,VLOOKUP($AH131,Body!$A$4:$F$259,5,0),"")</f>
        <v/>
      </c>
      <c r="AJ131" s="145" t="str">
        <f>IF(N($AH131)&gt;0,VLOOKUP($AH131,Body!$A$4:$F$259,6,0),"")</f>
        <v/>
      </c>
      <c r="AK131" s="144" t="str">
        <f>IF(N($AH131)&gt;0,VLOOKUP($AH131,Body!$A$4:$F$259,2,0),"")</f>
        <v/>
      </c>
      <c r="AL131" s="146" t="str">
        <f t="shared" si="8"/>
        <v/>
      </c>
      <c r="AM131" s="142">
        <f t="shared" si="9"/>
        <v>0</v>
      </c>
      <c r="AN131" s="17">
        <f t="shared" si="10"/>
        <v>0</v>
      </c>
      <c r="AO131" s="17">
        <f t="shared" si="11"/>
        <v>0</v>
      </c>
      <c r="AP131" s="17">
        <f t="shared" si="12"/>
        <v>0</v>
      </c>
      <c r="AQ131" s="17">
        <f t="shared" si="13"/>
        <v>0</v>
      </c>
      <c r="AR131" s="17">
        <f t="shared" si="14"/>
        <v>0</v>
      </c>
    </row>
    <row r="132" spans="1:44" ht="12.75" customHeight="1">
      <c r="A132" s="69">
        <f t="shared" si="0"/>
        <v>0</v>
      </c>
      <c r="B132" s="69">
        <f t="shared" si="1"/>
        <v>0</v>
      </c>
      <c r="C132" s="147">
        <f t="shared" si="2"/>
        <v>0</v>
      </c>
      <c r="D132" s="69">
        <f t="shared" si="3"/>
        <v>99999</v>
      </c>
      <c r="E132" s="69">
        <f t="shared" si="4"/>
        <v>9999</v>
      </c>
      <c r="F132" s="98" t="str">
        <f t="shared" ca="1" si="5"/>
        <v>00000000000000000000982614</v>
      </c>
      <c r="G132" s="139" t="b">
        <f t="shared" si="6"/>
        <v>1</v>
      </c>
      <c r="H132" s="140">
        <f t="shared" si="7"/>
        <v>122</v>
      </c>
      <c r="I132" s="130" t="s">
        <v>1750</v>
      </c>
      <c r="J132" s="141" t="s">
        <v>1690</v>
      </c>
      <c r="K132" s="17" t="s">
        <v>1690</v>
      </c>
      <c r="L132" s="17" t="s">
        <v>1690</v>
      </c>
      <c r="M132" s="17">
        <v>9999</v>
      </c>
      <c r="N132" s="142">
        <v>0</v>
      </c>
      <c r="O132" s="130" t="s">
        <v>1750</v>
      </c>
      <c r="P132" s="141" t="s">
        <v>1690</v>
      </c>
      <c r="Q132" s="17" t="s">
        <v>1690</v>
      </c>
      <c r="R132" s="17" t="s">
        <v>1690</v>
      </c>
      <c r="S132" s="17">
        <v>9999</v>
      </c>
      <c r="T132" s="142">
        <v>0</v>
      </c>
      <c r="U132" s="130" t="s">
        <v>1750</v>
      </c>
      <c r="V132" s="141" t="s">
        <v>1690</v>
      </c>
      <c r="W132" s="17" t="s">
        <v>1690</v>
      </c>
      <c r="X132" s="17" t="s">
        <v>1690</v>
      </c>
      <c r="Y132" s="17">
        <v>9999</v>
      </c>
      <c r="Z132" s="142">
        <v>0</v>
      </c>
      <c r="AA132" s="130" t="s">
        <v>1750</v>
      </c>
      <c r="AB132" s="141" t="s">
        <v>1690</v>
      </c>
      <c r="AC132" s="17" t="s">
        <v>1690</v>
      </c>
      <c r="AD132" s="17" t="s">
        <v>1690</v>
      </c>
      <c r="AE132" s="17">
        <v>9999</v>
      </c>
      <c r="AF132" s="142">
        <v>0</v>
      </c>
      <c r="AG132" s="130"/>
      <c r="AH132" s="143">
        <f>IF(TYPE(VLOOKUP(H132,Nasazení!$A$3:$E$130,5,0))&lt;4,VLOOKUP(H132,Nasazení!$A$3:$E$130,5,0),0)</f>
        <v>0</v>
      </c>
      <c r="AI132" s="144" t="str">
        <f>IF(N($AH132)&gt;0,VLOOKUP($AH132,Body!$A$4:$F$259,5,0),"")</f>
        <v/>
      </c>
      <c r="AJ132" s="145" t="str">
        <f>IF(N($AH132)&gt;0,VLOOKUP($AH132,Body!$A$4:$F$259,6,0),"")</f>
        <v/>
      </c>
      <c r="AK132" s="144" t="str">
        <f>IF(N($AH132)&gt;0,VLOOKUP($AH132,Body!$A$4:$F$259,2,0),"")</f>
        <v/>
      </c>
      <c r="AL132" s="146" t="str">
        <f t="shared" si="8"/>
        <v/>
      </c>
      <c r="AM132" s="142">
        <f t="shared" si="9"/>
        <v>0</v>
      </c>
      <c r="AN132" s="17">
        <f t="shared" si="10"/>
        <v>0</v>
      </c>
      <c r="AO132" s="17">
        <f t="shared" si="11"/>
        <v>0</v>
      </c>
      <c r="AP132" s="17">
        <f t="shared" si="12"/>
        <v>0</v>
      </c>
      <c r="AQ132" s="17">
        <f t="shared" si="13"/>
        <v>0</v>
      </c>
      <c r="AR132" s="17">
        <f t="shared" si="14"/>
        <v>0</v>
      </c>
    </row>
    <row r="133" spans="1:44" ht="12.75" customHeight="1">
      <c r="A133" s="69">
        <f t="shared" si="0"/>
        <v>0</v>
      </c>
      <c r="B133" s="69">
        <f t="shared" si="1"/>
        <v>0</v>
      </c>
      <c r="C133" s="147">
        <f t="shared" si="2"/>
        <v>0</v>
      </c>
      <c r="D133" s="69">
        <f t="shared" si="3"/>
        <v>99999</v>
      </c>
      <c r="E133" s="69">
        <f t="shared" si="4"/>
        <v>9999</v>
      </c>
      <c r="F133" s="98" t="str">
        <f t="shared" ca="1" si="5"/>
        <v>00000000000000000000432466</v>
      </c>
      <c r="G133" s="139" t="b">
        <f t="shared" si="6"/>
        <v>1</v>
      </c>
      <c r="H133" s="140">
        <f t="shared" si="7"/>
        <v>123</v>
      </c>
      <c r="I133" s="130" t="s">
        <v>1750</v>
      </c>
      <c r="J133" s="141" t="s">
        <v>1690</v>
      </c>
      <c r="K133" s="17" t="s">
        <v>1690</v>
      </c>
      <c r="L133" s="17" t="s">
        <v>1690</v>
      </c>
      <c r="M133" s="17">
        <v>9999</v>
      </c>
      <c r="N133" s="142">
        <v>0</v>
      </c>
      <c r="O133" s="130" t="s">
        <v>1750</v>
      </c>
      <c r="P133" s="141" t="s">
        <v>1690</v>
      </c>
      <c r="Q133" s="17" t="s">
        <v>1690</v>
      </c>
      <c r="R133" s="17" t="s">
        <v>1690</v>
      </c>
      <c r="S133" s="17">
        <v>9999</v>
      </c>
      <c r="T133" s="142">
        <v>0</v>
      </c>
      <c r="U133" s="130" t="s">
        <v>1750</v>
      </c>
      <c r="V133" s="141" t="s">
        <v>1690</v>
      </c>
      <c r="W133" s="17" t="s">
        <v>1690</v>
      </c>
      <c r="X133" s="17" t="s">
        <v>1690</v>
      </c>
      <c r="Y133" s="17">
        <v>9999</v>
      </c>
      <c r="Z133" s="142">
        <v>0</v>
      </c>
      <c r="AA133" s="130" t="s">
        <v>1750</v>
      </c>
      <c r="AB133" s="141" t="s">
        <v>1690</v>
      </c>
      <c r="AC133" s="17" t="s">
        <v>1690</v>
      </c>
      <c r="AD133" s="17" t="s">
        <v>1690</v>
      </c>
      <c r="AE133" s="17">
        <v>9999</v>
      </c>
      <c r="AF133" s="142">
        <v>0</v>
      </c>
      <c r="AG133" s="130"/>
      <c r="AH133" s="143">
        <f>IF(TYPE(VLOOKUP(H133,Nasazení!$A$3:$E$130,5,0))&lt;4,VLOOKUP(H133,Nasazení!$A$3:$E$130,5,0),0)</f>
        <v>0</v>
      </c>
      <c r="AI133" s="144" t="str">
        <f>IF(N($AH133)&gt;0,VLOOKUP($AH133,Body!$A$4:$F$259,5,0),"")</f>
        <v/>
      </c>
      <c r="AJ133" s="145" t="str">
        <f>IF(N($AH133)&gt;0,VLOOKUP($AH133,Body!$A$4:$F$259,6,0),"")</f>
        <v/>
      </c>
      <c r="AK133" s="144" t="str">
        <f>IF(N($AH133)&gt;0,VLOOKUP($AH133,Body!$A$4:$F$259,2,0),"")</f>
        <v/>
      </c>
      <c r="AL133" s="146" t="str">
        <f t="shared" si="8"/>
        <v/>
      </c>
      <c r="AM133" s="142">
        <f t="shared" si="9"/>
        <v>0</v>
      </c>
      <c r="AN133" s="17">
        <f t="shared" si="10"/>
        <v>0</v>
      </c>
      <c r="AO133" s="17">
        <f t="shared" si="11"/>
        <v>0</v>
      </c>
      <c r="AP133" s="17">
        <f t="shared" si="12"/>
        <v>0</v>
      </c>
      <c r="AQ133" s="17">
        <f t="shared" si="13"/>
        <v>0</v>
      </c>
      <c r="AR133" s="17">
        <f t="shared" si="14"/>
        <v>0</v>
      </c>
    </row>
    <row r="134" spans="1:44" ht="12.75" customHeight="1">
      <c r="A134" s="69">
        <f t="shared" si="0"/>
        <v>0</v>
      </c>
      <c r="B134" s="69">
        <f t="shared" si="1"/>
        <v>0</v>
      </c>
      <c r="C134" s="147">
        <f t="shared" si="2"/>
        <v>0</v>
      </c>
      <c r="D134" s="69">
        <f t="shared" si="3"/>
        <v>99999</v>
      </c>
      <c r="E134" s="69">
        <f t="shared" si="4"/>
        <v>9999</v>
      </c>
      <c r="F134" s="98" t="str">
        <f t="shared" ca="1" si="5"/>
        <v>00000000000000000000140494</v>
      </c>
      <c r="G134" s="139" t="b">
        <f t="shared" si="6"/>
        <v>1</v>
      </c>
      <c r="H134" s="140">
        <f t="shared" si="7"/>
        <v>124</v>
      </c>
      <c r="I134" s="130" t="s">
        <v>1750</v>
      </c>
      <c r="J134" s="141" t="s">
        <v>1690</v>
      </c>
      <c r="K134" s="17" t="s">
        <v>1690</v>
      </c>
      <c r="L134" s="17" t="s">
        <v>1690</v>
      </c>
      <c r="M134" s="17">
        <v>9999</v>
      </c>
      <c r="N134" s="142">
        <v>0</v>
      </c>
      <c r="O134" s="130" t="s">
        <v>1750</v>
      </c>
      <c r="P134" s="141" t="s">
        <v>1690</v>
      </c>
      <c r="Q134" s="17" t="s">
        <v>1690</v>
      </c>
      <c r="R134" s="17" t="s">
        <v>1690</v>
      </c>
      <c r="S134" s="17">
        <v>9999</v>
      </c>
      <c r="T134" s="142">
        <v>0</v>
      </c>
      <c r="U134" s="130" t="s">
        <v>1750</v>
      </c>
      <c r="V134" s="141" t="s">
        <v>1690</v>
      </c>
      <c r="W134" s="17" t="s">
        <v>1690</v>
      </c>
      <c r="X134" s="17" t="s">
        <v>1690</v>
      </c>
      <c r="Y134" s="17">
        <v>9999</v>
      </c>
      <c r="Z134" s="142">
        <v>0</v>
      </c>
      <c r="AA134" s="130" t="s">
        <v>1750</v>
      </c>
      <c r="AB134" s="141" t="s">
        <v>1690</v>
      </c>
      <c r="AC134" s="17" t="s">
        <v>1690</v>
      </c>
      <c r="AD134" s="17" t="s">
        <v>1690</v>
      </c>
      <c r="AE134" s="17">
        <v>9999</v>
      </c>
      <c r="AF134" s="142">
        <v>0</v>
      </c>
      <c r="AG134" s="130"/>
      <c r="AH134" s="143">
        <f>IF(TYPE(VLOOKUP(H134,Nasazení!$A$3:$E$130,5,0))&lt;4,VLOOKUP(H134,Nasazení!$A$3:$E$130,5,0),0)</f>
        <v>0</v>
      </c>
      <c r="AI134" s="144" t="str">
        <f>IF(N($AH134)&gt;0,VLOOKUP($AH134,Body!$A$4:$F$259,5,0),"")</f>
        <v/>
      </c>
      <c r="AJ134" s="145" t="str">
        <f>IF(N($AH134)&gt;0,VLOOKUP($AH134,Body!$A$4:$F$259,6,0),"")</f>
        <v/>
      </c>
      <c r="AK134" s="144" t="str">
        <f>IF(N($AH134)&gt;0,VLOOKUP($AH134,Body!$A$4:$F$259,2,0),"")</f>
        <v/>
      </c>
      <c r="AL134" s="146" t="str">
        <f t="shared" si="8"/>
        <v/>
      </c>
      <c r="AM134" s="142">
        <f t="shared" si="9"/>
        <v>0</v>
      </c>
      <c r="AN134" s="17">
        <f t="shared" si="10"/>
        <v>0</v>
      </c>
      <c r="AO134" s="17">
        <f t="shared" si="11"/>
        <v>0</v>
      </c>
      <c r="AP134" s="17">
        <f t="shared" si="12"/>
        <v>0</v>
      </c>
      <c r="AQ134" s="17">
        <f t="shared" si="13"/>
        <v>0</v>
      </c>
      <c r="AR134" s="17">
        <f t="shared" si="14"/>
        <v>0</v>
      </c>
    </row>
    <row r="135" spans="1:44" ht="12.75" customHeight="1">
      <c r="A135" s="69">
        <f t="shared" si="0"/>
        <v>0</v>
      </c>
      <c r="B135" s="69">
        <f t="shared" si="1"/>
        <v>0</v>
      </c>
      <c r="C135" s="147">
        <f t="shared" si="2"/>
        <v>0</v>
      </c>
      <c r="D135" s="69">
        <f t="shared" si="3"/>
        <v>99999</v>
      </c>
      <c r="E135" s="69">
        <f t="shared" si="4"/>
        <v>9999</v>
      </c>
      <c r="F135" s="98" t="str">
        <f t="shared" ca="1" si="5"/>
        <v>00000000000000000000848251</v>
      </c>
      <c r="G135" s="139" t="b">
        <f t="shared" si="6"/>
        <v>1</v>
      </c>
      <c r="H135" s="140">
        <f t="shared" si="7"/>
        <v>125</v>
      </c>
      <c r="I135" s="130" t="s">
        <v>1750</v>
      </c>
      <c r="J135" s="141" t="s">
        <v>1690</v>
      </c>
      <c r="K135" s="17" t="s">
        <v>1690</v>
      </c>
      <c r="L135" s="17" t="s">
        <v>1690</v>
      </c>
      <c r="M135" s="17">
        <v>9999</v>
      </c>
      <c r="N135" s="142">
        <v>0</v>
      </c>
      <c r="O135" s="130" t="s">
        <v>1750</v>
      </c>
      <c r="P135" s="141" t="s">
        <v>1690</v>
      </c>
      <c r="Q135" s="17" t="s">
        <v>1690</v>
      </c>
      <c r="R135" s="17" t="s">
        <v>1690</v>
      </c>
      <c r="S135" s="17">
        <v>9999</v>
      </c>
      <c r="T135" s="142">
        <v>0</v>
      </c>
      <c r="U135" s="130" t="s">
        <v>1750</v>
      </c>
      <c r="V135" s="141" t="s">
        <v>1690</v>
      </c>
      <c r="W135" s="17" t="s">
        <v>1690</v>
      </c>
      <c r="X135" s="17" t="s">
        <v>1690</v>
      </c>
      <c r="Y135" s="17">
        <v>9999</v>
      </c>
      <c r="Z135" s="142">
        <v>0</v>
      </c>
      <c r="AA135" s="130" t="s">
        <v>1750</v>
      </c>
      <c r="AB135" s="141" t="s">
        <v>1690</v>
      </c>
      <c r="AC135" s="17" t="s">
        <v>1690</v>
      </c>
      <c r="AD135" s="17" t="s">
        <v>1690</v>
      </c>
      <c r="AE135" s="17">
        <v>9999</v>
      </c>
      <c r="AF135" s="142">
        <v>0</v>
      </c>
      <c r="AG135" s="130"/>
      <c r="AH135" s="143">
        <f>IF(TYPE(VLOOKUP(H135,Nasazení!$A$3:$E$130,5,0))&lt;4,VLOOKUP(H135,Nasazení!$A$3:$E$130,5,0),0)</f>
        <v>0</v>
      </c>
      <c r="AI135" s="144" t="str">
        <f>IF(N($AH135)&gt;0,VLOOKUP($AH135,Body!$A$4:$F$259,5,0),"")</f>
        <v/>
      </c>
      <c r="AJ135" s="145" t="str">
        <f>IF(N($AH135)&gt;0,VLOOKUP($AH135,Body!$A$4:$F$259,6,0),"")</f>
        <v/>
      </c>
      <c r="AK135" s="144" t="str">
        <f>IF(N($AH135)&gt;0,VLOOKUP($AH135,Body!$A$4:$F$259,2,0),"")</f>
        <v/>
      </c>
      <c r="AL135" s="146" t="str">
        <f t="shared" si="8"/>
        <v/>
      </c>
      <c r="AM135" s="142">
        <f t="shared" si="9"/>
        <v>0</v>
      </c>
      <c r="AN135" s="17">
        <f t="shared" si="10"/>
        <v>0</v>
      </c>
      <c r="AO135" s="17">
        <f t="shared" si="11"/>
        <v>0</v>
      </c>
      <c r="AP135" s="17">
        <f t="shared" si="12"/>
        <v>0</v>
      </c>
      <c r="AQ135" s="17">
        <f t="shared" si="13"/>
        <v>0</v>
      </c>
      <c r="AR135" s="17">
        <f t="shared" si="14"/>
        <v>0</v>
      </c>
    </row>
    <row r="136" spans="1:44" ht="12.75" customHeight="1">
      <c r="A136" s="69">
        <f t="shared" si="0"/>
        <v>0</v>
      </c>
      <c r="B136" s="69">
        <f t="shared" si="1"/>
        <v>0</v>
      </c>
      <c r="C136" s="147">
        <f t="shared" si="2"/>
        <v>0</v>
      </c>
      <c r="D136" s="69">
        <f t="shared" si="3"/>
        <v>99999</v>
      </c>
      <c r="E136" s="69">
        <f t="shared" si="4"/>
        <v>9999</v>
      </c>
      <c r="F136" s="98" t="str">
        <f t="shared" ca="1" si="5"/>
        <v>00000000000000000000470251</v>
      </c>
      <c r="G136" s="139" t="b">
        <f t="shared" si="6"/>
        <v>1</v>
      </c>
      <c r="H136" s="140">
        <f t="shared" si="7"/>
        <v>126</v>
      </c>
      <c r="I136" s="130" t="s">
        <v>1750</v>
      </c>
      <c r="J136" s="141" t="s">
        <v>1690</v>
      </c>
      <c r="K136" s="17" t="s">
        <v>1690</v>
      </c>
      <c r="L136" s="17" t="s">
        <v>1690</v>
      </c>
      <c r="M136" s="17">
        <v>9999</v>
      </c>
      <c r="N136" s="142">
        <v>0</v>
      </c>
      <c r="O136" s="130" t="s">
        <v>1750</v>
      </c>
      <c r="P136" s="141" t="s">
        <v>1690</v>
      </c>
      <c r="Q136" s="17" t="s">
        <v>1690</v>
      </c>
      <c r="R136" s="17" t="s">
        <v>1690</v>
      </c>
      <c r="S136" s="17">
        <v>9999</v>
      </c>
      <c r="T136" s="142">
        <v>0</v>
      </c>
      <c r="U136" s="130" t="s">
        <v>1750</v>
      </c>
      <c r="V136" s="141" t="s">
        <v>1690</v>
      </c>
      <c r="W136" s="17" t="s">
        <v>1690</v>
      </c>
      <c r="X136" s="17" t="s">
        <v>1690</v>
      </c>
      <c r="Y136" s="17">
        <v>9999</v>
      </c>
      <c r="Z136" s="142">
        <v>0</v>
      </c>
      <c r="AA136" s="130" t="s">
        <v>1750</v>
      </c>
      <c r="AB136" s="141" t="s">
        <v>1690</v>
      </c>
      <c r="AC136" s="17" t="s">
        <v>1690</v>
      </c>
      <c r="AD136" s="17" t="s">
        <v>1690</v>
      </c>
      <c r="AE136" s="17">
        <v>9999</v>
      </c>
      <c r="AF136" s="142">
        <v>0</v>
      </c>
      <c r="AG136" s="130"/>
      <c r="AH136" s="143">
        <f>IF(TYPE(VLOOKUP(H136,Nasazení!$A$3:$E$130,5,0))&lt;4,VLOOKUP(H136,Nasazení!$A$3:$E$130,5,0),0)</f>
        <v>0</v>
      </c>
      <c r="AI136" s="144" t="str">
        <f>IF(N($AH136)&gt;0,VLOOKUP($AH136,Body!$A$4:$F$259,5,0),"")</f>
        <v/>
      </c>
      <c r="AJ136" s="145" t="str">
        <f>IF(N($AH136)&gt;0,VLOOKUP($AH136,Body!$A$4:$F$259,6,0),"")</f>
        <v/>
      </c>
      <c r="AK136" s="144" t="str">
        <f>IF(N($AH136)&gt;0,VLOOKUP($AH136,Body!$A$4:$F$259,2,0),"")</f>
        <v/>
      </c>
      <c r="AL136" s="146" t="str">
        <f t="shared" si="8"/>
        <v/>
      </c>
      <c r="AM136" s="142">
        <f t="shared" si="9"/>
        <v>0</v>
      </c>
      <c r="AN136" s="17">
        <f t="shared" si="10"/>
        <v>0</v>
      </c>
      <c r="AO136" s="17">
        <f t="shared" si="11"/>
        <v>0</v>
      </c>
      <c r="AP136" s="17">
        <f t="shared" si="12"/>
        <v>0</v>
      </c>
      <c r="AQ136" s="17">
        <f t="shared" si="13"/>
        <v>0</v>
      </c>
      <c r="AR136" s="17">
        <f t="shared" si="14"/>
        <v>0</v>
      </c>
    </row>
    <row r="137" spans="1:44" ht="12.75" customHeight="1">
      <c r="A137" s="69">
        <f t="shared" si="0"/>
        <v>0</v>
      </c>
      <c r="B137" s="69">
        <f t="shared" si="1"/>
        <v>0</v>
      </c>
      <c r="C137" s="147">
        <f t="shared" si="2"/>
        <v>0</v>
      </c>
      <c r="D137" s="69">
        <f t="shared" si="3"/>
        <v>99999</v>
      </c>
      <c r="E137" s="69">
        <f t="shared" si="4"/>
        <v>9999</v>
      </c>
      <c r="F137" s="98" t="str">
        <f t="shared" ca="1" si="5"/>
        <v>00000000000000000000714156</v>
      </c>
      <c r="G137" s="139" t="b">
        <f t="shared" si="6"/>
        <v>1</v>
      </c>
      <c r="H137" s="140">
        <f t="shared" si="7"/>
        <v>127</v>
      </c>
      <c r="I137" s="130" t="s">
        <v>1750</v>
      </c>
      <c r="J137" s="141" t="s">
        <v>1690</v>
      </c>
      <c r="K137" s="17" t="s">
        <v>1690</v>
      </c>
      <c r="L137" s="17" t="s">
        <v>1690</v>
      </c>
      <c r="M137" s="17">
        <v>9999</v>
      </c>
      <c r="N137" s="142">
        <v>0</v>
      </c>
      <c r="O137" s="130" t="s">
        <v>1750</v>
      </c>
      <c r="P137" s="141" t="s">
        <v>1690</v>
      </c>
      <c r="Q137" s="17" t="s">
        <v>1690</v>
      </c>
      <c r="R137" s="17" t="s">
        <v>1690</v>
      </c>
      <c r="S137" s="17">
        <v>9999</v>
      </c>
      <c r="T137" s="142">
        <v>0</v>
      </c>
      <c r="U137" s="130" t="s">
        <v>1750</v>
      </c>
      <c r="V137" s="141" t="s">
        <v>1690</v>
      </c>
      <c r="W137" s="17" t="s">
        <v>1690</v>
      </c>
      <c r="X137" s="17" t="s">
        <v>1690</v>
      </c>
      <c r="Y137" s="17">
        <v>9999</v>
      </c>
      <c r="Z137" s="142">
        <v>0</v>
      </c>
      <c r="AA137" s="130" t="s">
        <v>1750</v>
      </c>
      <c r="AB137" s="141" t="s">
        <v>1690</v>
      </c>
      <c r="AC137" s="17" t="s">
        <v>1690</v>
      </c>
      <c r="AD137" s="17" t="s">
        <v>1690</v>
      </c>
      <c r="AE137" s="17">
        <v>9999</v>
      </c>
      <c r="AF137" s="142">
        <v>0</v>
      </c>
      <c r="AG137" s="130"/>
      <c r="AH137" s="143">
        <f>IF(TYPE(VLOOKUP(H137,Nasazení!$A$3:$E$130,5,0))&lt;4,VLOOKUP(H137,Nasazení!$A$3:$E$130,5,0),0)</f>
        <v>0</v>
      </c>
      <c r="AI137" s="144" t="str">
        <f>IF(N($AH137)&gt;0,VLOOKUP($AH137,Body!$A$4:$F$259,5,0),"")</f>
        <v/>
      </c>
      <c r="AJ137" s="145" t="str">
        <f>IF(N($AH137)&gt;0,VLOOKUP($AH137,Body!$A$4:$F$259,6,0),"")</f>
        <v/>
      </c>
      <c r="AK137" s="144" t="str">
        <f>IF(N($AH137)&gt;0,VLOOKUP($AH137,Body!$A$4:$F$259,2,0),"")</f>
        <v/>
      </c>
      <c r="AL137" s="146" t="str">
        <f t="shared" si="8"/>
        <v/>
      </c>
      <c r="AM137" s="142">
        <f t="shared" si="9"/>
        <v>0</v>
      </c>
      <c r="AN137" s="17">
        <f t="shared" si="10"/>
        <v>0</v>
      </c>
      <c r="AO137" s="17">
        <f t="shared" si="11"/>
        <v>0</v>
      </c>
      <c r="AP137" s="17">
        <f t="shared" si="12"/>
        <v>0</v>
      </c>
      <c r="AQ137" s="17">
        <f t="shared" si="13"/>
        <v>0</v>
      </c>
      <c r="AR137" s="17">
        <f t="shared" si="14"/>
        <v>0</v>
      </c>
    </row>
    <row r="138" spans="1:44" ht="12.75" customHeight="1">
      <c r="A138" s="69">
        <f t="shared" si="0"/>
        <v>0</v>
      </c>
      <c r="B138" s="69">
        <f t="shared" si="1"/>
        <v>0</v>
      </c>
      <c r="C138" s="147">
        <f t="shared" si="2"/>
        <v>0</v>
      </c>
      <c r="D138" s="69">
        <f t="shared" si="3"/>
        <v>99999</v>
      </c>
      <c r="E138" s="69">
        <f t="shared" si="4"/>
        <v>9999</v>
      </c>
      <c r="F138" s="98" t="str">
        <f t="shared" ca="1" si="5"/>
        <v>00000000000000000000320460</v>
      </c>
      <c r="G138" s="139" t="b">
        <f t="shared" si="6"/>
        <v>1</v>
      </c>
      <c r="H138" s="140">
        <f t="shared" si="7"/>
        <v>128</v>
      </c>
      <c r="I138" s="130" t="s">
        <v>1750</v>
      </c>
      <c r="J138" s="141" t="s">
        <v>1690</v>
      </c>
      <c r="K138" s="17" t="s">
        <v>1690</v>
      </c>
      <c r="L138" s="17" t="s">
        <v>1690</v>
      </c>
      <c r="M138" s="17">
        <v>9999</v>
      </c>
      <c r="N138" s="142">
        <v>0</v>
      </c>
      <c r="O138" s="130" t="s">
        <v>1750</v>
      </c>
      <c r="P138" s="141" t="s">
        <v>1690</v>
      </c>
      <c r="Q138" s="17" t="s">
        <v>1690</v>
      </c>
      <c r="R138" s="17" t="s">
        <v>1690</v>
      </c>
      <c r="S138" s="17">
        <v>9999</v>
      </c>
      <c r="T138" s="142">
        <v>0</v>
      </c>
      <c r="U138" s="130" t="s">
        <v>1750</v>
      </c>
      <c r="V138" s="141" t="s">
        <v>1690</v>
      </c>
      <c r="W138" s="17" t="s">
        <v>1690</v>
      </c>
      <c r="X138" s="17" t="s">
        <v>1690</v>
      </c>
      <c r="Y138" s="17">
        <v>9999</v>
      </c>
      <c r="Z138" s="142">
        <v>0</v>
      </c>
      <c r="AA138" s="130" t="s">
        <v>1750</v>
      </c>
      <c r="AB138" s="141" t="s">
        <v>1690</v>
      </c>
      <c r="AC138" s="17" t="s">
        <v>1690</v>
      </c>
      <c r="AD138" s="17" t="s">
        <v>1690</v>
      </c>
      <c r="AE138" s="17">
        <v>9999</v>
      </c>
      <c r="AF138" s="142">
        <v>0</v>
      </c>
      <c r="AG138" s="130"/>
      <c r="AH138" s="143">
        <f>IF(TYPE(VLOOKUP(H138,Nasazení!$A$3:$E$130,5,0))&lt;4,VLOOKUP(H138,Nasazení!$A$3:$E$130,5,0),0)</f>
        <v>0</v>
      </c>
      <c r="AI138" s="144" t="str">
        <f>IF(N($AH138)&gt;0,VLOOKUP($AH138,Body!$A$4:$F$259,5,0),"")</f>
        <v/>
      </c>
      <c r="AJ138" s="145" t="str">
        <f>IF(N($AH138)&gt;0,VLOOKUP($AH138,Body!$A$4:$F$259,6,0),"")</f>
        <v/>
      </c>
      <c r="AK138" s="144" t="str">
        <f>IF(N($AH138)&gt;0,VLOOKUP($AH138,Body!$A$4:$F$259,2,0),"")</f>
        <v/>
      </c>
      <c r="AL138" s="146" t="str">
        <f t="shared" si="8"/>
        <v/>
      </c>
      <c r="AM138" s="142">
        <f t="shared" si="9"/>
        <v>0</v>
      </c>
      <c r="AN138" s="17">
        <f t="shared" si="10"/>
        <v>0</v>
      </c>
      <c r="AO138" s="17">
        <f t="shared" si="11"/>
        <v>0</v>
      </c>
      <c r="AP138" s="17">
        <f t="shared" si="12"/>
        <v>0</v>
      </c>
      <c r="AQ138" s="17">
        <f t="shared" si="13"/>
        <v>0</v>
      </c>
      <c r="AR138" s="17">
        <f t="shared" si="14"/>
        <v>0</v>
      </c>
    </row>
    <row r="139" spans="1:44" ht="12.75" customHeight="1">
      <c r="A139" s="69">
        <f t="shared" si="0"/>
        <v>0</v>
      </c>
      <c r="B139" s="69">
        <f t="shared" si="1"/>
        <v>0</v>
      </c>
      <c r="C139" s="147">
        <f t="shared" si="2"/>
        <v>0</v>
      </c>
      <c r="D139" s="69">
        <f t="shared" si="3"/>
        <v>99999</v>
      </c>
      <c r="E139" s="69">
        <f t="shared" si="4"/>
        <v>9999</v>
      </c>
      <c r="F139" s="98" t="str">
        <f t="shared" ca="1" si="5"/>
        <v>00000000000000000000268926</v>
      </c>
      <c r="G139" s="139" t="b">
        <f t="shared" si="6"/>
        <v>1</v>
      </c>
      <c r="H139" s="140">
        <f t="shared" si="7"/>
        <v>129</v>
      </c>
      <c r="I139" s="130" t="s">
        <v>1750</v>
      </c>
      <c r="J139" s="141" t="s">
        <v>1690</v>
      </c>
      <c r="K139" s="17" t="s">
        <v>1690</v>
      </c>
      <c r="L139" s="17" t="s">
        <v>1690</v>
      </c>
      <c r="M139" s="17">
        <v>9999</v>
      </c>
      <c r="N139" s="142">
        <v>0</v>
      </c>
      <c r="O139" s="130" t="s">
        <v>1750</v>
      </c>
      <c r="P139" s="141" t="s">
        <v>1690</v>
      </c>
      <c r="Q139" s="17" t="s">
        <v>1690</v>
      </c>
      <c r="R139" s="17" t="s">
        <v>1690</v>
      </c>
      <c r="S139" s="17">
        <v>9999</v>
      </c>
      <c r="T139" s="142">
        <v>0</v>
      </c>
      <c r="U139" s="130" t="s">
        <v>1750</v>
      </c>
      <c r="V139" s="141" t="s">
        <v>1690</v>
      </c>
      <c r="W139" s="17" t="s">
        <v>1690</v>
      </c>
      <c r="X139" s="17" t="s">
        <v>1690</v>
      </c>
      <c r="Y139" s="17">
        <v>9999</v>
      </c>
      <c r="Z139" s="142">
        <v>0</v>
      </c>
      <c r="AA139" s="130" t="s">
        <v>1750</v>
      </c>
      <c r="AB139" s="141" t="s">
        <v>1690</v>
      </c>
      <c r="AC139" s="17" t="s">
        <v>1690</v>
      </c>
      <c r="AD139" s="17" t="s">
        <v>1690</v>
      </c>
      <c r="AE139" s="17">
        <v>9999</v>
      </c>
      <c r="AF139" s="142">
        <v>0</v>
      </c>
      <c r="AG139" s="130"/>
      <c r="AH139" s="143">
        <f>IF(TYPE(VLOOKUP(H139,Nasazení!$A$3:$E$130,5,0))&lt;4,VLOOKUP(H139,Nasazení!$A$3:$E$130,5,0),0)</f>
        <v>0</v>
      </c>
      <c r="AI139" s="144" t="str">
        <f>IF(N($AH139)&gt;0,VLOOKUP($AH139,Body!$A$4:$F$259,5,0),"")</f>
        <v/>
      </c>
      <c r="AJ139" s="145" t="str">
        <f>IF(N($AH139)&gt;0,VLOOKUP($AH139,Body!$A$4:$F$259,6,0),"")</f>
        <v/>
      </c>
      <c r="AK139" s="144" t="str">
        <f>IF(N($AH139)&gt;0,VLOOKUP($AH139,Body!$A$4:$F$259,2,0),"")</f>
        <v/>
      </c>
      <c r="AL139" s="146" t="str">
        <f t="shared" si="8"/>
        <v/>
      </c>
      <c r="AM139" s="142">
        <f t="shared" si="9"/>
        <v>0</v>
      </c>
      <c r="AN139" s="17">
        <f t="shared" si="10"/>
        <v>0</v>
      </c>
      <c r="AO139" s="17">
        <f t="shared" si="11"/>
        <v>0</v>
      </c>
      <c r="AP139" s="17">
        <f t="shared" si="12"/>
        <v>0</v>
      </c>
      <c r="AQ139" s="17">
        <f t="shared" si="13"/>
        <v>0</v>
      </c>
      <c r="AR139" s="17">
        <f t="shared" si="14"/>
        <v>0</v>
      </c>
    </row>
    <row r="140" spans="1:44" ht="12.75" customHeight="1">
      <c r="A140" s="69">
        <f t="shared" si="0"/>
        <v>0</v>
      </c>
      <c r="B140" s="69">
        <f t="shared" si="1"/>
        <v>0</v>
      </c>
      <c r="C140" s="147">
        <f t="shared" si="2"/>
        <v>0</v>
      </c>
      <c r="D140" s="69">
        <f t="shared" si="3"/>
        <v>99999</v>
      </c>
      <c r="E140" s="69">
        <f t="shared" si="4"/>
        <v>9999</v>
      </c>
      <c r="F140" s="98" t="str">
        <f t="shared" ca="1" si="5"/>
        <v>00000000000000000000481404</v>
      </c>
      <c r="G140" s="139" t="b">
        <f t="shared" si="6"/>
        <v>1</v>
      </c>
      <c r="H140" s="140">
        <f t="shared" si="7"/>
        <v>130</v>
      </c>
      <c r="I140" s="130" t="s">
        <v>1750</v>
      </c>
      <c r="J140" s="141" t="s">
        <v>1690</v>
      </c>
      <c r="K140" s="17" t="s">
        <v>1690</v>
      </c>
      <c r="L140" s="17" t="s">
        <v>1690</v>
      </c>
      <c r="M140" s="17">
        <v>9999</v>
      </c>
      <c r="N140" s="142">
        <v>0</v>
      </c>
      <c r="O140" s="130" t="s">
        <v>1750</v>
      </c>
      <c r="P140" s="141" t="s">
        <v>1690</v>
      </c>
      <c r="Q140" s="17" t="s">
        <v>1690</v>
      </c>
      <c r="R140" s="17" t="s">
        <v>1690</v>
      </c>
      <c r="S140" s="17">
        <v>9999</v>
      </c>
      <c r="T140" s="142">
        <v>0</v>
      </c>
      <c r="U140" s="130" t="s">
        <v>1750</v>
      </c>
      <c r="V140" s="141" t="s">
        <v>1690</v>
      </c>
      <c r="W140" s="17" t="s">
        <v>1690</v>
      </c>
      <c r="X140" s="17" t="s">
        <v>1690</v>
      </c>
      <c r="Y140" s="17">
        <v>9999</v>
      </c>
      <c r="Z140" s="142">
        <v>0</v>
      </c>
      <c r="AA140" s="130" t="s">
        <v>1750</v>
      </c>
      <c r="AB140" s="141" t="s">
        <v>1690</v>
      </c>
      <c r="AC140" s="17" t="s">
        <v>1690</v>
      </c>
      <c r="AD140" s="17" t="s">
        <v>1690</v>
      </c>
      <c r="AE140" s="17">
        <v>9999</v>
      </c>
      <c r="AF140" s="142">
        <v>0</v>
      </c>
      <c r="AG140" s="130"/>
      <c r="AH140" s="143">
        <f>IF(TYPE(VLOOKUP(H140,Nasazení!$A$3:$E$130,5,0))&lt;4,VLOOKUP(H140,Nasazení!$A$3:$E$130,5,0),0)</f>
        <v>0</v>
      </c>
      <c r="AI140" s="144" t="str">
        <f>IF(N($AH140)&gt;0,VLOOKUP($AH140,Body!$A$4:$F$259,5,0),"")</f>
        <v/>
      </c>
      <c r="AJ140" s="145" t="str">
        <f>IF(N($AH140)&gt;0,VLOOKUP($AH140,Body!$A$4:$F$259,6,0),"")</f>
        <v/>
      </c>
      <c r="AK140" s="144" t="str">
        <f>IF(N($AH140)&gt;0,VLOOKUP($AH140,Body!$A$4:$F$259,2,0),"")</f>
        <v/>
      </c>
      <c r="AL140" s="146" t="str">
        <f t="shared" si="8"/>
        <v/>
      </c>
      <c r="AM140" s="142">
        <f t="shared" si="9"/>
        <v>0</v>
      </c>
      <c r="AN140" s="17">
        <f t="shared" si="10"/>
        <v>0</v>
      </c>
      <c r="AO140" s="17">
        <f t="shared" si="11"/>
        <v>0</v>
      </c>
      <c r="AP140" s="17">
        <f t="shared" si="12"/>
        <v>0</v>
      </c>
      <c r="AQ140" s="17">
        <f t="shared" si="13"/>
        <v>0</v>
      </c>
      <c r="AR140" s="17">
        <f t="shared" si="14"/>
        <v>0</v>
      </c>
    </row>
    <row r="141" spans="1:44" ht="12.75" customHeight="1">
      <c r="A141" s="69">
        <f t="shared" si="0"/>
        <v>0</v>
      </c>
      <c r="B141" s="69">
        <f t="shared" si="1"/>
        <v>0</v>
      </c>
      <c r="C141" s="147">
        <f t="shared" si="2"/>
        <v>0</v>
      </c>
      <c r="D141" s="69">
        <f t="shared" si="3"/>
        <v>99999</v>
      </c>
      <c r="E141" s="69">
        <f t="shared" si="4"/>
        <v>9999</v>
      </c>
      <c r="F141" s="98" t="str">
        <f t="shared" ca="1" si="5"/>
        <v>00000000000000000000342435</v>
      </c>
      <c r="G141" s="139" t="b">
        <f t="shared" si="6"/>
        <v>1</v>
      </c>
      <c r="H141" s="140">
        <f t="shared" si="7"/>
        <v>131</v>
      </c>
      <c r="I141" s="130" t="s">
        <v>1750</v>
      </c>
      <c r="J141" s="141" t="s">
        <v>1690</v>
      </c>
      <c r="K141" s="17" t="s">
        <v>1690</v>
      </c>
      <c r="L141" s="17" t="s">
        <v>1690</v>
      </c>
      <c r="M141" s="17">
        <v>9999</v>
      </c>
      <c r="N141" s="142">
        <v>0</v>
      </c>
      <c r="O141" s="130" t="s">
        <v>1750</v>
      </c>
      <c r="P141" s="141" t="s">
        <v>1690</v>
      </c>
      <c r="Q141" s="17" t="s">
        <v>1690</v>
      </c>
      <c r="R141" s="17" t="s">
        <v>1690</v>
      </c>
      <c r="S141" s="17">
        <v>9999</v>
      </c>
      <c r="T141" s="142">
        <v>0</v>
      </c>
      <c r="U141" s="130" t="s">
        <v>1750</v>
      </c>
      <c r="V141" s="141" t="s">
        <v>1690</v>
      </c>
      <c r="W141" s="17" t="s">
        <v>1690</v>
      </c>
      <c r="X141" s="17" t="s">
        <v>1690</v>
      </c>
      <c r="Y141" s="17">
        <v>9999</v>
      </c>
      <c r="Z141" s="142">
        <v>0</v>
      </c>
      <c r="AA141" s="130" t="s">
        <v>1750</v>
      </c>
      <c r="AB141" s="141" t="s">
        <v>1690</v>
      </c>
      <c r="AC141" s="17" t="s">
        <v>1690</v>
      </c>
      <c r="AD141" s="17" t="s">
        <v>1690</v>
      </c>
      <c r="AE141" s="17">
        <v>9999</v>
      </c>
      <c r="AF141" s="142">
        <v>0</v>
      </c>
      <c r="AG141" s="130"/>
      <c r="AH141" s="143">
        <f>IF(TYPE(VLOOKUP(H141,Nasazení!$A$3:$E$130,5,0))&lt;4,VLOOKUP(H141,Nasazení!$A$3:$E$130,5,0),0)</f>
        <v>0</v>
      </c>
      <c r="AI141" s="144" t="str">
        <f>IF(N($AH141)&gt;0,VLOOKUP($AH141,Body!$A$4:$F$259,5,0),"")</f>
        <v/>
      </c>
      <c r="AJ141" s="145" t="str">
        <f>IF(N($AH141)&gt;0,VLOOKUP($AH141,Body!$A$4:$F$259,6,0),"")</f>
        <v/>
      </c>
      <c r="AK141" s="144" t="str">
        <f>IF(N($AH141)&gt;0,VLOOKUP($AH141,Body!$A$4:$F$259,2,0),"")</f>
        <v/>
      </c>
      <c r="AL141" s="146" t="str">
        <f t="shared" si="8"/>
        <v/>
      </c>
      <c r="AM141" s="142">
        <f t="shared" si="9"/>
        <v>0</v>
      </c>
      <c r="AN141" s="17">
        <f t="shared" si="10"/>
        <v>0</v>
      </c>
      <c r="AO141" s="17">
        <f t="shared" si="11"/>
        <v>0</v>
      </c>
      <c r="AP141" s="17">
        <f t="shared" si="12"/>
        <v>0</v>
      </c>
      <c r="AQ141" s="17">
        <f t="shared" si="13"/>
        <v>0</v>
      </c>
      <c r="AR141" s="17">
        <f t="shared" si="14"/>
        <v>0</v>
      </c>
    </row>
    <row r="142" spans="1:44" ht="12.75" customHeight="1">
      <c r="A142" s="69">
        <f t="shared" si="0"/>
        <v>0</v>
      </c>
      <c r="B142" s="69">
        <f t="shared" si="1"/>
        <v>0</v>
      </c>
      <c r="C142" s="147">
        <f t="shared" si="2"/>
        <v>0</v>
      </c>
      <c r="D142" s="69">
        <f t="shared" si="3"/>
        <v>99999</v>
      </c>
      <c r="E142" s="69">
        <f t="shared" si="4"/>
        <v>9999</v>
      </c>
      <c r="F142" s="98" t="str">
        <f t="shared" ca="1" si="5"/>
        <v>00000000000000000000000089</v>
      </c>
      <c r="G142" s="139" t="b">
        <f t="shared" si="6"/>
        <v>1</v>
      </c>
      <c r="H142" s="140">
        <f t="shared" si="7"/>
        <v>132</v>
      </c>
      <c r="I142" s="130" t="s">
        <v>1750</v>
      </c>
      <c r="J142" s="141" t="s">
        <v>1690</v>
      </c>
      <c r="K142" s="17" t="s">
        <v>1690</v>
      </c>
      <c r="L142" s="17" t="s">
        <v>1690</v>
      </c>
      <c r="M142" s="17">
        <v>9999</v>
      </c>
      <c r="N142" s="142">
        <v>0</v>
      </c>
      <c r="O142" s="130" t="s">
        <v>1750</v>
      </c>
      <c r="P142" s="141" t="s">
        <v>1690</v>
      </c>
      <c r="Q142" s="17" t="s">
        <v>1690</v>
      </c>
      <c r="R142" s="17" t="s">
        <v>1690</v>
      </c>
      <c r="S142" s="17">
        <v>9999</v>
      </c>
      <c r="T142" s="142">
        <v>0</v>
      </c>
      <c r="U142" s="130" t="s">
        <v>1750</v>
      </c>
      <c r="V142" s="141" t="s">
        <v>1690</v>
      </c>
      <c r="W142" s="17" t="s">
        <v>1690</v>
      </c>
      <c r="X142" s="17" t="s">
        <v>1690</v>
      </c>
      <c r="Y142" s="17">
        <v>9999</v>
      </c>
      <c r="Z142" s="142">
        <v>0</v>
      </c>
      <c r="AA142" s="130" t="s">
        <v>1750</v>
      </c>
      <c r="AB142" s="141" t="s">
        <v>1690</v>
      </c>
      <c r="AC142" s="17" t="s">
        <v>1690</v>
      </c>
      <c r="AD142" s="17" t="s">
        <v>1690</v>
      </c>
      <c r="AE142" s="17">
        <v>9999</v>
      </c>
      <c r="AF142" s="142">
        <v>0</v>
      </c>
      <c r="AG142" s="130"/>
      <c r="AH142" s="143">
        <f>IF(TYPE(VLOOKUP(H142,Nasazení!$A$3:$E$130,5,0))&lt;4,VLOOKUP(H142,Nasazení!$A$3:$E$130,5,0),0)</f>
        <v>0</v>
      </c>
      <c r="AI142" s="144" t="str">
        <f>IF(N($AH142)&gt;0,VLOOKUP($AH142,Body!$A$4:$F$259,5,0),"")</f>
        <v/>
      </c>
      <c r="AJ142" s="145" t="str">
        <f>IF(N($AH142)&gt;0,VLOOKUP($AH142,Body!$A$4:$F$259,6,0),"")</f>
        <v/>
      </c>
      <c r="AK142" s="144" t="str">
        <f>IF(N($AH142)&gt;0,VLOOKUP($AH142,Body!$A$4:$F$259,2,0),"")</f>
        <v/>
      </c>
      <c r="AL142" s="146" t="str">
        <f t="shared" si="8"/>
        <v/>
      </c>
      <c r="AM142" s="142">
        <f t="shared" si="9"/>
        <v>0</v>
      </c>
      <c r="AN142" s="17">
        <f t="shared" si="10"/>
        <v>0</v>
      </c>
      <c r="AO142" s="17">
        <f t="shared" si="11"/>
        <v>0</v>
      </c>
      <c r="AP142" s="17">
        <f t="shared" si="12"/>
        <v>0</v>
      </c>
      <c r="AQ142" s="17">
        <f t="shared" si="13"/>
        <v>0</v>
      </c>
      <c r="AR142" s="17">
        <f t="shared" si="14"/>
        <v>0</v>
      </c>
    </row>
    <row r="143" spans="1:44" ht="12.75" customHeight="1">
      <c r="A143" s="69">
        <f t="shared" si="0"/>
        <v>0</v>
      </c>
      <c r="B143" s="69">
        <f t="shared" si="1"/>
        <v>0</v>
      </c>
      <c r="C143" s="147">
        <f t="shared" si="2"/>
        <v>0</v>
      </c>
      <c r="D143" s="69">
        <f t="shared" si="3"/>
        <v>99999</v>
      </c>
      <c r="E143" s="69">
        <f t="shared" si="4"/>
        <v>9999</v>
      </c>
      <c r="F143" s="98" t="str">
        <f t="shared" ca="1" si="5"/>
        <v>00000000000000000000966950</v>
      </c>
      <c r="G143" s="139" t="b">
        <f t="shared" si="6"/>
        <v>1</v>
      </c>
      <c r="H143" s="140">
        <f t="shared" si="7"/>
        <v>133</v>
      </c>
      <c r="I143" s="130" t="s">
        <v>1750</v>
      </c>
      <c r="J143" s="141" t="s">
        <v>1690</v>
      </c>
      <c r="K143" s="17" t="s">
        <v>1690</v>
      </c>
      <c r="L143" s="17" t="s">
        <v>1690</v>
      </c>
      <c r="M143" s="17">
        <v>9999</v>
      </c>
      <c r="N143" s="142">
        <v>0</v>
      </c>
      <c r="O143" s="130" t="s">
        <v>1750</v>
      </c>
      <c r="P143" s="141" t="s">
        <v>1690</v>
      </c>
      <c r="Q143" s="17" t="s">
        <v>1690</v>
      </c>
      <c r="R143" s="17" t="s">
        <v>1690</v>
      </c>
      <c r="S143" s="17">
        <v>9999</v>
      </c>
      <c r="T143" s="142">
        <v>0</v>
      </c>
      <c r="U143" s="130" t="s">
        <v>1750</v>
      </c>
      <c r="V143" s="141" t="s">
        <v>1690</v>
      </c>
      <c r="W143" s="17" t="s">
        <v>1690</v>
      </c>
      <c r="X143" s="17" t="s">
        <v>1690</v>
      </c>
      <c r="Y143" s="17">
        <v>9999</v>
      </c>
      <c r="Z143" s="142">
        <v>0</v>
      </c>
      <c r="AA143" s="130" t="s">
        <v>1750</v>
      </c>
      <c r="AB143" s="141" t="s">
        <v>1690</v>
      </c>
      <c r="AC143" s="17" t="s">
        <v>1690</v>
      </c>
      <c r="AD143" s="17" t="s">
        <v>1690</v>
      </c>
      <c r="AE143" s="17">
        <v>9999</v>
      </c>
      <c r="AF143" s="142">
        <v>0</v>
      </c>
      <c r="AG143" s="130"/>
      <c r="AH143" s="143">
        <f>IF(TYPE(VLOOKUP(H143,Nasazení!$A$3:$E$130,5,0))&lt;4,VLOOKUP(H143,Nasazení!$A$3:$E$130,5,0),0)</f>
        <v>0</v>
      </c>
      <c r="AI143" s="144" t="str">
        <f>IF(N($AH143)&gt;0,VLOOKUP($AH143,Body!$A$4:$F$259,5,0),"")</f>
        <v/>
      </c>
      <c r="AJ143" s="145" t="str">
        <f>IF(N($AH143)&gt;0,VLOOKUP($AH143,Body!$A$4:$F$259,6,0),"")</f>
        <v/>
      </c>
      <c r="AK143" s="144" t="str">
        <f>IF(N($AH143)&gt;0,VLOOKUP($AH143,Body!$A$4:$F$259,2,0),"")</f>
        <v/>
      </c>
      <c r="AL143" s="146" t="str">
        <f t="shared" si="8"/>
        <v/>
      </c>
      <c r="AM143" s="142">
        <f t="shared" si="9"/>
        <v>0</v>
      </c>
      <c r="AN143" s="17">
        <f t="shared" si="10"/>
        <v>0</v>
      </c>
      <c r="AO143" s="17">
        <f t="shared" si="11"/>
        <v>0</v>
      </c>
      <c r="AP143" s="17">
        <f t="shared" si="12"/>
        <v>0</v>
      </c>
      <c r="AQ143" s="17">
        <f t="shared" si="13"/>
        <v>0</v>
      </c>
      <c r="AR143" s="17">
        <f t="shared" si="14"/>
        <v>0</v>
      </c>
    </row>
    <row r="144" spans="1:44" ht="12.75" customHeight="1">
      <c r="A144" s="69">
        <f t="shared" si="0"/>
        <v>0</v>
      </c>
      <c r="B144" s="69">
        <f t="shared" si="1"/>
        <v>0</v>
      </c>
      <c r="C144" s="147">
        <f t="shared" si="2"/>
        <v>0</v>
      </c>
      <c r="D144" s="69">
        <f t="shared" si="3"/>
        <v>99999</v>
      </c>
      <c r="E144" s="69">
        <f t="shared" si="4"/>
        <v>9999</v>
      </c>
      <c r="F144" s="98" t="str">
        <f t="shared" ca="1" si="5"/>
        <v>00000000000000000000946414</v>
      </c>
      <c r="G144" s="139" t="b">
        <f t="shared" si="6"/>
        <v>1</v>
      </c>
      <c r="H144" s="140">
        <f t="shared" si="7"/>
        <v>134</v>
      </c>
      <c r="I144" s="130" t="s">
        <v>1750</v>
      </c>
      <c r="J144" s="141" t="s">
        <v>1690</v>
      </c>
      <c r="K144" s="17" t="s">
        <v>1690</v>
      </c>
      <c r="L144" s="17" t="s">
        <v>1690</v>
      </c>
      <c r="M144" s="17">
        <v>9999</v>
      </c>
      <c r="N144" s="142">
        <v>0</v>
      </c>
      <c r="O144" s="130" t="s">
        <v>1750</v>
      </c>
      <c r="P144" s="141" t="s">
        <v>1690</v>
      </c>
      <c r="Q144" s="17" t="s">
        <v>1690</v>
      </c>
      <c r="R144" s="17" t="s">
        <v>1690</v>
      </c>
      <c r="S144" s="17">
        <v>9999</v>
      </c>
      <c r="T144" s="142">
        <v>0</v>
      </c>
      <c r="U144" s="130" t="s">
        <v>1750</v>
      </c>
      <c r="V144" s="141" t="s">
        <v>1690</v>
      </c>
      <c r="W144" s="17" t="s">
        <v>1690</v>
      </c>
      <c r="X144" s="17" t="s">
        <v>1690</v>
      </c>
      <c r="Y144" s="17">
        <v>9999</v>
      </c>
      <c r="Z144" s="142">
        <v>0</v>
      </c>
      <c r="AA144" s="130" t="s">
        <v>1750</v>
      </c>
      <c r="AB144" s="141" t="s">
        <v>1690</v>
      </c>
      <c r="AC144" s="17" t="s">
        <v>1690</v>
      </c>
      <c r="AD144" s="17" t="s">
        <v>1690</v>
      </c>
      <c r="AE144" s="17">
        <v>9999</v>
      </c>
      <c r="AF144" s="142">
        <v>0</v>
      </c>
      <c r="AG144" s="130"/>
      <c r="AH144" s="143">
        <f>IF(TYPE(VLOOKUP(H144,Nasazení!$A$3:$E$130,5,0))&lt;4,VLOOKUP(H144,Nasazení!$A$3:$E$130,5,0),0)</f>
        <v>0</v>
      </c>
      <c r="AI144" s="144" t="str">
        <f>IF(N($AH144)&gt;0,VLOOKUP($AH144,Body!$A$4:$F$259,5,0),"")</f>
        <v/>
      </c>
      <c r="AJ144" s="145" t="str">
        <f>IF(N($AH144)&gt;0,VLOOKUP($AH144,Body!$A$4:$F$259,6,0),"")</f>
        <v/>
      </c>
      <c r="AK144" s="144" t="str">
        <f>IF(N($AH144)&gt;0,VLOOKUP($AH144,Body!$A$4:$F$259,2,0),"")</f>
        <v/>
      </c>
      <c r="AL144" s="146" t="str">
        <f t="shared" si="8"/>
        <v/>
      </c>
      <c r="AM144" s="142">
        <f t="shared" si="9"/>
        <v>0</v>
      </c>
      <c r="AN144" s="17">
        <f t="shared" si="10"/>
        <v>0</v>
      </c>
      <c r="AO144" s="17">
        <f t="shared" si="11"/>
        <v>0</v>
      </c>
      <c r="AP144" s="17">
        <f t="shared" si="12"/>
        <v>0</v>
      </c>
      <c r="AQ144" s="17">
        <f t="shared" si="13"/>
        <v>0</v>
      </c>
      <c r="AR144" s="17">
        <f t="shared" si="14"/>
        <v>0</v>
      </c>
    </row>
    <row r="145" spans="1:44" ht="12.75" customHeight="1">
      <c r="A145" s="69">
        <f t="shared" si="0"/>
        <v>0</v>
      </c>
      <c r="B145" s="69">
        <f t="shared" si="1"/>
        <v>0</v>
      </c>
      <c r="C145" s="147">
        <f t="shared" si="2"/>
        <v>0</v>
      </c>
      <c r="D145" s="69">
        <f t="shared" si="3"/>
        <v>99999</v>
      </c>
      <c r="E145" s="69">
        <f t="shared" si="4"/>
        <v>9999</v>
      </c>
      <c r="F145" s="98" t="str">
        <f t="shared" ca="1" si="5"/>
        <v>00000000000000000000981911</v>
      </c>
      <c r="G145" s="139" t="b">
        <f t="shared" si="6"/>
        <v>1</v>
      </c>
      <c r="H145" s="140">
        <f t="shared" si="7"/>
        <v>135</v>
      </c>
      <c r="I145" s="130" t="s">
        <v>1750</v>
      </c>
      <c r="J145" s="141" t="s">
        <v>1690</v>
      </c>
      <c r="K145" s="17" t="s">
        <v>1690</v>
      </c>
      <c r="L145" s="17" t="s">
        <v>1690</v>
      </c>
      <c r="M145" s="17">
        <v>9999</v>
      </c>
      <c r="N145" s="142">
        <v>0</v>
      </c>
      <c r="O145" s="130" t="s">
        <v>1750</v>
      </c>
      <c r="P145" s="141" t="s">
        <v>1690</v>
      </c>
      <c r="Q145" s="17" t="s">
        <v>1690</v>
      </c>
      <c r="R145" s="17" t="s">
        <v>1690</v>
      </c>
      <c r="S145" s="17">
        <v>9999</v>
      </c>
      <c r="T145" s="142">
        <v>0</v>
      </c>
      <c r="U145" s="130" t="s">
        <v>1750</v>
      </c>
      <c r="V145" s="141" t="s">
        <v>1690</v>
      </c>
      <c r="W145" s="17" t="s">
        <v>1690</v>
      </c>
      <c r="X145" s="17" t="s">
        <v>1690</v>
      </c>
      <c r="Y145" s="17">
        <v>9999</v>
      </c>
      <c r="Z145" s="142">
        <v>0</v>
      </c>
      <c r="AA145" s="130" t="s">
        <v>1750</v>
      </c>
      <c r="AB145" s="141" t="s">
        <v>1690</v>
      </c>
      <c r="AC145" s="17" t="s">
        <v>1690</v>
      </c>
      <c r="AD145" s="17" t="s">
        <v>1690</v>
      </c>
      <c r="AE145" s="17">
        <v>9999</v>
      </c>
      <c r="AF145" s="142">
        <v>0</v>
      </c>
      <c r="AG145" s="130"/>
      <c r="AH145" s="143">
        <f>IF(TYPE(VLOOKUP(H145,Nasazení!$A$3:$E$130,5,0))&lt;4,VLOOKUP(H145,Nasazení!$A$3:$E$130,5,0),0)</f>
        <v>0</v>
      </c>
      <c r="AI145" s="144" t="str">
        <f>IF(N($AH145)&gt;0,VLOOKUP($AH145,Body!$A$4:$F$259,5,0),"")</f>
        <v/>
      </c>
      <c r="AJ145" s="145" t="str">
        <f>IF(N($AH145)&gt;0,VLOOKUP($AH145,Body!$A$4:$F$259,6,0),"")</f>
        <v/>
      </c>
      <c r="AK145" s="144" t="str">
        <f>IF(N($AH145)&gt;0,VLOOKUP($AH145,Body!$A$4:$F$259,2,0),"")</f>
        <v/>
      </c>
      <c r="AL145" s="146" t="str">
        <f t="shared" si="8"/>
        <v/>
      </c>
      <c r="AM145" s="142">
        <f t="shared" si="9"/>
        <v>0</v>
      </c>
      <c r="AN145" s="17">
        <f t="shared" si="10"/>
        <v>0</v>
      </c>
      <c r="AO145" s="17">
        <f t="shared" si="11"/>
        <v>0</v>
      </c>
      <c r="AP145" s="17">
        <f t="shared" si="12"/>
        <v>0</v>
      </c>
      <c r="AQ145" s="17">
        <f t="shared" si="13"/>
        <v>0</v>
      </c>
      <c r="AR145" s="17">
        <f t="shared" si="14"/>
        <v>0</v>
      </c>
    </row>
    <row r="146" spans="1:44" ht="12.75" customHeight="1">
      <c r="A146" s="69">
        <f t="shared" si="0"/>
        <v>0</v>
      </c>
      <c r="B146" s="69">
        <f t="shared" si="1"/>
        <v>0</v>
      </c>
      <c r="C146" s="147">
        <f t="shared" si="2"/>
        <v>0</v>
      </c>
      <c r="D146" s="69">
        <f t="shared" si="3"/>
        <v>99999</v>
      </c>
      <c r="E146" s="69">
        <f t="shared" si="4"/>
        <v>9999</v>
      </c>
      <c r="F146" s="98" t="str">
        <f t="shared" ca="1" si="5"/>
        <v>00000000000000000000290823</v>
      </c>
      <c r="G146" s="139" t="b">
        <f t="shared" si="6"/>
        <v>1</v>
      </c>
      <c r="H146" s="140">
        <f t="shared" si="7"/>
        <v>136</v>
      </c>
      <c r="I146" s="130" t="s">
        <v>1750</v>
      </c>
      <c r="J146" s="141" t="s">
        <v>1690</v>
      </c>
      <c r="K146" s="17" t="s">
        <v>1690</v>
      </c>
      <c r="L146" s="17" t="s">
        <v>1690</v>
      </c>
      <c r="M146" s="17">
        <v>9999</v>
      </c>
      <c r="N146" s="142">
        <v>0</v>
      </c>
      <c r="O146" s="130" t="s">
        <v>1750</v>
      </c>
      <c r="P146" s="141" t="s">
        <v>1690</v>
      </c>
      <c r="Q146" s="17" t="s">
        <v>1690</v>
      </c>
      <c r="R146" s="17" t="s">
        <v>1690</v>
      </c>
      <c r="S146" s="17">
        <v>9999</v>
      </c>
      <c r="T146" s="142">
        <v>0</v>
      </c>
      <c r="U146" s="130" t="s">
        <v>1750</v>
      </c>
      <c r="V146" s="141" t="s">
        <v>1690</v>
      </c>
      <c r="W146" s="17" t="s">
        <v>1690</v>
      </c>
      <c r="X146" s="17" t="s">
        <v>1690</v>
      </c>
      <c r="Y146" s="17">
        <v>9999</v>
      </c>
      <c r="Z146" s="142">
        <v>0</v>
      </c>
      <c r="AA146" s="130" t="s">
        <v>1750</v>
      </c>
      <c r="AB146" s="141" t="s">
        <v>1690</v>
      </c>
      <c r="AC146" s="17" t="s">
        <v>1690</v>
      </c>
      <c r="AD146" s="17" t="s">
        <v>1690</v>
      </c>
      <c r="AE146" s="17">
        <v>9999</v>
      </c>
      <c r="AF146" s="142">
        <v>0</v>
      </c>
      <c r="AG146" s="130"/>
      <c r="AH146" s="143">
        <f>IF(TYPE(VLOOKUP(H146,Nasazení!$A$3:$E$130,5,0))&lt;4,VLOOKUP(H146,Nasazení!$A$3:$E$130,5,0),0)</f>
        <v>0</v>
      </c>
      <c r="AI146" s="144" t="str">
        <f>IF(N($AH146)&gt;0,VLOOKUP($AH146,Body!$A$4:$F$259,5,0),"")</f>
        <v/>
      </c>
      <c r="AJ146" s="145" t="str">
        <f>IF(N($AH146)&gt;0,VLOOKUP($AH146,Body!$A$4:$F$259,6,0),"")</f>
        <v/>
      </c>
      <c r="AK146" s="144" t="str">
        <f>IF(N($AH146)&gt;0,VLOOKUP($AH146,Body!$A$4:$F$259,2,0),"")</f>
        <v/>
      </c>
      <c r="AL146" s="146" t="str">
        <f t="shared" si="8"/>
        <v/>
      </c>
      <c r="AM146" s="142">
        <f t="shared" si="9"/>
        <v>0</v>
      </c>
      <c r="AN146" s="17">
        <f t="shared" si="10"/>
        <v>0</v>
      </c>
      <c r="AO146" s="17">
        <f t="shared" si="11"/>
        <v>0</v>
      </c>
      <c r="AP146" s="17">
        <f t="shared" si="12"/>
        <v>0</v>
      </c>
      <c r="AQ146" s="17">
        <f t="shared" si="13"/>
        <v>0</v>
      </c>
      <c r="AR146" s="17">
        <f t="shared" si="14"/>
        <v>0</v>
      </c>
    </row>
    <row r="147" spans="1:44" ht="12.75" customHeight="1">
      <c r="A147" s="69">
        <f t="shared" si="0"/>
        <v>0</v>
      </c>
      <c r="B147" s="69">
        <f t="shared" si="1"/>
        <v>0</v>
      </c>
      <c r="C147" s="147">
        <f t="shared" si="2"/>
        <v>0</v>
      </c>
      <c r="D147" s="69">
        <f t="shared" si="3"/>
        <v>99999</v>
      </c>
      <c r="E147" s="69">
        <f t="shared" si="4"/>
        <v>9999</v>
      </c>
      <c r="F147" s="98" t="str">
        <f t="shared" ca="1" si="5"/>
        <v>00000000000000000000212280</v>
      </c>
      <c r="G147" s="139" t="b">
        <f t="shared" si="6"/>
        <v>1</v>
      </c>
      <c r="H147" s="140">
        <f t="shared" si="7"/>
        <v>137</v>
      </c>
      <c r="I147" s="130" t="s">
        <v>1750</v>
      </c>
      <c r="J147" s="141" t="s">
        <v>1690</v>
      </c>
      <c r="K147" s="17" t="s">
        <v>1690</v>
      </c>
      <c r="L147" s="17" t="s">
        <v>1690</v>
      </c>
      <c r="M147" s="17">
        <v>9999</v>
      </c>
      <c r="N147" s="142">
        <v>0</v>
      </c>
      <c r="O147" s="130" t="s">
        <v>1750</v>
      </c>
      <c r="P147" s="141" t="s">
        <v>1690</v>
      </c>
      <c r="Q147" s="17" t="s">
        <v>1690</v>
      </c>
      <c r="R147" s="17" t="s">
        <v>1690</v>
      </c>
      <c r="S147" s="17">
        <v>9999</v>
      </c>
      <c r="T147" s="142">
        <v>0</v>
      </c>
      <c r="U147" s="130" t="s">
        <v>1750</v>
      </c>
      <c r="V147" s="141" t="s">
        <v>1690</v>
      </c>
      <c r="W147" s="17" t="s">
        <v>1690</v>
      </c>
      <c r="X147" s="17" t="s">
        <v>1690</v>
      </c>
      <c r="Y147" s="17">
        <v>9999</v>
      </c>
      <c r="Z147" s="142">
        <v>0</v>
      </c>
      <c r="AA147" s="130" t="s">
        <v>1750</v>
      </c>
      <c r="AB147" s="141" t="s">
        <v>1690</v>
      </c>
      <c r="AC147" s="17" t="s">
        <v>1690</v>
      </c>
      <c r="AD147" s="17" t="s">
        <v>1690</v>
      </c>
      <c r="AE147" s="17">
        <v>9999</v>
      </c>
      <c r="AF147" s="142">
        <v>0</v>
      </c>
      <c r="AG147" s="130"/>
      <c r="AH147" s="143">
        <f>IF(TYPE(VLOOKUP(H147,Nasazení!$A$3:$E$130,5,0))&lt;4,VLOOKUP(H147,Nasazení!$A$3:$E$130,5,0),0)</f>
        <v>0</v>
      </c>
      <c r="AI147" s="144" t="str">
        <f>IF(N($AH147)&gt;0,VLOOKUP($AH147,Body!$A$4:$F$259,5,0),"")</f>
        <v/>
      </c>
      <c r="AJ147" s="145" t="str">
        <f>IF(N($AH147)&gt;0,VLOOKUP($AH147,Body!$A$4:$F$259,6,0),"")</f>
        <v/>
      </c>
      <c r="AK147" s="144" t="str">
        <f>IF(N($AH147)&gt;0,VLOOKUP($AH147,Body!$A$4:$F$259,2,0),"")</f>
        <v/>
      </c>
      <c r="AL147" s="146" t="str">
        <f t="shared" si="8"/>
        <v/>
      </c>
      <c r="AM147" s="142">
        <f t="shared" si="9"/>
        <v>0</v>
      </c>
      <c r="AN147" s="17">
        <f t="shared" si="10"/>
        <v>0</v>
      </c>
      <c r="AO147" s="17">
        <f t="shared" si="11"/>
        <v>0</v>
      </c>
      <c r="AP147" s="17">
        <f t="shared" si="12"/>
        <v>0</v>
      </c>
      <c r="AQ147" s="17">
        <f t="shared" si="13"/>
        <v>0</v>
      </c>
      <c r="AR147" s="17">
        <f t="shared" si="14"/>
        <v>0</v>
      </c>
    </row>
    <row r="148" spans="1:44" ht="12.75" customHeight="1">
      <c r="A148" s="69">
        <f t="shared" si="0"/>
        <v>0</v>
      </c>
      <c r="B148" s="69">
        <f t="shared" si="1"/>
        <v>0</v>
      </c>
      <c r="C148" s="147">
        <f t="shared" si="2"/>
        <v>0</v>
      </c>
      <c r="D148" s="69">
        <f t="shared" si="3"/>
        <v>99999</v>
      </c>
      <c r="E148" s="69">
        <f t="shared" si="4"/>
        <v>9999</v>
      </c>
      <c r="F148" s="98" t="str">
        <f t="shared" ca="1" si="5"/>
        <v>00000000000000000000797796</v>
      </c>
      <c r="G148" s="139" t="b">
        <f t="shared" si="6"/>
        <v>1</v>
      </c>
      <c r="H148" s="140">
        <f t="shared" si="7"/>
        <v>138</v>
      </c>
      <c r="I148" s="130" t="s">
        <v>1750</v>
      </c>
      <c r="J148" s="141" t="s">
        <v>1690</v>
      </c>
      <c r="K148" s="17" t="s">
        <v>1690</v>
      </c>
      <c r="L148" s="17" t="s">
        <v>1690</v>
      </c>
      <c r="M148" s="17">
        <v>9999</v>
      </c>
      <c r="N148" s="142">
        <v>0</v>
      </c>
      <c r="O148" s="130" t="s">
        <v>1750</v>
      </c>
      <c r="P148" s="141" t="s">
        <v>1690</v>
      </c>
      <c r="Q148" s="17" t="s">
        <v>1690</v>
      </c>
      <c r="R148" s="17" t="s">
        <v>1690</v>
      </c>
      <c r="S148" s="17">
        <v>9999</v>
      </c>
      <c r="T148" s="142">
        <v>0</v>
      </c>
      <c r="U148" s="130" t="s">
        <v>1750</v>
      </c>
      <c r="V148" s="141" t="s">
        <v>1690</v>
      </c>
      <c r="W148" s="17" t="s">
        <v>1690</v>
      </c>
      <c r="X148" s="17" t="s">
        <v>1690</v>
      </c>
      <c r="Y148" s="17">
        <v>9999</v>
      </c>
      <c r="Z148" s="142">
        <v>0</v>
      </c>
      <c r="AA148" s="130" t="s">
        <v>1750</v>
      </c>
      <c r="AB148" s="141" t="s">
        <v>1690</v>
      </c>
      <c r="AC148" s="17" t="s">
        <v>1690</v>
      </c>
      <c r="AD148" s="17" t="s">
        <v>1690</v>
      </c>
      <c r="AE148" s="17">
        <v>9999</v>
      </c>
      <c r="AF148" s="142">
        <v>0</v>
      </c>
      <c r="AG148" s="130"/>
      <c r="AH148" s="143">
        <f>IF(TYPE(VLOOKUP(H148,Nasazení!$A$3:$E$130,5,0))&lt;4,VLOOKUP(H148,Nasazení!$A$3:$E$130,5,0),0)</f>
        <v>0</v>
      </c>
      <c r="AI148" s="144" t="str">
        <f>IF(N($AH148)&gt;0,VLOOKUP($AH148,Body!$A$4:$F$259,5,0),"")</f>
        <v/>
      </c>
      <c r="AJ148" s="145" t="str">
        <f>IF(N($AH148)&gt;0,VLOOKUP($AH148,Body!$A$4:$F$259,6,0),"")</f>
        <v/>
      </c>
      <c r="AK148" s="144" t="str">
        <f>IF(N($AH148)&gt;0,VLOOKUP($AH148,Body!$A$4:$F$259,2,0),"")</f>
        <v/>
      </c>
      <c r="AL148" s="146" t="str">
        <f t="shared" si="8"/>
        <v/>
      </c>
      <c r="AM148" s="142">
        <f t="shared" si="9"/>
        <v>0</v>
      </c>
      <c r="AN148" s="17">
        <f t="shared" si="10"/>
        <v>0</v>
      </c>
      <c r="AO148" s="17">
        <f t="shared" si="11"/>
        <v>0</v>
      </c>
      <c r="AP148" s="17">
        <f t="shared" si="12"/>
        <v>0</v>
      </c>
      <c r="AQ148" s="17">
        <f t="shared" si="13"/>
        <v>0</v>
      </c>
      <c r="AR148" s="17">
        <f t="shared" si="14"/>
        <v>0</v>
      </c>
    </row>
    <row r="149" spans="1:44" ht="12.75" customHeight="1">
      <c r="A149" s="69">
        <f t="shared" si="0"/>
        <v>0</v>
      </c>
      <c r="B149" s="69">
        <f t="shared" si="1"/>
        <v>0</v>
      </c>
      <c r="C149" s="147">
        <f t="shared" si="2"/>
        <v>0</v>
      </c>
      <c r="D149" s="69">
        <f t="shared" si="3"/>
        <v>99999</v>
      </c>
      <c r="E149" s="69">
        <f t="shared" si="4"/>
        <v>9999</v>
      </c>
      <c r="F149" s="98" t="str">
        <f t="shared" ca="1" si="5"/>
        <v>00000000000000000000896248</v>
      </c>
      <c r="G149" s="139" t="b">
        <f t="shared" si="6"/>
        <v>1</v>
      </c>
      <c r="H149" s="140">
        <f t="shared" si="7"/>
        <v>139</v>
      </c>
      <c r="I149" s="130" t="s">
        <v>1750</v>
      </c>
      <c r="J149" s="141" t="s">
        <v>1690</v>
      </c>
      <c r="K149" s="17" t="s">
        <v>1690</v>
      </c>
      <c r="L149" s="17" t="s">
        <v>1690</v>
      </c>
      <c r="M149" s="17">
        <v>9999</v>
      </c>
      <c r="N149" s="142">
        <v>0</v>
      </c>
      <c r="O149" s="130" t="s">
        <v>1750</v>
      </c>
      <c r="P149" s="141" t="s">
        <v>1690</v>
      </c>
      <c r="Q149" s="17" t="s">
        <v>1690</v>
      </c>
      <c r="R149" s="17" t="s">
        <v>1690</v>
      </c>
      <c r="S149" s="17">
        <v>9999</v>
      </c>
      <c r="T149" s="142">
        <v>0</v>
      </c>
      <c r="U149" s="130" t="s">
        <v>1750</v>
      </c>
      <c r="V149" s="141" t="s">
        <v>1690</v>
      </c>
      <c r="W149" s="17" t="s">
        <v>1690</v>
      </c>
      <c r="X149" s="17" t="s">
        <v>1690</v>
      </c>
      <c r="Y149" s="17">
        <v>9999</v>
      </c>
      <c r="Z149" s="142">
        <v>0</v>
      </c>
      <c r="AA149" s="130" t="s">
        <v>1750</v>
      </c>
      <c r="AB149" s="141" t="s">
        <v>1690</v>
      </c>
      <c r="AC149" s="17" t="s">
        <v>1690</v>
      </c>
      <c r="AD149" s="17" t="s">
        <v>1690</v>
      </c>
      <c r="AE149" s="17">
        <v>9999</v>
      </c>
      <c r="AF149" s="142">
        <v>0</v>
      </c>
      <c r="AG149" s="130"/>
      <c r="AH149" s="143">
        <f>IF(TYPE(VLOOKUP(H149,Nasazení!$A$3:$E$130,5,0))&lt;4,VLOOKUP(H149,Nasazení!$A$3:$E$130,5,0),0)</f>
        <v>0</v>
      </c>
      <c r="AI149" s="144" t="str">
        <f>IF(N($AH149)&gt;0,VLOOKUP($AH149,Body!$A$4:$F$259,5,0),"")</f>
        <v/>
      </c>
      <c r="AJ149" s="145" t="str">
        <f>IF(N($AH149)&gt;0,VLOOKUP($AH149,Body!$A$4:$F$259,6,0),"")</f>
        <v/>
      </c>
      <c r="AK149" s="144" t="str">
        <f>IF(N($AH149)&gt;0,VLOOKUP($AH149,Body!$A$4:$F$259,2,0),"")</f>
        <v/>
      </c>
      <c r="AL149" s="146" t="str">
        <f t="shared" si="8"/>
        <v/>
      </c>
      <c r="AM149" s="142">
        <f t="shared" si="9"/>
        <v>0</v>
      </c>
      <c r="AN149" s="17">
        <f t="shared" si="10"/>
        <v>0</v>
      </c>
      <c r="AO149" s="17">
        <f t="shared" si="11"/>
        <v>0</v>
      </c>
      <c r="AP149" s="17">
        <f t="shared" si="12"/>
        <v>0</v>
      </c>
      <c r="AQ149" s="17">
        <f t="shared" si="13"/>
        <v>0</v>
      </c>
      <c r="AR149" s="17">
        <f t="shared" si="14"/>
        <v>0</v>
      </c>
    </row>
    <row r="150" spans="1:44" ht="12.75" customHeight="1">
      <c r="A150" s="69">
        <f t="shared" si="0"/>
        <v>0</v>
      </c>
      <c r="B150" s="69">
        <f t="shared" si="1"/>
        <v>0</v>
      </c>
      <c r="C150" s="147">
        <f t="shared" si="2"/>
        <v>0</v>
      </c>
      <c r="D150" s="69">
        <f t="shared" si="3"/>
        <v>99999</v>
      </c>
      <c r="E150" s="69">
        <f t="shared" si="4"/>
        <v>9999</v>
      </c>
      <c r="F150" s="98" t="str">
        <f t="shared" ca="1" si="5"/>
        <v>00000000000000000000864243</v>
      </c>
      <c r="G150" s="139" t="b">
        <f t="shared" si="6"/>
        <v>1</v>
      </c>
      <c r="H150" s="140">
        <f t="shared" si="7"/>
        <v>140</v>
      </c>
      <c r="I150" s="130" t="s">
        <v>1750</v>
      </c>
      <c r="J150" s="141" t="s">
        <v>1690</v>
      </c>
      <c r="K150" s="17" t="s">
        <v>1690</v>
      </c>
      <c r="L150" s="17" t="s">
        <v>1690</v>
      </c>
      <c r="M150" s="17">
        <v>9999</v>
      </c>
      <c r="N150" s="142">
        <v>0</v>
      </c>
      <c r="O150" s="130" t="s">
        <v>1750</v>
      </c>
      <c r="P150" s="141" t="s">
        <v>1690</v>
      </c>
      <c r="Q150" s="17" t="s">
        <v>1690</v>
      </c>
      <c r="R150" s="17" t="s">
        <v>1690</v>
      </c>
      <c r="S150" s="17">
        <v>9999</v>
      </c>
      <c r="T150" s="142">
        <v>0</v>
      </c>
      <c r="U150" s="130" t="s">
        <v>1750</v>
      </c>
      <c r="V150" s="141" t="s">
        <v>1690</v>
      </c>
      <c r="W150" s="17" t="s">
        <v>1690</v>
      </c>
      <c r="X150" s="17" t="s">
        <v>1690</v>
      </c>
      <c r="Y150" s="17">
        <v>9999</v>
      </c>
      <c r="Z150" s="142">
        <v>0</v>
      </c>
      <c r="AA150" s="130" t="s">
        <v>1750</v>
      </c>
      <c r="AB150" s="141" t="s">
        <v>1690</v>
      </c>
      <c r="AC150" s="17" t="s">
        <v>1690</v>
      </c>
      <c r="AD150" s="17" t="s">
        <v>1690</v>
      </c>
      <c r="AE150" s="17">
        <v>9999</v>
      </c>
      <c r="AF150" s="142">
        <v>0</v>
      </c>
      <c r="AG150" s="130"/>
      <c r="AH150" s="143">
        <f>IF(TYPE(VLOOKUP(H150,Nasazení!$A$3:$E$130,5,0))&lt;4,VLOOKUP(H150,Nasazení!$A$3:$E$130,5,0),0)</f>
        <v>0</v>
      </c>
      <c r="AI150" s="144" t="str">
        <f>IF(N($AH150)&gt;0,VLOOKUP($AH150,Body!$A$4:$F$259,5,0),"")</f>
        <v/>
      </c>
      <c r="AJ150" s="145" t="str">
        <f>IF(N($AH150)&gt;0,VLOOKUP($AH150,Body!$A$4:$F$259,6,0),"")</f>
        <v/>
      </c>
      <c r="AK150" s="144" t="str">
        <f>IF(N($AH150)&gt;0,VLOOKUP($AH150,Body!$A$4:$F$259,2,0),"")</f>
        <v/>
      </c>
      <c r="AL150" s="146" t="str">
        <f t="shared" si="8"/>
        <v/>
      </c>
      <c r="AM150" s="142">
        <f t="shared" si="9"/>
        <v>0</v>
      </c>
      <c r="AN150" s="17">
        <f t="shared" si="10"/>
        <v>0</v>
      </c>
      <c r="AO150" s="17">
        <f t="shared" si="11"/>
        <v>0</v>
      </c>
      <c r="AP150" s="17">
        <f t="shared" si="12"/>
        <v>0</v>
      </c>
      <c r="AQ150" s="17">
        <f t="shared" si="13"/>
        <v>0</v>
      </c>
      <c r="AR150" s="17">
        <f t="shared" si="14"/>
        <v>0</v>
      </c>
    </row>
    <row r="151" spans="1:44" ht="12.75" customHeight="1">
      <c r="A151" s="69">
        <f t="shared" si="0"/>
        <v>0</v>
      </c>
      <c r="B151" s="69">
        <f t="shared" si="1"/>
        <v>0</v>
      </c>
      <c r="C151" s="147">
        <f t="shared" si="2"/>
        <v>0</v>
      </c>
      <c r="D151" s="69">
        <f t="shared" si="3"/>
        <v>99999</v>
      </c>
      <c r="E151" s="69">
        <f t="shared" si="4"/>
        <v>9999</v>
      </c>
      <c r="F151" s="98" t="str">
        <f t="shared" ca="1" si="5"/>
        <v>00000000000000000000739656</v>
      </c>
      <c r="G151" s="139" t="b">
        <f t="shared" si="6"/>
        <v>1</v>
      </c>
      <c r="H151" s="140">
        <f t="shared" si="7"/>
        <v>141</v>
      </c>
      <c r="I151" s="130" t="s">
        <v>1750</v>
      </c>
      <c r="J151" s="141" t="s">
        <v>1690</v>
      </c>
      <c r="K151" s="17" t="s">
        <v>1690</v>
      </c>
      <c r="L151" s="17" t="s">
        <v>1690</v>
      </c>
      <c r="M151" s="17">
        <v>9999</v>
      </c>
      <c r="N151" s="142">
        <v>0</v>
      </c>
      <c r="O151" s="130" t="s">
        <v>1750</v>
      </c>
      <c r="P151" s="141" t="s">
        <v>1690</v>
      </c>
      <c r="Q151" s="17" t="s">
        <v>1690</v>
      </c>
      <c r="R151" s="17" t="s">
        <v>1690</v>
      </c>
      <c r="S151" s="17">
        <v>9999</v>
      </c>
      <c r="T151" s="142">
        <v>0</v>
      </c>
      <c r="U151" s="130" t="s">
        <v>1750</v>
      </c>
      <c r="V151" s="141" t="s">
        <v>1690</v>
      </c>
      <c r="W151" s="17" t="s">
        <v>1690</v>
      </c>
      <c r="X151" s="17" t="s">
        <v>1690</v>
      </c>
      <c r="Y151" s="17">
        <v>9999</v>
      </c>
      <c r="Z151" s="142">
        <v>0</v>
      </c>
      <c r="AA151" s="130" t="s">
        <v>1750</v>
      </c>
      <c r="AB151" s="141" t="s">
        <v>1690</v>
      </c>
      <c r="AC151" s="17" t="s">
        <v>1690</v>
      </c>
      <c r="AD151" s="17" t="s">
        <v>1690</v>
      </c>
      <c r="AE151" s="17">
        <v>9999</v>
      </c>
      <c r="AF151" s="142">
        <v>0</v>
      </c>
      <c r="AG151" s="130"/>
      <c r="AH151" s="143">
        <f>IF(TYPE(VLOOKUP(H151,Nasazení!$A$3:$E$130,5,0))&lt;4,VLOOKUP(H151,Nasazení!$A$3:$E$130,5,0),0)</f>
        <v>0</v>
      </c>
      <c r="AI151" s="144" t="str">
        <f>IF(N($AH151)&gt;0,VLOOKUP($AH151,Body!$A$4:$F$259,5,0),"")</f>
        <v/>
      </c>
      <c r="AJ151" s="145" t="str">
        <f>IF(N($AH151)&gt;0,VLOOKUP($AH151,Body!$A$4:$F$259,6,0),"")</f>
        <v/>
      </c>
      <c r="AK151" s="144" t="str">
        <f>IF(N($AH151)&gt;0,VLOOKUP($AH151,Body!$A$4:$F$259,2,0),"")</f>
        <v/>
      </c>
      <c r="AL151" s="146" t="str">
        <f t="shared" si="8"/>
        <v/>
      </c>
      <c r="AM151" s="142">
        <f t="shared" si="9"/>
        <v>0</v>
      </c>
      <c r="AN151" s="17">
        <f t="shared" si="10"/>
        <v>0</v>
      </c>
      <c r="AO151" s="17">
        <f t="shared" si="11"/>
        <v>0</v>
      </c>
      <c r="AP151" s="17">
        <f t="shared" si="12"/>
        <v>0</v>
      </c>
      <c r="AQ151" s="17">
        <f t="shared" si="13"/>
        <v>0</v>
      </c>
      <c r="AR151" s="17">
        <f t="shared" si="14"/>
        <v>0</v>
      </c>
    </row>
    <row r="152" spans="1:44" ht="12.75" customHeight="1">
      <c r="A152" s="69">
        <f t="shared" si="0"/>
        <v>0</v>
      </c>
      <c r="B152" s="69">
        <f t="shared" si="1"/>
        <v>0</v>
      </c>
      <c r="C152" s="147">
        <f t="shared" si="2"/>
        <v>0</v>
      </c>
      <c r="D152" s="69">
        <f t="shared" si="3"/>
        <v>99999</v>
      </c>
      <c r="E152" s="69">
        <f t="shared" si="4"/>
        <v>9999</v>
      </c>
      <c r="F152" s="98" t="str">
        <f t="shared" ca="1" si="5"/>
        <v>00000000000000000000739815</v>
      </c>
      <c r="G152" s="139" t="b">
        <f t="shared" si="6"/>
        <v>1</v>
      </c>
      <c r="H152" s="140">
        <f t="shared" si="7"/>
        <v>142</v>
      </c>
      <c r="I152" s="130" t="s">
        <v>1750</v>
      </c>
      <c r="J152" s="141" t="s">
        <v>1690</v>
      </c>
      <c r="K152" s="17" t="s">
        <v>1690</v>
      </c>
      <c r="L152" s="17" t="s">
        <v>1690</v>
      </c>
      <c r="M152" s="17">
        <v>9999</v>
      </c>
      <c r="N152" s="142">
        <v>0</v>
      </c>
      <c r="O152" s="130" t="s">
        <v>1750</v>
      </c>
      <c r="P152" s="141" t="s">
        <v>1690</v>
      </c>
      <c r="Q152" s="17" t="s">
        <v>1690</v>
      </c>
      <c r="R152" s="17" t="s">
        <v>1690</v>
      </c>
      <c r="S152" s="17">
        <v>9999</v>
      </c>
      <c r="T152" s="142">
        <v>0</v>
      </c>
      <c r="U152" s="130" t="s">
        <v>1750</v>
      </c>
      <c r="V152" s="141" t="s">
        <v>1690</v>
      </c>
      <c r="W152" s="17" t="s">
        <v>1690</v>
      </c>
      <c r="X152" s="17" t="s">
        <v>1690</v>
      </c>
      <c r="Y152" s="17">
        <v>9999</v>
      </c>
      <c r="Z152" s="142">
        <v>0</v>
      </c>
      <c r="AA152" s="130" t="s">
        <v>1750</v>
      </c>
      <c r="AB152" s="141" t="s">
        <v>1690</v>
      </c>
      <c r="AC152" s="17" t="s">
        <v>1690</v>
      </c>
      <c r="AD152" s="17" t="s">
        <v>1690</v>
      </c>
      <c r="AE152" s="17">
        <v>9999</v>
      </c>
      <c r="AF152" s="142">
        <v>0</v>
      </c>
      <c r="AG152" s="130"/>
      <c r="AH152" s="143">
        <f>IF(TYPE(VLOOKUP(H152,Nasazení!$A$3:$E$130,5,0))&lt;4,VLOOKUP(H152,Nasazení!$A$3:$E$130,5,0),0)</f>
        <v>0</v>
      </c>
      <c r="AI152" s="144" t="str">
        <f>IF(N($AH152)&gt;0,VLOOKUP($AH152,Body!$A$4:$F$259,5,0),"")</f>
        <v/>
      </c>
      <c r="AJ152" s="145" t="str">
        <f>IF(N($AH152)&gt;0,VLOOKUP($AH152,Body!$A$4:$F$259,6,0),"")</f>
        <v/>
      </c>
      <c r="AK152" s="144" t="str">
        <f>IF(N($AH152)&gt;0,VLOOKUP($AH152,Body!$A$4:$F$259,2,0),"")</f>
        <v/>
      </c>
      <c r="AL152" s="146" t="str">
        <f t="shared" si="8"/>
        <v/>
      </c>
      <c r="AM152" s="142">
        <f t="shared" si="9"/>
        <v>0</v>
      </c>
      <c r="AN152" s="17">
        <f t="shared" si="10"/>
        <v>0</v>
      </c>
      <c r="AO152" s="17">
        <f t="shared" si="11"/>
        <v>0</v>
      </c>
      <c r="AP152" s="17">
        <f t="shared" si="12"/>
        <v>0</v>
      </c>
      <c r="AQ152" s="17">
        <f t="shared" si="13"/>
        <v>0</v>
      </c>
      <c r="AR152" s="17">
        <f t="shared" si="14"/>
        <v>0</v>
      </c>
    </row>
    <row r="153" spans="1:44" ht="12.75" customHeight="1">
      <c r="A153" s="69">
        <f t="shared" si="0"/>
        <v>0</v>
      </c>
      <c r="B153" s="69">
        <f t="shared" si="1"/>
        <v>0</v>
      </c>
      <c r="C153" s="147">
        <f t="shared" si="2"/>
        <v>0</v>
      </c>
      <c r="D153" s="69">
        <f t="shared" si="3"/>
        <v>99999</v>
      </c>
      <c r="E153" s="69">
        <f t="shared" si="4"/>
        <v>9999</v>
      </c>
      <c r="F153" s="98" t="str">
        <f t="shared" ca="1" si="5"/>
        <v>00000000000000000000010557</v>
      </c>
      <c r="G153" s="139" t="b">
        <f t="shared" si="6"/>
        <v>1</v>
      </c>
      <c r="H153" s="140">
        <f t="shared" si="7"/>
        <v>143</v>
      </c>
      <c r="I153" s="130" t="s">
        <v>1750</v>
      </c>
      <c r="J153" s="141" t="s">
        <v>1690</v>
      </c>
      <c r="K153" s="17" t="s">
        <v>1690</v>
      </c>
      <c r="L153" s="17" t="s">
        <v>1690</v>
      </c>
      <c r="M153" s="17">
        <v>9999</v>
      </c>
      <c r="N153" s="142">
        <v>0</v>
      </c>
      <c r="O153" s="130" t="s">
        <v>1750</v>
      </c>
      <c r="P153" s="141" t="s">
        <v>1690</v>
      </c>
      <c r="Q153" s="17" t="s">
        <v>1690</v>
      </c>
      <c r="R153" s="17" t="s">
        <v>1690</v>
      </c>
      <c r="S153" s="17">
        <v>9999</v>
      </c>
      <c r="T153" s="142">
        <v>0</v>
      </c>
      <c r="U153" s="130" t="s">
        <v>1750</v>
      </c>
      <c r="V153" s="141" t="s">
        <v>1690</v>
      </c>
      <c r="W153" s="17" t="s">
        <v>1690</v>
      </c>
      <c r="X153" s="17" t="s">
        <v>1690</v>
      </c>
      <c r="Y153" s="17">
        <v>9999</v>
      </c>
      <c r="Z153" s="142">
        <v>0</v>
      </c>
      <c r="AA153" s="130" t="s">
        <v>1750</v>
      </c>
      <c r="AB153" s="141" t="s">
        <v>1690</v>
      </c>
      <c r="AC153" s="17" t="s">
        <v>1690</v>
      </c>
      <c r="AD153" s="17" t="s">
        <v>1690</v>
      </c>
      <c r="AE153" s="17">
        <v>9999</v>
      </c>
      <c r="AF153" s="142">
        <v>0</v>
      </c>
      <c r="AG153" s="130"/>
      <c r="AH153" s="143">
        <f>IF(TYPE(VLOOKUP(H153,Nasazení!$A$3:$E$130,5,0))&lt;4,VLOOKUP(H153,Nasazení!$A$3:$E$130,5,0),0)</f>
        <v>0</v>
      </c>
      <c r="AI153" s="144" t="str">
        <f>IF(N($AH153)&gt;0,VLOOKUP($AH153,Body!$A$4:$F$259,5,0),"")</f>
        <v/>
      </c>
      <c r="AJ153" s="145" t="str">
        <f>IF(N($AH153)&gt;0,VLOOKUP($AH153,Body!$A$4:$F$259,6,0),"")</f>
        <v/>
      </c>
      <c r="AK153" s="144" t="str">
        <f>IF(N($AH153)&gt;0,VLOOKUP($AH153,Body!$A$4:$F$259,2,0),"")</f>
        <v/>
      </c>
      <c r="AL153" s="146" t="str">
        <f t="shared" si="8"/>
        <v/>
      </c>
      <c r="AM153" s="142">
        <f t="shared" si="9"/>
        <v>0</v>
      </c>
      <c r="AN153" s="17">
        <f t="shared" si="10"/>
        <v>0</v>
      </c>
      <c r="AO153" s="17">
        <f t="shared" si="11"/>
        <v>0</v>
      </c>
      <c r="AP153" s="17">
        <f t="shared" si="12"/>
        <v>0</v>
      </c>
      <c r="AQ153" s="17">
        <f t="shared" si="13"/>
        <v>0</v>
      </c>
      <c r="AR153" s="17">
        <f t="shared" si="14"/>
        <v>0</v>
      </c>
    </row>
    <row r="154" spans="1:44" ht="12.75" customHeight="1">
      <c r="A154" s="69">
        <f t="shared" si="0"/>
        <v>0</v>
      </c>
      <c r="B154" s="69">
        <f t="shared" si="1"/>
        <v>0</v>
      </c>
      <c r="C154" s="147">
        <f t="shared" si="2"/>
        <v>0</v>
      </c>
      <c r="D154" s="69">
        <f t="shared" si="3"/>
        <v>99999</v>
      </c>
      <c r="E154" s="69">
        <f t="shared" si="4"/>
        <v>9999</v>
      </c>
      <c r="F154" s="98" t="str">
        <f t="shared" ca="1" si="5"/>
        <v>00000000000000000000151902</v>
      </c>
      <c r="G154" s="139" t="b">
        <f t="shared" si="6"/>
        <v>1</v>
      </c>
      <c r="H154" s="140">
        <f t="shared" si="7"/>
        <v>144</v>
      </c>
      <c r="I154" s="130" t="s">
        <v>1750</v>
      </c>
      <c r="J154" s="141" t="s">
        <v>1690</v>
      </c>
      <c r="K154" s="17" t="s">
        <v>1690</v>
      </c>
      <c r="L154" s="17" t="s">
        <v>1690</v>
      </c>
      <c r="M154" s="17">
        <v>9999</v>
      </c>
      <c r="N154" s="142">
        <v>0</v>
      </c>
      <c r="O154" s="130" t="s">
        <v>1750</v>
      </c>
      <c r="P154" s="141" t="s">
        <v>1690</v>
      </c>
      <c r="Q154" s="17" t="s">
        <v>1690</v>
      </c>
      <c r="R154" s="17" t="s">
        <v>1690</v>
      </c>
      <c r="S154" s="17">
        <v>9999</v>
      </c>
      <c r="T154" s="142">
        <v>0</v>
      </c>
      <c r="U154" s="130" t="s">
        <v>1750</v>
      </c>
      <c r="V154" s="141" t="s">
        <v>1690</v>
      </c>
      <c r="W154" s="17" t="s">
        <v>1690</v>
      </c>
      <c r="X154" s="17" t="s">
        <v>1690</v>
      </c>
      <c r="Y154" s="17">
        <v>9999</v>
      </c>
      <c r="Z154" s="142">
        <v>0</v>
      </c>
      <c r="AA154" s="130" t="s">
        <v>1750</v>
      </c>
      <c r="AB154" s="141" t="s">
        <v>1690</v>
      </c>
      <c r="AC154" s="17" t="s">
        <v>1690</v>
      </c>
      <c r="AD154" s="17" t="s">
        <v>1690</v>
      </c>
      <c r="AE154" s="17">
        <v>9999</v>
      </c>
      <c r="AF154" s="142">
        <v>0</v>
      </c>
      <c r="AG154" s="130"/>
      <c r="AH154" s="143">
        <f>IF(TYPE(VLOOKUP(H154,Nasazení!$A$3:$E$130,5,0))&lt;4,VLOOKUP(H154,Nasazení!$A$3:$E$130,5,0),0)</f>
        <v>0</v>
      </c>
      <c r="AI154" s="144" t="str">
        <f>IF(N($AH154)&gt;0,VLOOKUP($AH154,Body!$A$4:$F$259,5,0),"")</f>
        <v/>
      </c>
      <c r="AJ154" s="145" t="str">
        <f>IF(N($AH154)&gt;0,VLOOKUP($AH154,Body!$A$4:$F$259,6,0),"")</f>
        <v/>
      </c>
      <c r="AK154" s="144" t="str">
        <f>IF(N($AH154)&gt;0,VLOOKUP($AH154,Body!$A$4:$F$259,2,0),"")</f>
        <v/>
      </c>
      <c r="AL154" s="146" t="str">
        <f t="shared" si="8"/>
        <v/>
      </c>
      <c r="AM154" s="142">
        <f t="shared" si="9"/>
        <v>0</v>
      </c>
      <c r="AN154" s="17">
        <f t="shared" si="10"/>
        <v>0</v>
      </c>
      <c r="AO154" s="17">
        <f t="shared" si="11"/>
        <v>0</v>
      </c>
      <c r="AP154" s="17">
        <f t="shared" si="12"/>
        <v>0</v>
      </c>
      <c r="AQ154" s="17">
        <f t="shared" si="13"/>
        <v>0</v>
      </c>
      <c r="AR154" s="17">
        <f t="shared" si="14"/>
        <v>0</v>
      </c>
    </row>
    <row r="155" spans="1:44" ht="12.75" customHeight="1">
      <c r="A155" s="69">
        <f t="shared" si="0"/>
        <v>0</v>
      </c>
      <c r="B155" s="69">
        <f t="shared" si="1"/>
        <v>0</v>
      </c>
      <c r="C155" s="147">
        <f t="shared" si="2"/>
        <v>0</v>
      </c>
      <c r="D155" s="69">
        <f t="shared" si="3"/>
        <v>99999</v>
      </c>
      <c r="E155" s="69">
        <f t="shared" si="4"/>
        <v>9999</v>
      </c>
      <c r="F155" s="98" t="str">
        <f t="shared" ca="1" si="5"/>
        <v>00000000000000000000531906</v>
      </c>
      <c r="G155" s="139" t="b">
        <f t="shared" si="6"/>
        <v>1</v>
      </c>
      <c r="H155" s="140">
        <f t="shared" si="7"/>
        <v>145</v>
      </c>
      <c r="I155" s="130" t="s">
        <v>1750</v>
      </c>
      <c r="J155" s="141" t="s">
        <v>1690</v>
      </c>
      <c r="K155" s="17" t="s">
        <v>1690</v>
      </c>
      <c r="L155" s="17" t="s">
        <v>1690</v>
      </c>
      <c r="M155" s="17">
        <v>9999</v>
      </c>
      <c r="N155" s="142">
        <v>0</v>
      </c>
      <c r="O155" s="130" t="s">
        <v>1750</v>
      </c>
      <c r="P155" s="141" t="s">
        <v>1690</v>
      </c>
      <c r="Q155" s="17" t="s">
        <v>1690</v>
      </c>
      <c r="R155" s="17" t="s">
        <v>1690</v>
      </c>
      <c r="S155" s="17">
        <v>9999</v>
      </c>
      <c r="T155" s="142">
        <v>0</v>
      </c>
      <c r="U155" s="130" t="s">
        <v>1750</v>
      </c>
      <c r="V155" s="141" t="s">
        <v>1690</v>
      </c>
      <c r="W155" s="17" t="s">
        <v>1690</v>
      </c>
      <c r="X155" s="17" t="s">
        <v>1690</v>
      </c>
      <c r="Y155" s="17">
        <v>9999</v>
      </c>
      <c r="Z155" s="142">
        <v>0</v>
      </c>
      <c r="AA155" s="130" t="s">
        <v>1750</v>
      </c>
      <c r="AB155" s="141" t="s">
        <v>1690</v>
      </c>
      <c r="AC155" s="17" t="s">
        <v>1690</v>
      </c>
      <c r="AD155" s="17" t="s">
        <v>1690</v>
      </c>
      <c r="AE155" s="17">
        <v>9999</v>
      </c>
      <c r="AF155" s="142">
        <v>0</v>
      </c>
      <c r="AG155" s="130"/>
      <c r="AH155" s="143">
        <f>IF(TYPE(VLOOKUP(H155,Nasazení!$A$3:$E$130,5,0))&lt;4,VLOOKUP(H155,Nasazení!$A$3:$E$130,5,0),0)</f>
        <v>0</v>
      </c>
      <c r="AI155" s="144" t="str">
        <f>IF(N($AH155)&gt;0,VLOOKUP($AH155,Body!$A$4:$F$259,5,0),"")</f>
        <v/>
      </c>
      <c r="AJ155" s="145" t="str">
        <f>IF(N($AH155)&gt;0,VLOOKUP($AH155,Body!$A$4:$F$259,6,0),"")</f>
        <v/>
      </c>
      <c r="AK155" s="144" t="str">
        <f>IF(N($AH155)&gt;0,VLOOKUP($AH155,Body!$A$4:$F$259,2,0),"")</f>
        <v/>
      </c>
      <c r="AL155" s="146" t="str">
        <f t="shared" si="8"/>
        <v/>
      </c>
      <c r="AM155" s="142">
        <f t="shared" si="9"/>
        <v>0</v>
      </c>
      <c r="AN155" s="17">
        <f t="shared" si="10"/>
        <v>0</v>
      </c>
      <c r="AO155" s="17">
        <f t="shared" si="11"/>
        <v>0</v>
      </c>
      <c r="AP155" s="17">
        <f t="shared" si="12"/>
        <v>0</v>
      </c>
      <c r="AQ155" s="17">
        <f t="shared" si="13"/>
        <v>0</v>
      </c>
      <c r="AR155" s="17">
        <f t="shared" si="14"/>
        <v>0</v>
      </c>
    </row>
    <row r="156" spans="1:44" ht="12.75" customHeight="1">
      <c r="A156" s="69">
        <f t="shared" si="0"/>
        <v>0</v>
      </c>
      <c r="B156" s="69">
        <f t="shared" si="1"/>
        <v>0</v>
      </c>
      <c r="C156" s="147">
        <f t="shared" si="2"/>
        <v>0</v>
      </c>
      <c r="D156" s="69">
        <f t="shared" si="3"/>
        <v>99999</v>
      </c>
      <c r="E156" s="69">
        <f t="shared" si="4"/>
        <v>9999</v>
      </c>
      <c r="F156" s="98" t="str">
        <f t="shared" ca="1" si="5"/>
        <v>00000000000000000000484234</v>
      </c>
      <c r="G156" s="139" t="b">
        <f t="shared" si="6"/>
        <v>1</v>
      </c>
      <c r="H156" s="140">
        <f t="shared" si="7"/>
        <v>146</v>
      </c>
      <c r="I156" s="130" t="s">
        <v>1750</v>
      </c>
      <c r="J156" s="141" t="s">
        <v>1690</v>
      </c>
      <c r="K156" s="17" t="s">
        <v>1690</v>
      </c>
      <c r="L156" s="17" t="s">
        <v>1690</v>
      </c>
      <c r="M156" s="17">
        <v>9999</v>
      </c>
      <c r="N156" s="142">
        <v>0</v>
      </c>
      <c r="O156" s="130" t="s">
        <v>1750</v>
      </c>
      <c r="P156" s="141" t="s">
        <v>1690</v>
      </c>
      <c r="Q156" s="17" t="s">
        <v>1690</v>
      </c>
      <c r="R156" s="17" t="s">
        <v>1690</v>
      </c>
      <c r="S156" s="17">
        <v>9999</v>
      </c>
      <c r="T156" s="142">
        <v>0</v>
      </c>
      <c r="U156" s="130" t="s">
        <v>1750</v>
      </c>
      <c r="V156" s="141" t="s">
        <v>1690</v>
      </c>
      <c r="W156" s="17" t="s">
        <v>1690</v>
      </c>
      <c r="X156" s="17" t="s">
        <v>1690</v>
      </c>
      <c r="Y156" s="17">
        <v>9999</v>
      </c>
      <c r="Z156" s="142">
        <v>0</v>
      </c>
      <c r="AA156" s="130" t="s">
        <v>1750</v>
      </c>
      <c r="AB156" s="141" t="s">
        <v>1690</v>
      </c>
      <c r="AC156" s="17" t="s">
        <v>1690</v>
      </c>
      <c r="AD156" s="17" t="s">
        <v>1690</v>
      </c>
      <c r="AE156" s="17">
        <v>9999</v>
      </c>
      <c r="AF156" s="142">
        <v>0</v>
      </c>
      <c r="AG156" s="130"/>
      <c r="AH156" s="143">
        <f>IF(TYPE(VLOOKUP(H156,Nasazení!$A$3:$E$130,5,0))&lt;4,VLOOKUP(H156,Nasazení!$A$3:$E$130,5,0),0)</f>
        <v>0</v>
      </c>
      <c r="AI156" s="144" t="str">
        <f>IF(N($AH156)&gt;0,VLOOKUP($AH156,Body!$A$4:$F$259,5,0),"")</f>
        <v/>
      </c>
      <c r="AJ156" s="145" t="str">
        <f>IF(N($AH156)&gt;0,VLOOKUP($AH156,Body!$A$4:$F$259,6,0),"")</f>
        <v/>
      </c>
      <c r="AK156" s="144" t="str">
        <f>IF(N($AH156)&gt;0,VLOOKUP($AH156,Body!$A$4:$F$259,2,0),"")</f>
        <v/>
      </c>
      <c r="AL156" s="146" t="str">
        <f t="shared" si="8"/>
        <v/>
      </c>
      <c r="AM156" s="142">
        <f t="shared" si="9"/>
        <v>0</v>
      </c>
      <c r="AN156" s="17">
        <f t="shared" si="10"/>
        <v>0</v>
      </c>
      <c r="AO156" s="17">
        <f t="shared" si="11"/>
        <v>0</v>
      </c>
      <c r="AP156" s="17">
        <f t="shared" si="12"/>
        <v>0</v>
      </c>
      <c r="AQ156" s="17">
        <f t="shared" si="13"/>
        <v>0</v>
      </c>
      <c r="AR156" s="17">
        <f t="shared" si="14"/>
        <v>0</v>
      </c>
    </row>
    <row r="157" spans="1:44" ht="12.75" customHeight="1">
      <c r="A157" s="69">
        <f t="shared" si="0"/>
        <v>0</v>
      </c>
      <c r="B157" s="69">
        <f t="shared" si="1"/>
        <v>0</v>
      </c>
      <c r="C157" s="147">
        <f t="shared" si="2"/>
        <v>0</v>
      </c>
      <c r="D157" s="69">
        <f t="shared" si="3"/>
        <v>99999</v>
      </c>
      <c r="E157" s="69">
        <f t="shared" si="4"/>
        <v>9999</v>
      </c>
      <c r="F157" s="98" t="str">
        <f t="shared" ca="1" si="5"/>
        <v>00000000000000000000544458</v>
      </c>
      <c r="G157" s="139" t="b">
        <f t="shared" si="6"/>
        <v>1</v>
      </c>
      <c r="H157" s="140">
        <f t="shared" si="7"/>
        <v>147</v>
      </c>
      <c r="I157" s="130" t="s">
        <v>1750</v>
      </c>
      <c r="J157" s="141" t="s">
        <v>1690</v>
      </c>
      <c r="K157" s="17" t="s">
        <v>1690</v>
      </c>
      <c r="L157" s="17" t="s">
        <v>1690</v>
      </c>
      <c r="M157" s="17">
        <v>9999</v>
      </c>
      <c r="N157" s="142">
        <v>0</v>
      </c>
      <c r="O157" s="130" t="s">
        <v>1750</v>
      </c>
      <c r="P157" s="141" t="s">
        <v>1690</v>
      </c>
      <c r="Q157" s="17" t="s">
        <v>1690</v>
      </c>
      <c r="R157" s="17" t="s">
        <v>1690</v>
      </c>
      <c r="S157" s="17">
        <v>9999</v>
      </c>
      <c r="T157" s="142">
        <v>0</v>
      </c>
      <c r="U157" s="130" t="s">
        <v>1750</v>
      </c>
      <c r="V157" s="141" t="s">
        <v>1690</v>
      </c>
      <c r="W157" s="17" t="s">
        <v>1690</v>
      </c>
      <c r="X157" s="17" t="s">
        <v>1690</v>
      </c>
      <c r="Y157" s="17">
        <v>9999</v>
      </c>
      <c r="Z157" s="142">
        <v>0</v>
      </c>
      <c r="AA157" s="130" t="s">
        <v>1750</v>
      </c>
      <c r="AB157" s="141" t="s">
        <v>1690</v>
      </c>
      <c r="AC157" s="17" t="s">
        <v>1690</v>
      </c>
      <c r="AD157" s="17" t="s">
        <v>1690</v>
      </c>
      <c r="AE157" s="17">
        <v>9999</v>
      </c>
      <c r="AF157" s="142">
        <v>0</v>
      </c>
      <c r="AG157" s="130"/>
      <c r="AH157" s="143">
        <f>IF(TYPE(VLOOKUP(H157,Nasazení!$A$3:$E$130,5,0))&lt;4,VLOOKUP(H157,Nasazení!$A$3:$E$130,5,0),0)</f>
        <v>0</v>
      </c>
      <c r="AI157" s="144" t="str">
        <f>IF(N($AH157)&gt;0,VLOOKUP($AH157,Body!$A$4:$F$259,5,0),"")</f>
        <v/>
      </c>
      <c r="AJ157" s="145" t="str">
        <f>IF(N($AH157)&gt;0,VLOOKUP($AH157,Body!$A$4:$F$259,6,0),"")</f>
        <v/>
      </c>
      <c r="AK157" s="144" t="str">
        <f>IF(N($AH157)&gt;0,VLOOKUP($AH157,Body!$A$4:$F$259,2,0),"")</f>
        <v/>
      </c>
      <c r="AL157" s="146" t="str">
        <f t="shared" si="8"/>
        <v/>
      </c>
      <c r="AM157" s="142">
        <f t="shared" si="9"/>
        <v>0</v>
      </c>
      <c r="AN157" s="17">
        <f t="shared" si="10"/>
        <v>0</v>
      </c>
      <c r="AO157" s="17">
        <f t="shared" si="11"/>
        <v>0</v>
      </c>
      <c r="AP157" s="17">
        <f t="shared" si="12"/>
        <v>0</v>
      </c>
      <c r="AQ157" s="17">
        <f t="shared" si="13"/>
        <v>0</v>
      </c>
      <c r="AR157" s="17">
        <f t="shared" si="14"/>
        <v>0</v>
      </c>
    </row>
    <row r="158" spans="1:44" ht="12.75" customHeight="1">
      <c r="A158" s="69">
        <f t="shared" si="0"/>
        <v>0</v>
      </c>
      <c r="B158" s="69">
        <f t="shared" si="1"/>
        <v>0</v>
      </c>
      <c r="C158" s="147">
        <f t="shared" si="2"/>
        <v>0</v>
      </c>
      <c r="D158" s="69">
        <f t="shared" si="3"/>
        <v>99999</v>
      </c>
      <c r="E158" s="69">
        <f t="shared" si="4"/>
        <v>9999</v>
      </c>
      <c r="F158" s="98" t="str">
        <f t="shared" ca="1" si="5"/>
        <v>00000000000000000000582386</v>
      </c>
      <c r="G158" s="139" t="b">
        <f t="shared" si="6"/>
        <v>1</v>
      </c>
      <c r="H158" s="140">
        <f t="shared" si="7"/>
        <v>148</v>
      </c>
      <c r="I158" s="130" t="s">
        <v>1750</v>
      </c>
      <c r="J158" s="141" t="s">
        <v>1690</v>
      </c>
      <c r="K158" s="17" t="s">
        <v>1690</v>
      </c>
      <c r="L158" s="17" t="s">
        <v>1690</v>
      </c>
      <c r="M158" s="17">
        <v>9999</v>
      </c>
      <c r="N158" s="142">
        <v>0</v>
      </c>
      <c r="O158" s="130" t="s">
        <v>1750</v>
      </c>
      <c r="P158" s="141" t="s">
        <v>1690</v>
      </c>
      <c r="Q158" s="17" t="s">
        <v>1690</v>
      </c>
      <c r="R158" s="17" t="s">
        <v>1690</v>
      </c>
      <c r="S158" s="17">
        <v>9999</v>
      </c>
      <c r="T158" s="142">
        <v>0</v>
      </c>
      <c r="U158" s="130" t="s">
        <v>1750</v>
      </c>
      <c r="V158" s="141" t="s">
        <v>1690</v>
      </c>
      <c r="W158" s="17" t="s">
        <v>1690</v>
      </c>
      <c r="X158" s="17" t="s">
        <v>1690</v>
      </c>
      <c r="Y158" s="17">
        <v>9999</v>
      </c>
      <c r="Z158" s="142">
        <v>0</v>
      </c>
      <c r="AA158" s="130" t="s">
        <v>1750</v>
      </c>
      <c r="AB158" s="141" t="s">
        <v>1690</v>
      </c>
      <c r="AC158" s="17" t="s">
        <v>1690</v>
      </c>
      <c r="AD158" s="17" t="s">
        <v>1690</v>
      </c>
      <c r="AE158" s="17">
        <v>9999</v>
      </c>
      <c r="AF158" s="142">
        <v>0</v>
      </c>
      <c r="AG158" s="130"/>
      <c r="AH158" s="143">
        <f>IF(TYPE(VLOOKUP(H158,Nasazení!$A$3:$E$130,5,0))&lt;4,VLOOKUP(H158,Nasazení!$A$3:$E$130,5,0),0)</f>
        <v>0</v>
      </c>
      <c r="AI158" s="144" t="str">
        <f>IF(N($AH158)&gt;0,VLOOKUP($AH158,Body!$A$4:$F$259,5,0),"")</f>
        <v/>
      </c>
      <c r="AJ158" s="145" t="str">
        <f>IF(N($AH158)&gt;0,VLOOKUP($AH158,Body!$A$4:$F$259,6,0),"")</f>
        <v/>
      </c>
      <c r="AK158" s="144" t="str">
        <f>IF(N($AH158)&gt;0,VLOOKUP($AH158,Body!$A$4:$F$259,2,0),"")</f>
        <v/>
      </c>
      <c r="AL158" s="146" t="str">
        <f t="shared" si="8"/>
        <v/>
      </c>
      <c r="AM158" s="142">
        <f t="shared" si="9"/>
        <v>0</v>
      </c>
      <c r="AN158" s="17">
        <f t="shared" si="10"/>
        <v>0</v>
      </c>
      <c r="AO158" s="17">
        <f t="shared" si="11"/>
        <v>0</v>
      </c>
      <c r="AP158" s="17">
        <f t="shared" si="12"/>
        <v>0</v>
      </c>
      <c r="AQ158" s="17">
        <f t="shared" si="13"/>
        <v>0</v>
      </c>
      <c r="AR158" s="17">
        <f t="shared" si="14"/>
        <v>0</v>
      </c>
    </row>
    <row r="159" spans="1:44" ht="12.75" customHeight="1">
      <c r="A159" s="69">
        <f t="shared" si="0"/>
        <v>0</v>
      </c>
      <c r="B159" s="69">
        <f t="shared" si="1"/>
        <v>0</v>
      </c>
      <c r="C159" s="147">
        <f t="shared" si="2"/>
        <v>0</v>
      </c>
      <c r="D159" s="69">
        <f t="shared" si="3"/>
        <v>99999</v>
      </c>
      <c r="E159" s="69">
        <f t="shared" si="4"/>
        <v>9999</v>
      </c>
      <c r="F159" s="98" t="str">
        <f t="shared" ca="1" si="5"/>
        <v>00000000000000000000538767</v>
      </c>
      <c r="G159" s="139" t="b">
        <f t="shared" si="6"/>
        <v>1</v>
      </c>
      <c r="H159" s="140">
        <f t="shared" si="7"/>
        <v>149</v>
      </c>
      <c r="I159" s="130" t="s">
        <v>1750</v>
      </c>
      <c r="J159" s="141" t="s">
        <v>1690</v>
      </c>
      <c r="K159" s="17" t="s">
        <v>1690</v>
      </c>
      <c r="L159" s="17" t="s">
        <v>1690</v>
      </c>
      <c r="M159" s="17">
        <v>9999</v>
      </c>
      <c r="N159" s="142">
        <v>0</v>
      </c>
      <c r="O159" s="130" t="s">
        <v>1750</v>
      </c>
      <c r="P159" s="141" t="s">
        <v>1690</v>
      </c>
      <c r="Q159" s="17" t="s">
        <v>1690</v>
      </c>
      <c r="R159" s="17" t="s">
        <v>1690</v>
      </c>
      <c r="S159" s="17">
        <v>9999</v>
      </c>
      <c r="T159" s="142">
        <v>0</v>
      </c>
      <c r="U159" s="130" t="s">
        <v>1750</v>
      </c>
      <c r="V159" s="141" t="s">
        <v>1690</v>
      </c>
      <c r="W159" s="17" t="s">
        <v>1690</v>
      </c>
      <c r="X159" s="17" t="s">
        <v>1690</v>
      </c>
      <c r="Y159" s="17">
        <v>9999</v>
      </c>
      <c r="Z159" s="142">
        <v>0</v>
      </c>
      <c r="AA159" s="130" t="s">
        <v>1750</v>
      </c>
      <c r="AB159" s="141" t="s">
        <v>1690</v>
      </c>
      <c r="AC159" s="17" t="s">
        <v>1690</v>
      </c>
      <c r="AD159" s="17" t="s">
        <v>1690</v>
      </c>
      <c r="AE159" s="17">
        <v>9999</v>
      </c>
      <c r="AF159" s="142">
        <v>0</v>
      </c>
      <c r="AG159" s="130"/>
      <c r="AH159" s="143">
        <f>IF(TYPE(VLOOKUP(H159,Nasazení!$A$3:$E$130,5,0))&lt;4,VLOOKUP(H159,Nasazení!$A$3:$E$130,5,0),0)</f>
        <v>0</v>
      </c>
      <c r="AI159" s="144" t="str">
        <f>IF(N($AH159)&gt;0,VLOOKUP($AH159,Body!$A$4:$F$259,5,0),"")</f>
        <v/>
      </c>
      <c r="AJ159" s="145" t="str">
        <f>IF(N($AH159)&gt;0,VLOOKUP($AH159,Body!$A$4:$F$259,6,0),"")</f>
        <v/>
      </c>
      <c r="AK159" s="144" t="str">
        <f>IF(N($AH159)&gt;0,VLOOKUP($AH159,Body!$A$4:$F$259,2,0),"")</f>
        <v/>
      </c>
      <c r="AL159" s="146" t="str">
        <f t="shared" si="8"/>
        <v/>
      </c>
      <c r="AM159" s="142">
        <f t="shared" si="9"/>
        <v>0</v>
      </c>
      <c r="AN159" s="17">
        <f t="shared" si="10"/>
        <v>0</v>
      </c>
      <c r="AO159" s="17">
        <f t="shared" si="11"/>
        <v>0</v>
      </c>
      <c r="AP159" s="17">
        <f t="shared" si="12"/>
        <v>0</v>
      </c>
      <c r="AQ159" s="17">
        <f t="shared" si="13"/>
        <v>0</v>
      </c>
      <c r="AR159" s="17">
        <f t="shared" si="14"/>
        <v>0</v>
      </c>
    </row>
    <row r="160" spans="1:44" ht="12.75" customHeight="1">
      <c r="A160" s="69">
        <f t="shared" si="0"/>
        <v>0</v>
      </c>
      <c r="B160" s="69">
        <f t="shared" si="1"/>
        <v>0</v>
      </c>
      <c r="C160" s="147">
        <f t="shared" si="2"/>
        <v>0</v>
      </c>
      <c r="D160" s="69">
        <f t="shared" si="3"/>
        <v>99999</v>
      </c>
      <c r="E160" s="69">
        <f t="shared" si="4"/>
        <v>9999</v>
      </c>
      <c r="F160" s="98" t="str">
        <f t="shared" ca="1" si="5"/>
        <v>00000000000000000000133759</v>
      </c>
      <c r="G160" s="139" t="b">
        <f t="shared" si="6"/>
        <v>1</v>
      </c>
      <c r="H160" s="140">
        <f t="shared" si="7"/>
        <v>150</v>
      </c>
      <c r="I160" s="130" t="s">
        <v>1750</v>
      </c>
      <c r="J160" s="141" t="s">
        <v>1690</v>
      </c>
      <c r="K160" s="17" t="s">
        <v>1690</v>
      </c>
      <c r="L160" s="17" t="s">
        <v>1690</v>
      </c>
      <c r="M160" s="17">
        <v>9999</v>
      </c>
      <c r="N160" s="142">
        <v>0</v>
      </c>
      <c r="O160" s="130" t="s">
        <v>1750</v>
      </c>
      <c r="P160" s="141" t="s">
        <v>1690</v>
      </c>
      <c r="Q160" s="17" t="s">
        <v>1690</v>
      </c>
      <c r="R160" s="17" t="s">
        <v>1690</v>
      </c>
      <c r="S160" s="17">
        <v>9999</v>
      </c>
      <c r="T160" s="142">
        <v>0</v>
      </c>
      <c r="U160" s="130" t="s">
        <v>1750</v>
      </c>
      <c r="V160" s="141" t="s">
        <v>1690</v>
      </c>
      <c r="W160" s="17" t="s">
        <v>1690</v>
      </c>
      <c r="X160" s="17" t="s">
        <v>1690</v>
      </c>
      <c r="Y160" s="17">
        <v>9999</v>
      </c>
      <c r="Z160" s="142">
        <v>0</v>
      </c>
      <c r="AA160" s="130" t="s">
        <v>1750</v>
      </c>
      <c r="AB160" s="141" t="s">
        <v>1690</v>
      </c>
      <c r="AC160" s="17" t="s">
        <v>1690</v>
      </c>
      <c r="AD160" s="17" t="s">
        <v>1690</v>
      </c>
      <c r="AE160" s="17">
        <v>9999</v>
      </c>
      <c r="AF160" s="142">
        <v>0</v>
      </c>
      <c r="AG160" s="130"/>
      <c r="AH160" s="143">
        <f>IF(TYPE(VLOOKUP(H160,Nasazení!$A$3:$E$130,5,0))&lt;4,VLOOKUP(H160,Nasazení!$A$3:$E$130,5,0),0)</f>
        <v>0</v>
      </c>
      <c r="AI160" s="144" t="str">
        <f>IF(N($AH160)&gt;0,VLOOKUP($AH160,Body!$A$4:$F$259,5,0),"")</f>
        <v/>
      </c>
      <c r="AJ160" s="145" t="str">
        <f>IF(N($AH160)&gt;0,VLOOKUP($AH160,Body!$A$4:$F$259,6,0),"")</f>
        <v/>
      </c>
      <c r="AK160" s="144" t="str">
        <f>IF(N($AH160)&gt;0,VLOOKUP($AH160,Body!$A$4:$F$259,2,0),"")</f>
        <v/>
      </c>
      <c r="AL160" s="146" t="str">
        <f t="shared" si="8"/>
        <v/>
      </c>
      <c r="AM160" s="142">
        <f t="shared" si="9"/>
        <v>0</v>
      </c>
      <c r="AN160" s="17">
        <f t="shared" si="10"/>
        <v>0</v>
      </c>
      <c r="AO160" s="17">
        <f t="shared" si="11"/>
        <v>0</v>
      </c>
      <c r="AP160" s="17">
        <f t="shared" si="12"/>
        <v>0</v>
      </c>
      <c r="AQ160" s="17">
        <f t="shared" si="13"/>
        <v>0</v>
      </c>
      <c r="AR160" s="17">
        <f t="shared" si="14"/>
        <v>0</v>
      </c>
    </row>
    <row r="161" spans="1:44" ht="12.75" customHeight="1">
      <c r="A161" s="69">
        <f t="shared" si="0"/>
        <v>0</v>
      </c>
      <c r="B161" s="69">
        <f t="shared" si="1"/>
        <v>0</v>
      </c>
      <c r="C161" s="147">
        <f t="shared" si="2"/>
        <v>0</v>
      </c>
      <c r="D161" s="69">
        <f t="shared" si="3"/>
        <v>99999</v>
      </c>
      <c r="E161" s="69">
        <f t="shared" si="4"/>
        <v>9999</v>
      </c>
      <c r="F161" s="98" t="str">
        <f t="shared" ca="1" si="5"/>
        <v>00000000000000000000527574</v>
      </c>
      <c r="G161" s="139" t="b">
        <f t="shared" si="6"/>
        <v>1</v>
      </c>
      <c r="H161" s="140">
        <f t="shared" si="7"/>
        <v>151</v>
      </c>
      <c r="I161" s="130" t="s">
        <v>1750</v>
      </c>
      <c r="J161" s="141" t="s">
        <v>1690</v>
      </c>
      <c r="K161" s="17" t="s">
        <v>1690</v>
      </c>
      <c r="L161" s="17" t="s">
        <v>1690</v>
      </c>
      <c r="M161" s="17">
        <v>9999</v>
      </c>
      <c r="N161" s="142">
        <v>0</v>
      </c>
      <c r="O161" s="130" t="s">
        <v>1750</v>
      </c>
      <c r="P161" s="141" t="s">
        <v>1690</v>
      </c>
      <c r="Q161" s="17" t="s">
        <v>1690</v>
      </c>
      <c r="R161" s="17" t="s">
        <v>1690</v>
      </c>
      <c r="S161" s="17">
        <v>9999</v>
      </c>
      <c r="T161" s="142">
        <v>0</v>
      </c>
      <c r="U161" s="130" t="s">
        <v>1750</v>
      </c>
      <c r="V161" s="141" t="s">
        <v>1690</v>
      </c>
      <c r="W161" s="17" t="s">
        <v>1690</v>
      </c>
      <c r="X161" s="17" t="s">
        <v>1690</v>
      </c>
      <c r="Y161" s="17">
        <v>9999</v>
      </c>
      <c r="Z161" s="142">
        <v>0</v>
      </c>
      <c r="AA161" s="130" t="s">
        <v>1750</v>
      </c>
      <c r="AB161" s="141" t="s">
        <v>1690</v>
      </c>
      <c r="AC161" s="17" t="s">
        <v>1690</v>
      </c>
      <c r="AD161" s="17" t="s">
        <v>1690</v>
      </c>
      <c r="AE161" s="17">
        <v>9999</v>
      </c>
      <c r="AF161" s="142">
        <v>0</v>
      </c>
      <c r="AG161" s="130"/>
      <c r="AH161" s="143">
        <f>IF(TYPE(VLOOKUP(H161,Nasazení!$A$3:$E$130,5,0))&lt;4,VLOOKUP(H161,Nasazení!$A$3:$E$130,5,0),0)</f>
        <v>0</v>
      </c>
      <c r="AI161" s="144" t="str">
        <f>IF(N($AH161)&gt;0,VLOOKUP($AH161,Body!$A$4:$F$259,5,0),"")</f>
        <v/>
      </c>
      <c r="AJ161" s="145" t="str">
        <f>IF(N($AH161)&gt;0,VLOOKUP($AH161,Body!$A$4:$F$259,6,0),"")</f>
        <v/>
      </c>
      <c r="AK161" s="144" t="str">
        <f>IF(N($AH161)&gt;0,VLOOKUP($AH161,Body!$A$4:$F$259,2,0),"")</f>
        <v/>
      </c>
      <c r="AL161" s="146" t="str">
        <f t="shared" si="8"/>
        <v/>
      </c>
      <c r="AM161" s="142">
        <f t="shared" si="9"/>
        <v>0</v>
      </c>
      <c r="AN161" s="17">
        <f t="shared" si="10"/>
        <v>0</v>
      </c>
      <c r="AO161" s="17">
        <f t="shared" si="11"/>
        <v>0</v>
      </c>
      <c r="AP161" s="17">
        <f t="shared" si="12"/>
        <v>0</v>
      </c>
      <c r="AQ161" s="17">
        <f t="shared" si="13"/>
        <v>0</v>
      </c>
      <c r="AR161" s="17">
        <f t="shared" si="14"/>
        <v>0</v>
      </c>
    </row>
    <row r="162" spans="1:44" ht="12.75" customHeight="1">
      <c r="A162" s="69">
        <f t="shared" si="0"/>
        <v>0</v>
      </c>
      <c r="B162" s="69">
        <f t="shared" si="1"/>
        <v>0</v>
      </c>
      <c r="C162" s="147">
        <f t="shared" si="2"/>
        <v>0</v>
      </c>
      <c r="D162" s="69">
        <f t="shared" si="3"/>
        <v>99999</v>
      </c>
      <c r="E162" s="69">
        <f t="shared" si="4"/>
        <v>9999</v>
      </c>
      <c r="F162" s="98" t="str">
        <f t="shared" ca="1" si="5"/>
        <v>00000000000000000000074463</v>
      </c>
      <c r="G162" s="139" t="b">
        <f t="shared" si="6"/>
        <v>1</v>
      </c>
      <c r="H162" s="140">
        <f t="shared" si="7"/>
        <v>152</v>
      </c>
      <c r="I162" s="130" t="s">
        <v>1750</v>
      </c>
      <c r="J162" s="141" t="s">
        <v>1690</v>
      </c>
      <c r="K162" s="17" t="s">
        <v>1690</v>
      </c>
      <c r="L162" s="17" t="s">
        <v>1690</v>
      </c>
      <c r="M162" s="17">
        <v>9999</v>
      </c>
      <c r="N162" s="142">
        <v>0</v>
      </c>
      <c r="O162" s="130" t="s">
        <v>1750</v>
      </c>
      <c r="P162" s="141" t="s">
        <v>1690</v>
      </c>
      <c r="Q162" s="17" t="s">
        <v>1690</v>
      </c>
      <c r="R162" s="17" t="s">
        <v>1690</v>
      </c>
      <c r="S162" s="17">
        <v>9999</v>
      </c>
      <c r="T162" s="142">
        <v>0</v>
      </c>
      <c r="U162" s="130" t="s">
        <v>1750</v>
      </c>
      <c r="V162" s="141" t="s">
        <v>1690</v>
      </c>
      <c r="W162" s="17" t="s">
        <v>1690</v>
      </c>
      <c r="X162" s="17" t="s">
        <v>1690</v>
      </c>
      <c r="Y162" s="17">
        <v>9999</v>
      </c>
      <c r="Z162" s="142">
        <v>0</v>
      </c>
      <c r="AA162" s="130" t="s">
        <v>1750</v>
      </c>
      <c r="AB162" s="141" t="s">
        <v>1690</v>
      </c>
      <c r="AC162" s="17" t="s">
        <v>1690</v>
      </c>
      <c r="AD162" s="17" t="s">
        <v>1690</v>
      </c>
      <c r="AE162" s="17">
        <v>9999</v>
      </c>
      <c r="AF162" s="142">
        <v>0</v>
      </c>
      <c r="AG162" s="130"/>
      <c r="AH162" s="143">
        <f>IF(TYPE(VLOOKUP(H162,Nasazení!$A$3:$E$130,5,0))&lt;4,VLOOKUP(H162,Nasazení!$A$3:$E$130,5,0),0)</f>
        <v>0</v>
      </c>
      <c r="AI162" s="144" t="str">
        <f>IF(N($AH162)&gt;0,VLOOKUP($AH162,Body!$A$4:$F$259,5,0),"")</f>
        <v/>
      </c>
      <c r="AJ162" s="145" t="str">
        <f>IF(N($AH162)&gt;0,VLOOKUP($AH162,Body!$A$4:$F$259,6,0),"")</f>
        <v/>
      </c>
      <c r="AK162" s="144" t="str">
        <f>IF(N($AH162)&gt;0,VLOOKUP($AH162,Body!$A$4:$F$259,2,0),"")</f>
        <v/>
      </c>
      <c r="AL162" s="146" t="str">
        <f t="shared" si="8"/>
        <v/>
      </c>
      <c r="AM162" s="142">
        <f t="shared" si="9"/>
        <v>0</v>
      </c>
      <c r="AN162" s="17">
        <f t="shared" si="10"/>
        <v>0</v>
      </c>
      <c r="AO162" s="17">
        <f t="shared" si="11"/>
        <v>0</v>
      </c>
      <c r="AP162" s="17">
        <f t="shared" si="12"/>
        <v>0</v>
      </c>
      <c r="AQ162" s="17">
        <f t="shared" si="13"/>
        <v>0</v>
      </c>
      <c r="AR162" s="17">
        <f t="shared" si="14"/>
        <v>0</v>
      </c>
    </row>
    <row r="163" spans="1:44" ht="12.75" customHeight="1">
      <c r="A163" s="69">
        <f t="shared" si="0"/>
        <v>0</v>
      </c>
      <c r="B163" s="69">
        <f t="shared" si="1"/>
        <v>0</v>
      </c>
      <c r="C163" s="147">
        <f t="shared" si="2"/>
        <v>0</v>
      </c>
      <c r="D163" s="69">
        <f t="shared" si="3"/>
        <v>99999</v>
      </c>
      <c r="E163" s="69">
        <f t="shared" si="4"/>
        <v>9999</v>
      </c>
      <c r="F163" s="98" t="str">
        <f t="shared" ca="1" si="5"/>
        <v>00000000000000000000525036</v>
      </c>
      <c r="G163" s="139" t="b">
        <f t="shared" si="6"/>
        <v>1</v>
      </c>
      <c r="H163" s="140">
        <f t="shared" si="7"/>
        <v>153</v>
      </c>
      <c r="I163" s="130" t="s">
        <v>1750</v>
      </c>
      <c r="J163" s="141" t="s">
        <v>1690</v>
      </c>
      <c r="K163" s="17" t="s">
        <v>1690</v>
      </c>
      <c r="L163" s="17" t="s">
        <v>1690</v>
      </c>
      <c r="M163" s="17">
        <v>9999</v>
      </c>
      <c r="N163" s="142">
        <v>0</v>
      </c>
      <c r="O163" s="130" t="s">
        <v>1750</v>
      </c>
      <c r="P163" s="141" t="s">
        <v>1690</v>
      </c>
      <c r="Q163" s="17" t="s">
        <v>1690</v>
      </c>
      <c r="R163" s="17" t="s">
        <v>1690</v>
      </c>
      <c r="S163" s="17">
        <v>9999</v>
      </c>
      <c r="T163" s="142">
        <v>0</v>
      </c>
      <c r="U163" s="130" t="s">
        <v>1750</v>
      </c>
      <c r="V163" s="141" t="s">
        <v>1690</v>
      </c>
      <c r="W163" s="17" t="s">
        <v>1690</v>
      </c>
      <c r="X163" s="17" t="s">
        <v>1690</v>
      </c>
      <c r="Y163" s="17">
        <v>9999</v>
      </c>
      <c r="Z163" s="142">
        <v>0</v>
      </c>
      <c r="AA163" s="130" t="s">
        <v>1750</v>
      </c>
      <c r="AB163" s="141" t="s">
        <v>1690</v>
      </c>
      <c r="AC163" s="17" t="s">
        <v>1690</v>
      </c>
      <c r="AD163" s="17" t="s">
        <v>1690</v>
      </c>
      <c r="AE163" s="17">
        <v>9999</v>
      </c>
      <c r="AF163" s="142">
        <v>0</v>
      </c>
      <c r="AG163" s="130"/>
      <c r="AH163" s="143">
        <f>IF(TYPE(VLOOKUP(H163,Nasazení!$A$3:$E$130,5,0))&lt;4,VLOOKUP(H163,Nasazení!$A$3:$E$130,5,0),0)</f>
        <v>0</v>
      </c>
      <c r="AI163" s="144" t="str">
        <f>IF(N($AH163)&gt;0,VLOOKUP($AH163,Body!$A$4:$F$259,5,0),"")</f>
        <v/>
      </c>
      <c r="AJ163" s="145" t="str">
        <f>IF(N($AH163)&gt;0,VLOOKUP($AH163,Body!$A$4:$F$259,6,0),"")</f>
        <v/>
      </c>
      <c r="AK163" s="144" t="str">
        <f>IF(N($AH163)&gt;0,VLOOKUP($AH163,Body!$A$4:$F$259,2,0),"")</f>
        <v/>
      </c>
      <c r="AL163" s="146" t="str">
        <f t="shared" si="8"/>
        <v/>
      </c>
      <c r="AM163" s="142">
        <f t="shared" si="9"/>
        <v>0</v>
      </c>
      <c r="AN163" s="17">
        <f t="shared" si="10"/>
        <v>0</v>
      </c>
      <c r="AO163" s="17">
        <f t="shared" si="11"/>
        <v>0</v>
      </c>
      <c r="AP163" s="17">
        <f t="shared" si="12"/>
        <v>0</v>
      </c>
      <c r="AQ163" s="17">
        <f t="shared" si="13"/>
        <v>0</v>
      </c>
      <c r="AR163" s="17">
        <f t="shared" si="14"/>
        <v>0</v>
      </c>
    </row>
    <row r="164" spans="1:44" ht="12.75" customHeight="1">
      <c r="A164" s="69">
        <f t="shared" si="0"/>
        <v>0</v>
      </c>
      <c r="B164" s="69">
        <f t="shared" si="1"/>
        <v>0</v>
      </c>
      <c r="C164" s="147">
        <f t="shared" si="2"/>
        <v>0</v>
      </c>
      <c r="D164" s="69">
        <f t="shared" si="3"/>
        <v>99999</v>
      </c>
      <c r="E164" s="69">
        <f t="shared" si="4"/>
        <v>9999</v>
      </c>
      <c r="F164" s="98" t="str">
        <f t="shared" ca="1" si="5"/>
        <v>00000000000000000000877056</v>
      </c>
      <c r="G164" s="139" t="b">
        <f t="shared" si="6"/>
        <v>1</v>
      </c>
      <c r="H164" s="140">
        <f t="shared" si="7"/>
        <v>154</v>
      </c>
      <c r="I164" s="130" t="s">
        <v>1750</v>
      </c>
      <c r="J164" s="141" t="s">
        <v>1690</v>
      </c>
      <c r="K164" s="17" t="s">
        <v>1690</v>
      </c>
      <c r="L164" s="17" t="s">
        <v>1690</v>
      </c>
      <c r="M164" s="17">
        <v>9999</v>
      </c>
      <c r="N164" s="142">
        <v>0</v>
      </c>
      <c r="O164" s="130" t="s">
        <v>1750</v>
      </c>
      <c r="P164" s="141" t="s">
        <v>1690</v>
      </c>
      <c r="Q164" s="17" t="s">
        <v>1690</v>
      </c>
      <c r="R164" s="17" t="s">
        <v>1690</v>
      </c>
      <c r="S164" s="17">
        <v>9999</v>
      </c>
      <c r="T164" s="142">
        <v>0</v>
      </c>
      <c r="U164" s="130" t="s">
        <v>1750</v>
      </c>
      <c r="V164" s="141" t="s">
        <v>1690</v>
      </c>
      <c r="W164" s="17" t="s">
        <v>1690</v>
      </c>
      <c r="X164" s="17" t="s">
        <v>1690</v>
      </c>
      <c r="Y164" s="17">
        <v>9999</v>
      </c>
      <c r="Z164" s="142">
        <v>0</v>
      </c>
      <c r="AA164" s="130" t="s">
        <v>1750</v>
      </c>
      <c r="AB164" s="141" t="s">
        <v>1690</v>
      </c>
      <c r="AC164" s="17" t="s">
        <v>1690</v>
      </c>
      <c r="AD164" s="17" t="s">
        <v>1690</v>
      </c>
      <c r="AE164" s="17">
        <v>9999</v>
      </c>
      <c r="AF164" s="142">
        <v>0</v>
      </c>
      <c r="AG164" s="130"/>
      <c r="AH164" s="143">
        <f>IF(TYPE(VLOOKUP(H164,Nasazení!$A$3:$E$130,5,0))&lt;4,VLOOKUP(H164,Nasazení!$A$3:$E$130,5,0),0)</f>
        <v>0</v>
      </c>
      <c r="AI164" s="144" t="str">
        <f>IF(N($AH164)&gt;0,VLOOKUP($AH164,Body!$A$4:$F$259,5,0),"")</f>
        <v/>
      </c>
      <c r="AJ164" s="145" t="str">
        <f>IF(N($AH164)&gt;0,VLOOKUP($AH164,Body!$A$4:$F$259,6,0),"")</f>
        <v/>
      </c>
      <c r="AK164" s="144" t="str">
        <f>IF(N($AH164)&gt;0,VLOOKUP($AH164,Body!$A$4:$F$259,2,0),"")</f>
        <v/>
      </c>
      <c r="AL164" s="146" t="str">
        <f t="shared" si="8"/>
        <v/>
      </c>
      <c r="AM164" s="142">
        <f t="shared" si="9"/>
        <v>0</v>
      </c>
      <c r="AN164" s="17">
        <f t="shared" si="10"/>
        <v>0</v>
      </c>
      <c r="AO164" s="17">
        <f t="shared" si="11"/>
        <v>0</v>
      </c>
      <c r="AP164" s="17">
        <f t="shared" si="12"/>
        <v>0</v>
      </c>
      <c r="AQ164" s="17">
        <f t="shared" si="13"/>
        <v>0</v>
      </c>
      <c r="AR164" s="17">
        <f t="shared" si="14"/>
        <v>0</v>
      </c>
    </row>
    <row r="165" spans="1:44" ht="12.75" customHeight="1">
      <c r="A165" s="69">
        <f t="shared" si="0"/>
        <v>0</v>
      </c>
      <c r="B165" s="69">
        <f t="shared" si="1"/>
        <v>0</v>
      </c>
      <c r="C165" s="147">
        <f t="shared" si="2"/>
        <v>0</v>
      </c>
      <c r="D165" s="69">
        <f t="shared" si="3"/>
        <v>99999</v>
      </c>
      <c r="E165" s="69">
        <f t="shared" si="4"/>
        <v>9999</v>
      </c>
      <c r="F165" s="98" t="str">
        <f t="shared" ca="1" si="5"/>
        <v>00000000000000000000548467</v>
      </c>
      <c r="G165" s="139" t="b">
        <f t="shared" si="6"/>
        <v>1</v>
      </c>
      <c r="H165" s="140">
        <f t="shared" si="7"/>
        <v>155</v>
      </c>
      <c r="I165" s="130" t="s">
        <v>1750</v>
      </c>
      <c r="J165" s="141" t="s">
        <v>1690</v>
      </c>
      <c r="K165" s="17" t="s">
        <v>1690</v>
      </c>
      <c r="L165" s="17" t="s">
        <v>1690</v>
      </c>
      <c r="M165" s="17">
        <v>9999</v>
      </c>
      <c r="N165" s="142">
        <v>0</v>
      </c>
      <c r="O165" s="130" t="s">
        <v>1750</v>
      </c>
      <c r="P165" s="141" t="s">
        <v>1690</v>
      </c>
      <c r="Q165" s="17" t="s">
        <v>1690</v>
      </c>
      <c r="R165" s="17" t="s">
        <v>1690</v>
      </c>
      <c r="S165" s="17">
        <v>9999</v>
      </c>
      <c r="T165" s="142">
        <v>0</v>
      </c>
      <c r="U165" s="130" t="s">
        <v>1750</v>
      </c>
      <c r="V165" s="141" t="s">
        <v>1690</v>
      </c>
      <c r="W165" s="17" t="s">
        <v>1690</v>
      </c>
      <c r="X165" s="17" t="s">
        <v>1690</v>
      </c>
      <c r="Y165" s="17">
        <v>9999</v>
      </c>
      <c r="Z165" s="142">
        <v>0</v>
      </c>
      <c r="AA165" s="130" t="s">
        <v>1750</v>
      </c>
      <c r="AB165" s="141" t="s">
        <v>1690</v>
      </c>
      <c r="AC165" s="17" t="s">
        <v>1690</v>
      </c>
      <c r="AD165" s="17" t="s">
        <v>1690</v>
      </c>
      <c r="AE165" s="17">
        <v>9999</v>
      </c>
      <c r="AF165" s="142">
        <v>0</v>
      </c>
      <c r="AG165" s="130"/>
      <c r="AH165" s="143">
        <f>IF(TYPE(VLOOKUP(H165,Nasazení!$A$3:$E$130,5,0))&lt;4,VLOOKUP(H165,Nasazení!$A$3:$E$130,5,0),0)</f>
        <v>0</v>
      </c>
      <c r="AI165" s="144" t="str">
        <f>IF(N($AH165)&gt;0,VLOOKUP($AH165,Body!$A$4:$F$259,5,0),"")</f>
        <v/>
      </c>
      <c r="AJ165" s="145" t="str">
        <f>IF(N($AH165)&gt;0,VLOOKUP($AH165,Body!$A$4:$F$259,6,0),"")</f>
        <v/>
      </c>
      <c r="AK165" s="144" t="str">
        <f>IF(N($AH165)&gt;0,VLOOKUP($AH165,Body!$A$4:$F$259,2,0),"")</f>
        <v/>
      </c>
      <c r="AL165" s="146" t="str">
        <f t="shared" si="8"/>
        <v/>
      </c>
      <c r="AM165" s="142">
        <f t="shared" si="9"/>
        <v>0</v>
      </c>
      <c r="AN165" s="17">
        <f t="shared" si="10"/>
        <v>0</v>
      </c>
      <c r="AO165" s="17">
        <f t="shared" si="11"/>
        <v>0</v>
      </c>
      <c r="AP165" s="17">
        <f t="shared" si="12"/>
        <v>0</v>
      </c>
      <c r="AQ165" s="17">
        <f t="shared" si="13"/>
        <v>0</v>
      </c>
      <c r="AR165" s="17">
        <f t="shared" si="14"/>
        <v>0</v>
      </c>
    </row>
    <row r="166" spans="1:44" ht="12.75" customHeight="1">
      <c r="A166" s="69">
        <f t="shared" si="0"/>
        <v>0</v>
      </c>
      <c r="B166" s="69">
        <f t="shared" si="1"/>
        <v>0</v>
      </c>
      <c r="C166" s="147">
        <f t="shared" si="2"/>
        <v>0</v>
      </c>
      <c r="D166" s="69">
        <f t="shared" si="3"/>
        <v>99999</v>
      </c>
      <c r="E166" s="69">
        <f t="shared" si="4"/>
        <v>9999</v>
      </c>
      <c r="F166" s="98" t="str">
        <f t="shared" ca="1" si="5"/>
        <v>00000000000000000000785992</v>
      </c>
      <c r="G166" s="139" t="b">
        <f t="shared" si="6"/>
        <v>1</v>
      </c>
      <c r="H166" s="140">
        <f t="shared" si="7"/>
        <v>156</v>
      </c>
      <c r="I166" s="130" t="s">
        <v>1750</v>
      </c>
      <c r="J166" s="141" t="s">
        <v>1690</v>
      </c>
      <c r="K166" s="17" t="s">
        <v>1690</v>
      </c>
      <c r="L166" s="17" t="s">
        <v>1690</v>
      </c>
      <c r="M166" s="17">
        <v>9999</v>
      </c>
      <c r="N166" s="142">
        <v>0</v>
      </c>
      <c r="O166" s="130" t="s">
        <v>1750</v>
      </c>
      <c r="P166" s="141" t="s">
        <v>1690</v>
      </c>
      <c r="Q166" s="17" t="s">
        <v>1690</v>
      </c>
      <c r="R166" s="17" t="s">
        <v>1690</v>
      </c>
      <c r="S166" s="17">
        <v>9999</v>
      </c>
      <c r="T166" s="142">
        <v>0</v>
      </c>
      <c r="U166" s="130" t="s">
        <v>1750</v>
      </c>
      <c r="V166" s="141" t="s">
        <v>1690</v>
      </c>
      <c r="W166" s="17" t="s">
        <v>1690</v>
      </c>
      <c r="X166" s="17" t="s">
        <v>1690</v>
      </c>
      <c r="Y166" s="17">
        <v>9999</v>
      </c>
      <c r="Z166" s="142">
        <v>0</v>
      </c>
      <c r="AA166" s="130" t="s">
        <v>1750</v>
      </c>
      <c r="AB166" s="141" t="s">
        <v>1690</v>
      </c>
      <c r="AC166" s="17" t="s">
        <v>1690</v>
      </c>
      <c r="AD166" s="17" t="s">
        <v>1690</v>
      </c>
      <c r="AE166" s="17">
        <v>9999</v>
      </c>
      <c r="AF166" s="142">
        <v>0</v>
      </c>
      <c r="AG166" s="130"/>
      <c r="AH166" s="143">
        <f>IF(TYPE(VLOOKUP(H166,Nasazení!$A$3:$E$130,5,0))&lt;4,VLOOKUP(H166,Nasazení!$A$3:$E$130,5,0),0)</f>
        <v>0</v>
      </c>
      <c r="AI166" s="144" t="str">
        <f>IF(N($AH166)&gt;0,VLOOKUP($AH166,Body!$A$4:$F$259,5,0),"")</f>
        <v/>
      </c>
      <c r="AJ166" s="145" t="str">
        <f>IF(N($AH166)&gt;0,VLOOKUP($AH166,Body!$A$4:$F$259,6,0),"")</f>
        <v/>
      </c>
      <c r="AK166" s="144" t="str">
        <f>IF(N($AH166)&gt;0,VLOOKUP($AH166,Body!$A$4:$F$259,2,0),"")</f>
        <v/>
      </c>
      <c r="AL166" s="146" t="str">
        <f t="shared" si="8"/>
        <v/>
      </c>
      <c r="AM166" s="142">
        <f t="shared" si="9"/>
        <v>0</v>
      </c>
      <c r="AN166" s="17">
        <f t="shared" si="10"/>
        <v>0</v>
      </c>
      <c r="AO166" s="17">
        <f t="shared" si="11"/>
        <v>0</v>
      </c>
      <c r="AP166" s="17">
        <f t="shared" si="12"/>
        <v>0</v>
      </c>
      <c r="AQ166" s="17">
        <f t="shared" si="13"/>
        <v>0</v>
      </c>
      <c r="AR166" s="17">
        <f t="shared" si="14"/>
        <v>0</v>
      </c>
    </row>
    <row r="167" spans="1:44" ht="12.75" customHeight="1">
      <c r="A167" s="69">
        <f t="shared" si="0"/>
        <v>0</v>
      </c>
      <c r="B167" s="69">
        <f t="shared" si="1"/>
        <v>0</v>
      </c>
      <c r="C167" s="147">
        <f t="shared" si="2"/>
        <v>0</v>
      </c>
      <c r="D167" s="69">
        <f t="shared" si="3"/>
        <v>99999</v>
      </c>
      <c r="E167" s="69">
        <f t="shared" si="4"/>
        <v>9999</v>
      </c>
      <c r="F167" s="98" t="str">
        <f t="shared" ca="1" si="5"/>
        <v>00000000000000000000392891</v>
      </c>
      <c r="G167" s="139" t="b">
        <f t="shared" si="6"/>
        <v>1</v>
      </c>
      <c r="H167" s="140">
        <f t="shared" si="7"/>
        <v>157</v>
      </c>
      <c r="I167" s="130" t="s">
        <v>1750</v>
      </c>
      <c r="J167" s="141" t="s">
        <v>1690</v>
      </c>
      <c r="K167" s="17" t="s">
        <v>1690</v>
      </c>
      <c r="L167" s="17" t="s">
        <v>1690</v>
      </c>
      <c r="M167" s="17">
        <v>9999</v>
      </c>
      <c r="N167" s="142">
        <v>0</v>
      </c>
      <c r="O167" s="130" t="s">
        <v>1750</v>
      </c>
      <c r="P167" s="141" t="s">
        <v>1690</v>
      </c>
      <c r="Q167" s="17" t="s">
        <v>1690</v>
      </c>
      <c r="R167" s="17" t="s">
        <v>1690</v>
      </c>
      <c r="S167" s="17">
        <v>9999</v>
      </c>
      <c r="T167" s="142">
        <v>0</v>
      </c>
      <c r="U167" s="130" t="s">
        <v>1750</v>
      </c>
      <c r="V167" s="141" t="s">
        <v>1690</v>
      </c>
      <c r="W167" s="17" t="s">
        <v>1690</v>
      </c>
      <c r="X167" s="17" t="s">
        <v>1690</v>
      </c>
      <c r="Y167" s="17">
        <v>9999</v>
      </c>
      <c r="Z167" s="142">
        <v>0</v>
      </c>
      <c r="AA167" s="130" t="s">
        <v>1750</v>
      </c>
      <c r="AB167" s="141" t="s">
        <v>1690</v>
      </c>
      <c r="AC167" s="17" t="s">
        <v>1690</v>
      </c>
      <c r="AD167" s="17" t="s">
        <v>1690</v>
      </c>
      <c r="AE167" s="17">
        <v>9999</v>
      </c>
      <c r="AF167" s="142">
        <v>0</v>
      </c>
      <c r="AG167" s="130"/>
      <c r="AH167" s="143">
        <f>IF(TYPE(VLOOKUP(H167,Nasazení!$A$3:$E$130,5,0))&lt;4,VLOOKUP(H167,Nasazení!$A$3:$E$130,5,0),0)</f>
        <v>0</v>
      </c>
      <c r="AI167" s="144" t="str">
        <f>IF(N($AH167)&gt;0,VLOOKUP($AH167,Body!$A$4:$F$259,5,0),"")</f>
        <v/>
      </c>
      <c r="AJ167" s="145" t="str">
        <f>IF(N($AH167)&gt;0,VLOOKUP($AH167,Body!$A$4:$F$259,6,0),"")</f>
        <v/>
      </c>
      <c r="AK167" s="144" t="str">
        <f>IF(N($AH167)&gt;0,VLOOKUP($AH167,Body!$A$4:$F$259,2,0),"")</f>
        <v/>
      </c>
      <c r="AL167" s="146" t="str">
        <f t="shared" si="8"/>
        <v/>
      </c>
      <c r="AM167" s="142">
        <f t="shared" si="9"/>
        <v>0</v>
      </c>
      <c r="AN167" s="17">
        <f t="shared" si="10"/>
        <v>0</v>
      </c>
      <c r="AO167" s="17">
        <f t="shared" si="11"/>
        <v>0</v>
      </c>
      <c r="AP167" s="17">
        <f t="shared" si="12"/>
        <v>0</v>
      </c>
      <c r="AQ167" s="17">
        <f t="shared" si="13"/>
        <v>0</v>
      </c>
      <c r="AR167" s="17">
        <f t="shared" si="14"/>
        <v>0</v>
      </c>
    </row>
    <row r="168" spans="1:44" ht="12.75" customHeight="1">
      <c r="A168" s="69">
        <f t="shared" si="0"/>
        <v>0</v>
      </c>
      <c r="B168" s="69">
        <f t="shared" si="1"/>
        <v>0</v>
      </c>
      <c r="C168" s="147">
        <f t="shared" si="2"/>
        <v>0</v>
      </c>
      <c r="D168" s="69">
        <f t="shared" si="3"/>
        <v>99999</v>
      </c>
      <c r="E168" s="69">
        <f t="shared" si="4"/>
        <v>9999</v>
      </c>
      <c r="F168" s="98" t="str">
        <f t="shared" ca="1" si="5"/>
        <v>00000000000000000000112559</v>
      </c>
      <c r="G168" s="139" t="b">
        <f t="shared" si="6"/>
        <v>1</v>
      </c>
      <c r="H168" s="140">
        <f t="shared" si="7"/>
        <v>158</v>
      </c>
      <c r="I168" s="130" t="s">
        <v>1750</v>
      </c>
      <c r="J168" s="141" t="s">
        <v>1690</v>
      </c>
      <c r="K168" s="17" t="s">
        <v>1690</v>
      </c>
      <c r="L168" s="17" t="s">
        <v>1690</v>
      </c>
      <c r="M168" s="17">
        <v>9999</v>
      </c>
      <c r="N168" s="142">
        <v>0</v>
      </c>
      <c r="O168" s="130" t="s">
        <v>1750</v>
      </c>
      <c r="P168" s="141" t="s">
        <v>1690</v>
      </c>
      <c r="Q168" s="17" t="s">
        <v>1690</v>
      </c>
      <c r="R168" s="17" t="s">
        <v>1690</v>
      </c>
      <c r="S168" s="17">
        <v>9999</v>
      </c>
      <c r="T168" s="142">
        <v>0</v>
      </c>
      <c r="U168" s="130" t="s">
        <v>1750</v>
      </c>
      <c r="V168" s="141" t="s">
        <v>1690</v>
      </c>
      <c r="W168" s="17" t="s">
        <v>1690</v>
      </c>
      <c r="X168" s="17" t="s">
        <v>1690</v>
      </c>
      <c r="Y168" s="17">
        <v>9999</v>
      </c>
      <c r="Z168" s="142">
        <v>0</v>
      </c>
      <c r="AA168" s="130" t="s">
        <v>1750</v>
      </c>
      <c r="AB168" s="141" t="s">
        <v>1690</v>
      </c>
      <c r="AC168" s="17" t="s">
        <v>1690</v>
      </c>
      <c r="AD168" s="17" t="s">
        <v>1690</v>
      </c>
      <c r="AE168" s="17">
        <v>9999</v>
      </c>
      <c r="AF168" s="142">
        <v>0</v>
      </c>
      <c r="AG168" s="130"/>
      <c r="AH168" s="143">
        <f>IF(TYPE(VLOOKUP(H168,Nasazení!$A$3:$E$130,5,0))&lt;4,VLOOKUP(H168,Nasazení!$A$3:$E$130,5,0),0)</f>
        <v>0</v>
      </c>
      <c r="AI168" s="144" t="str">
        <f>IF(N($AH168)&gt;0,VLOOKUP($AH168,Body!$A$4:$F$259,5,0),"")</f>
        <v/>
      </c>
      <c r="AJ168" s="145" t="str">
        <f>IF(N($AH168)&gt;0,VLOOKUP($AH168,Body!$A$4:$F$259,6,0),"")</f>
        <v/>
      </c>
      <c r="AK168" s="144" t="str">
        <f>IF(N($AH168)&gt;0,VLOOKUP($AH168,Body!$A$4:$F$259,2,0),"")</f>
        <v/>
      </c>
      <c r="AL168" s="146" t="str">
        <f t="shared" si="8"/>
        <v/>
      </c>
      <c r="AM168" s="142">
        <f t="shared" si="9"/>
        <v>0</v>
      </c>
      <c r="AN168" s="17">
        <f t="shared" si="10"/>
        <v>0</v>
      </c>
      <c r="AO168" s="17">
        <f t="shared" si="11"/>
        <v>0</v>
      </c>
      <c r="AP168" s="17">
        <f t="shared" si="12"/>
        <v>0</v>
      </c>
      <c r="AQ168" s="17">
        <f t="shared" si="13"/>
        <v>0</v>
      </c>
      <c r="AR168" s="17">
        <f t="shared" si="14"/>
        <v>0</v>
      </c>
    </row>
    <row r="169" spans="1:44" ht="12.75" customHeight="1">
      <c r="A169" s="69">
        <f t="shared" si="0"/>
        <v>0</v>
      </c>
      <c r="B169" s="69">
        <f t="shared" si="1"/>
        <v>0</v>
      </c>
      <c r="C169" s="147">
        <f t="shared" si="2"/>
        <v>0</v>
      </c>
      <c r="D169" s="69">
        <f t="shared" si="3"/>
        <v>99999</v>
      </c>
      <c r="E169" s="69">
        <f t="shared" si="4"/>
        <v>9999</v>
      </c>
      <c r="F169" s="98" t="str">
        <f t="shared" ca="1" si="5"/>
        <v>00000000000000000000506765</v>
      </c>
      <c r="G169" s="139" t="b">
        <f t="shared" si="6"/>
        <v>1</v>
      </c>
      <c r="H169" s="140">
        <f t="shared" si="7"/>
        <v>159</v>
      </c>
      <c r="I169" s="130" t="s">
        <v>1750</v>
      </c>
      <c r="J169" s="141" t="s">
        <v>1690</v>
      </c>
      <c r="K169" s="17" t="s">
        <v>1690</v>
      </c>
      <c r="L169" s="17" t="s">
        <v>1690</v>
      </c>
      <c r="M169" s="17">
        <v>9999</v>
      </c>
      <c r="N169" s="142">
        <v>0</v>
      </c>
      <c r="O169" s="130" t="s">
        <v>1750</v>
      </c>
      <c r="P169" s="141" t="s">
        <v>1690</v>
      </c>
      <c r="Q169" s="17" t="s">
        <v>1690</v>
      </c>
      <c r="R169" s="17" t="s">
        <v>1690</v>
      </c>
      <c r="S169" s="17">
        <v>9999</v>
      </c>
      <c r="T169" s="142">
        <v>0</v>
      </c>
      <c r="U169" s="130" t="s">
        <v>1750</v>
      </c>
      <c r="V169" s="141" t="s">
        <v>1690</v>
      </c>
      <c r="W169" s="17" t="s">
        <v>1690</v>
      </c>
      <c r="X169" s="17" t="s">
        <v>1690</v>
      </c>
      <c r="Y169" s="17">
        <v>9999</v>
      </c>
      <c r="Z169" s="142">
        <v>0</v>
      </c>
      <c r="AA169" s="130" t="s">
        <v>1750</v>
      </c>
      <c r="AB169" s="141" t="s">
        <v>1690</v>
      </c>
      <c r="AC169" s="17" t="s">
        <v>1690</v>
      </c>
      <c r="AD169" s="17" t="s">
        <v>1690</v>
      </c>
      <c r="AE169" s="17">
        <v>9999</v>
      </c>
      <c r="AF169" s="142">
        <v>0</v>
      </c>
      <c r="AG169" s="130"/>
      <c r="AH169" s="143">
        <f>IF(TYPE(VLOOKUP(H169,Nasazení!$A$3:$E$130,5,0))&lt;4,VLOOKUP(H169,Nasazení!$A$3:$E$130,5,0),0)</f>
        <v>0</v>
      </c>
      <c r="AI169" s="144" t="str">
        <f>IF(N($AH169)&gt;0,VLOOKUP($AH169,Body!$A$4:$F$259,5,0),"")</f>
        <v/>
      </c>
      <c r="AJ169" s="145" t="str">
        <f>IF(N($AH169)&gt;0,VLOOKUP($AH169,Body!$A$4:$F$259,6,0),"")</f>
        <v/>
      </c>
      <c r="AK169" s="144" t="str">
        <f>IF(N($AH169)&gt;0,VLOOKUP($AH169,Body!$A$4:$F$259,2,0),"")</f>
        <v/>
      </c>
      <c r="AL169" s="146" t="str">
        <f t="shared" si="8"/>
        <v/>
      </c>
      <c r="AM169" s="142">
        <f t="shared" si="9"/>
        <v>0</v>
      </c>
      <c r="AN169" s="17">
        <f t="shared" si="10"/>
        <v>0</v>
      </c>
      <c r="AO169" s="17">
        <f t="shared" si="11"/>
        <v>0</v>
      </c>
      <c r="AP169" s="17">
        <f t="shared" si="12"/>
        <v>0</v>
      </c>
      <c r="AQ169" s="17">
        <f t="shared" si="13"/>
        <v>0</v>
      </c>
      <c r="AR169" s="17">
        <f t="shared" si="14"/>
        <v>0</v>
      </c>
    </row>
    <row r="170" spans="1:44" ht="12.75" customHeight="1">
      <c r="A170" s="69">
        <f t="shared" si="0"/>
        <v>0</v>
      </c>
      <c r="B170" s="69">
        <f t="shared" si="1"/>
        <v>0</v>
      </c>
      <c r="C170" s="147">
        <f t="shared" si="2"/>
        <v>0</v>
      </c>
      <c r="D170" s="69">
        <f t="shared" si="3"/>
        <v>99999</v>
      </c>
      <c r="E170" s="69">
        <f t="shared" si="4"/>
        <v>9999</v>
      </c>
      <c r="F170" s="98" t="str">
        <f t="shared" ca="1" si="5"/>
        <v>00000000000000000000715676</v>
      </c>
      <c r="G170" s="139" t="b">
        <f t="shared" si="6"/>
        <v>1</v>
      </c>
      <c r="H170" s="140">
        <f t="shared" si="7"/>
        <v>160</v>
      </c>
      <c r="I170" s="130" t="s">
        <v>1750</v>
      </c>
      <c r="J170" s="141" t="s">
        <v>1690</v>
      </c>
      <c r="K170" s="17" t="s">
        <v>1690</v>
      </c>
      <c r="L170" s="17" t="s">
        <v>1690</v>
      </c>
      <c r="M170" s="17">
        <v>9999</v>
      </c>
      <c r="N170" s="142">
        <v>0</v>
      </c>
      <c r="O170" s="130" t="s">
        <v>1750</v>
      </c>
      <c r="P170" s="141" t="s">
        <v>1690</v>
      </c>
      <c r="Q170" s="17" t="s">
        <v>1690</v>
      </c>
      <c r="R170" s="17" t="s">
        <v>1690</v>
      </c>
      <c r="S170" s="17">
        <v>9999</v>
      </c>
      <c r="T170" s="142">
        <v>0</v>
      </c>
      <c r="U170" s="130" t="s">
        <v>1750</v>
      </c>
      <c r="V170" s="141" t="s">
        <v>1690</v>
      </c>
      <c r="W170" s="17" t="s">
        <v>1690</v>
      </c>
      <c r="X170" s="17" t="s">
        <v>1690</v>
      </c>
      <c r="Y170" s="17">
        <v>9999</v>
      </c>
      <c r="Z170" s="142">
        <v>0</v>
      </c>
      <c r="AA170" s="130" t="s">
        <v>1750</v>
      </c>
      <c r="AB170" s="141" t="s">
        <v>1690</v>
      </c>
      <c r="AC170" s="17" t="s">
        <v>1690</v>
      </c>
      <c r="AD170" s="17" t="s">
        <v>1690</v>
      </c>
      <c r="AE170" s="17">
        <v>9999</v>
      </c>
      <c r="AF170" s="142">
        <v>0</v>
      </c>
      <c r="AG170" s="130"/>
      <c r="AH170" s="143">
        <f>IF(TYPE(VLOOKUP(H170,Nasazení!$A$3:$E$130,5,0))&lt;4,VLOOKUP(H170,Nasazení!$A$3:$E$130,5,0),0)</f>
        <v>0</v>
      </c>
      <c r="AI170" s="144" t="str">
        <f>IF(N($AH170)&gt;0,VLOOKUP($AH170,Body!$A$4:$F$259,5,0),"")</f>
        <v/>
      </c>
      <c r="AJ170" s="145" t="str">
        <f>IF(N($AH170)&gt;0,VLOOKUP($AH170,Body!$A$4:$F$259,6,0),"")</f>
        <v/>
      </c>
      <c r="AK170" s="144" t="str">
        <f>IF(N($AH170)&gt;0,VLOOKUP($AH170,Body!$A$4:$F$259,2,0),"")</f>
        <v/>
      </c>
      <c r="AL170" s="146" t="str">
        <f t="shared" si="8"/>
        <v/>
      </c>
      <c r="AM170" s="142">
        <f t="shared" si="9"/>
        <v>0</v>
      </c>
      <c r="AN170" s="17">
        <f t="shared" si="10"/>
        <v>0</v>
      </c>
      <c r="AO170" s="17">
        <f t="shared" si="11"/>
        <v>0</v>
      </c>
      <c r="AP170" s="17">
        <f t="shared" si="12"/>
        <v>0</v>
      </c>
      <c r="AQ170" s="17">
        <f t="shared" si="13"/>
        <v>0</v>
      </c>
      <c r="AR170" s="17">
        <f t="shared" si="14"/>
        <v>0</v>
      </c>
    </row>
    <row r="171" spans="1:44" ht="12.75" customHeight="1">
      <c r="A171" s="69">
        <f t="shared" si="0"/>
        <v>0</v>
      </c>
      <c r="B171" s="69">
        <f t="shared" si="1"/>
        <v>0</v>
      </c>
      <c r="C171" s="147">
        <f t="shared" si="2"/>
        <v>0</v>
      </c>
      <c r="D171" s="69">
        <f t="shared" si="3"/>
        <v>99999</v>
      </c>
      <c r="E171" s="69">
        <f t="shared" si="4"/>
        <v>9999</v>
      </c>
      <c r="F171" s="98" t="str">
        <f t="shared" ca="1" si="5"/>
        <v>00000000000000000000440974</v>
      </c>
      <c r="G171" s="139" t="b">
        <f t="shared" si="6"/>
        <v>1</v>
      </c>
      <c r="H171" s="140">
        <f t="shared" si="7"/>
        <v>161</v>
      </c>
      <c r="I171" s="130" t="s">
        <v>1750</v>
      </c>
      <c r="J171" s="141" t="s">
        <v>1690</v>
      </c>
      <c r="K171" s="17" t="s">
        <v>1690</v>
      </c>
      <c r="L171" s="17" t="s">
        <v>1690</v>
      </c>
      <c r="M171" s="17">
        <v>9999</v>
      </c>
      <c r="N171" s="142">
        <v>0</v>
      </c>
      <c r="O171" s="130" t="s">
        <v>1750</v>
      </c>
      <c r="P171" s="141" t="s">
        <v>1690</v>
      </c>
      <c r="Q171" s="17" t="s">
        <v>1690</v>
      </c>
      <c r="R171" s="17" t="s">
        <v>1690</v>
      </c>
      <c r="S171" s="17">
        <v>9999</v>
      </c>
      <c r="T171" s="142">
        <v>0</v>
      </c>
      <c r="U171" s="130" t="s">
        <v>1750</v>
      </c>
      <c r="V171" s="141" t="s">
        <v>1690</v>
      </c>
      <c r="W171" s="17" t="s">
        <v>1690</v>
      </c>
      <c r="X171" s="17" t="s">
        <v>1690</v>
      </c>
      <c r="Y171" s="17">
        <v>9999</v>
      </c>
      <c r="Z171" s="142">
        <v>0</v>
      </c>
      <c r="AA171" s="130" t="s">
        <v>1750</v>
      </c>
      <c r="AB171" s="141" t="s">
        <v>1690</v>
      </c>
      <c r="AC171" s="17" t="s">
        <v>1690</v>
      </c>
      <c r="AD171" s="17" t="s">
        <v>1690</v>
      </c>
      <c r="AE171" s="17">
        <v>9999</v>
      </c>
      <c r="AF171" s="142">
        <v>0</v>
      </c>
      <c r="AG171" s="130"/>
      <c r="AH171" s="143">
        <f>IF(TYPE(VLOOKUP(H171,Nasazení!$A$3:$E$130,5,0))&lt;4,VLOOKUP(H171,Nasazení!$A$3:$E$130,5,0),0)</f>
        <v>0</v>
      </c>
      <c r="AI171" s="144" t="str">
        <f>IF(N($AH171)&gt;0,VLOOKUP($AH171,Body!$A$4:$F$259,5,0),"")</f>
        <v/>
      </c>
      <c r="AJ171" s="145" t="str">
        <f>IF(N($AH171)&gt;0,VLOOKUP($AH171,Body!$A$4:$F$259,6,0),"")</f>
        <v/>
      </c>
      <c r="AK171" s="144" t="str">
        <f>IF(N($AH171)&gt;0,VLOOKUP($AH171,Body!$A$4:$F$259,2,0),"")</f>
        <v/>
      </c>
      <c r="AL171" s="146" t="str">
        <f t="shared" si="8"/>
        <v/>
      </c>
      <c r="AM171" s="142">
        <f t="shared" si="9"/>
        <v>0</v>
      </c>
      <c r="AN171" s="17">
        <f t="shared" si="10"/>
        <v>0</v>
      </c>
      <c r="AO171" s="17">
        <f t="shared" si="11"/>
        <v>0</v>
      </c>
      <c r="AP171" s="17">
        <f t="shared" si="12"/>
        <v>0</v>
      </c>
      <c r="AQ171" s="17">
        <f t="shared" si="13"/>
        <v>0</v>
      </c>
      <c r="AR171" s="17">
        <f t="shared" si="14"/>
        <v>0</v>
      </c>
    </row>
    <row r="172" spans="1:44" ht="12.75" customHeight="1">
      <c r="A172" s="69">
        <f t="shared" si="0"/>
        <v>0</v>
      </c>
      <c r="B172" s="69">
        <f t="shared" si="1"/>
        <v>0</v>
      </c>
      <c r="C172" s="147">
        <f t="shared" si="2"/>
        <v>0</v>
      </c>
      <c r="D172" s="69">
        <f t="shared" si="3"/>
        <v>99999</v>
      </c>
      <c r="E172" s="69">
        <f t="shared" si="4"/>
        <v>9999</v>
      </c>
      <c r="F172" s="98" t="str">
        <f t="shared" ca="1" si="5"/>
        <v>00000000000000000000272902</v>
      </c>
      <c r="G172" s="139" t="b">
        <f t="shared" si="6"/>
        <v>1</v>
      </c>
      <c r="H172" s="140">
        <f t="shared" si="7"/>
        <v>162</v>
      </c>
      <c r="I172" s="130" t="s">
        <v>1750</v>
      </c>
      <c r="J172" s="141" t="s">
        <v>1690</v>
      </c>
      <c r="K172" s="17" t="s">
        <v>1690</v>
      </c>
      <c r="L172" s="17" t="s">
        <v>1690</v>
      </c>
      <c r="M172" s="17">
        <v>9999</v>
      </c>
      <c r="N172" s="142">
        <v>0</v>
      </c>
      <c r="O172" s="130" t="s">
        <v>1750</v>
      </c>
      <c r="P172" s="141" t="s">
        <v>1690</v>
      </c>
      <c r="Q172" s="17" t="s">
        <v>1690</v>
      </c>
      <c r="R172" s="17" t="s">
        <v>1690</v>
      </c>
      <c r="S172" s="17">
        <v>9999</v>
      </c>
      <c r="T172" s="142">
        <v>0</v>
      </c>
      <c r="U172" s="130" t="s">
        <v>1750</v>
      </c>
      <c r="V172" s="141" t="s">
        <v>1690</v>
      </c>
      <c r="W172" s="17" t="s">
        <v>1690</v>
      </c>
      <c r="X172" s="17" t="s">
        <v>1690</v>
      </c>
      <c r="Y172" s="17">
        <v>9999</v>
      </c>
      <c r="Z172" s="142">
        <v>0</v>
      </c>
      <c r="AA172" s="130" t="s">
        <v>1750</v>
      </c>
      <c r="AB172" s="141" t="s">
        <v>1690</v>
      </c>
      <c r="AC172" s="17" t="s">
        <v>1690</v>
      </c>
      <c r="AD172" s="17" t="s">
        <v>1690</v>
      </c>
      <c r="AE172" s="17">
        <v>9999</v>
      </c>
      <c r="AF172" s="142">
        <v>0</v>
      </c>
      <c r="AG172" s="130"/>
      <c r="AH172" s="143">
        <f>IF(TYPE(VLOOKUP(H172,Nasazení!$A$3:$E$130,5,0))&lt;4,VLOOKUP(H172,Nasazení!$A$3:$E$130,5,0),0)</f>
        <v>0</v>
      </c>
      <c r="AI172" s="144" t="str">
        <f>IF(N($AH172)&gt;0,VLOOKUP($AH172,Body!$A$4:$F$259,5,0),"")</f>
        <v/>
      </c>
      <c r="AJ172" s="145" t="str">
        <f>IF(N($AH172)&gt;0,VLOOKUP($AH172,Body!$A$4:$F$259,6,0),"")</f>
        <v/>
      </c>
      <c r="AK172" s="144" t="str">
        <f>IF(N($AH172)&gt;0,VLOOKUP($AH172,Body!$A$4:$F$259,2,0),"")</f>
        <v/>
      </c>
      <c r="AL172" s="146" t="str">
        <f t="shared" si="8"/>
        <v/>
      </c>
      <c r="AM172" s="142">
        <f t="shared" si="9"/>
        <v>0</v>
      </c>
      <c r="AN172" s="17">
        <f t="shared" si="10"/>
        <v>0</v>
      </c>
      <c r="AO172" s="17">
        <f t="shared" si="11"/>
        <v>0</v>
      </c>
      <c r="AP172" s="17">
        <f t="shared" si="12"/>
        <v>0</v>
      </c>
      <c r="AQ172" s="17">
        <f t="shared" si="13"/>
        <v>0</v>
      </c>
      <c r="AR172" s="17">
        <f t="shared" si="14"/>
        <v>0</v>
      </c>
    </row>
    <row r="173" spans="1:44" ht="12.75" customHeight="1">
      <c r="A173" s="69">
        <f t="shared" si="0"/>
        <v>0</v>
      </c>
      <c r="B173" s="69">
        <f t="shared" si="1"/>
        <v>0</v>
      </c>
      <c r="C173" s="147">
        <f t="shared" si="2"/>
        <v>0</v>
      </c>
      <c r="D173" s="69">
        <f t="shared" si="3"/>
        <v>99999</v>
      </c>
      <c r="E173" s="69">
        <f t="shared" si="4"/>
        <v>9999</v>
      </c>
      <c r="F173" s="98" t="str">
        <f t="shared" ca="1" si="5"/>
        <v>00000000000000000000486397</v>
      </c>
      <c r="G173" s="139" t="b">
        <f t="shared" si="6"/>
        <v>1</v>
      </c>
      <c r="H173" s="140">
        <f t="shared" si="7"/>
        <v>163</v>
      </c>
      <c r="I173" s="130" t="s">
        <v>1750</v>
      </c>
      <c r="J173" s="141" t="s">
        <v>1690</v>
      </c>
      <c r="K173" s="17" t="s">
        <v>1690</v>
      </c>
      <c r="L173" s="17" t="s">
        <v>1690</v>
      </c>
      <c r="M173" s="17">
        <v>9999</v>
      </c>
      <c r="N173" s="142">
        <v>0</v>
      </c>
      <c r="O173" s="130" t="s">
        <v>1750</v>
      </c>
      <c r="P173" s="141" t="s">
        <v>1690</v>
      </c>
      <c r="Q173" s="17" t="s">
        <v>1690</v>
      </c>
      <c r="R173" s="17" t="s">
        <v>1690</v>
      </c>
      <c r="S173" s="17">
        <v>9999</v>
      </c>
      <c r="T173" s="142">
        <v>0</v>
      </c>
      <c r="U173" s="130" t="s">
        <v>1750</v>
      </c>
      <c r="V173" s="141" t="s">
        <v>1690</v>
      </c>
      <c r="W173" s="17" t="s">
        <v>1690</v>
      </c>
      <c r="X173" s="17" t="s">
        <v>1690</v>
      </c>
      <c r="Y173" s="17">
        <v>9999</v>
      </c>
      <c r="Z173" s="142">
        <v>0</v>
      </c>
      <c r="AA173" s="130" t="s">
        <v>1750</v>
      </c>
      <c r="AB173" s="141" t="s">
        <v>1690</v>
      </c>
      <c r="AC173" s="17" t="s">
        <v>1690</v>
      </c>
      <c r="AD173" s="17" t="s">
        <v>1690</v>
      </c>
      <c r="AE173" s="17">
        <v>9999</v>
      </c>
      <c r="AF173" s="142">
        <v>0</v>
      </c>
      <c r="AG173" s="130"/>
      <c r="AH173" s="143">
        <f>IF(TYPE(VLOOKUP(H173,Nasazení!$A$3:$E$130,5,0))&lt;4,VLOOKUP(H173,Nasazení!$A$3:$E$130,5,0),0)</f>
        <v>0</v>
      </c>
      <c r="AI173" s="144" t="str">
        <f>IF(N($AH173)&gt;0,VLOOKUP($AH173,Body!$A$4:$F$259,5,0),"")</f>
        <v/>
      </c>
      <c r="AJ173" s="145" t="str">
        <f>IF(N($AH173)&gt;0,VLOOKUP($AH173,Body!$A$4:$F$259,6,0),"")</f>
        <v/>
      </c>
      <c r="AK173" s="144" t="str">
        <f>IF(N($AH173)&gt;0,VLOOKUP($AH173,Body!$A$4:$F$259,2,0),"")</f>
        <v/>
      </c>
      <c r="AL173" s="146" t="str">
        <f t="shared" si="8"/>
        <v/>
      </c>
      <c r="AM173" s="142">
        <f t="shared" si="9"/>
        <v>0</v>
      </c>
      <c r="AN173" s="17">
        <f t="shared" si="10"/>
        <v>0</v>
      </c>
      <c r="AO173" s="17">
        <f t="shared" si="11"/>
        <v>0</v>
      </c>
      <c r="AP173" s="17">
        <f t="shared" si="12"/>
        <v>0</v>
      </c>
      <c r="AQ173" s="17">
        <f t="shared" si="13"/>
        <v>0</v>
      </c>
      <c r="AR173" s="17">
        <f t="shared" si="14"/>
        <v>0</v>
      </c>
    </row>
    <row r="174" spans="1:44" ht="12.75" customHeight="1">
      <c r="A174" s="69">
        <f t="shared" si="0"/>
        <v>0</v>
      </c>
      <c r="B174" s="69">
        <f t="shared" si="1"/>
        <v>0</v>
      </c>
      <c r="C174" s="147">
        <f t="shared" si="2"/>
        <v>0</v>
      </c>
      <c r="D174" s="69">
        <f t="shared" si="3"/>
        <v>99999</v>
      </c>
      <c r="E174" s="69">
        <f t="shared" si="4"/>
        <v>9999</v>
      </c>
      <c r="F174" s="98" t="str">
        <f t="shared" ca="1" si="5"/>
        <v>00000000000000000000289122</v>
      </c>
      <c r="G174" s="139" t="b">
        <f t="shared" si="6"/>
        <v>1</v>
      </c>
      <c r="H174" s="140">
        <f t="shared" si="7"/>
        <v>164</v>
      </c>
      <c r="I174" s="130" t="s">
        <v>1750</v>
      </c>
      <c r="J174" s="141" t="s">
        <v>1690</v>
      </c>
      <c r="K174" s="17" t="s">
        <v>1690</v>
      </c>
      <c r="L174" s="17" t="s">
        <v>1690</v>
      </c>
      <c r="M174" s="17">
        <v>9999</v>
      </c>
      <c r="N174" s="142">
        <v>0</v>
      </c>
      <c r="O174" s="130" t="s">
        <v>1750</v>
      </c>
      <c r="P174" s="141" t="s">
        <v>1690</v>
      </c>
      <c r="Q174" s="17" t="s">
        <v>1690</v>
      </c>
      <c r="R174" s="17" t="s">
        <v>1690</v>
      </c>
      <c r="S174" s="17">
        <v>9999</v>
      </c>
      <c r="T174" s="142">
        <v>0</v>
      </c>
      <c r="U174" s="130" t="s">
        <v>1750</v>
      </c>
      <c r="V174" s="141" t="s">
        <v>1690</v>
      </c>
      <c r="W174" s="17" t="s">
        <v>1690</v>
      </c>
      <c r="X174" s="17" t="s">
        <v>1690</v>
      </c>
      <c r="Y174" s="17">
        <v>9999</v>
      </c>
      <c r="Z174" s="142">
        <v>0</v>
      </c>
      <c r="AA174" s="130" t="s">
        <v>1750</v>
      </c>
      <c r="AB174" s="141" t="s">
        <v>1690</v>
      </c>
      <c r="AC174" s="17" t="s">
        <v>1690</v>
      </c>
      <c r="AD174" s="17" t="s">
        <v>1690</v>
      </c>
      <c r="AE174" s="17">
        <v>9999</v>
      </c>
      <c r="AF174" s="142">
        <v>0</v>
      </c>
      <c r="AG174" s="130"/>
      <c r="AH174" s="143">
        <f>IF(TYPE(VLOOKUP(H174,Nasazení!$A$3:$E$130,5,0))&lt;4,VLOOKUP(H174,Nasazení!$A$3:$E$130,5,0),0)</f>
        <v>0</v>
      </c>
      <c r="AI174" s="144" t="str">
        <f>IF(N($AH174)&gt;0,VLOOKUP($AH174,Body!$A$4:$F$259,5,0),"")</f>
        <v/>
      </c>
      <c r="AJ174" s="145" t="str">
        <f>IF(N($AH174)&gt;0,VLOOKUP($AH174,Body!$A$4:$F$259,6,0),"")</f>
        <v/>
      </c>
      <c r="AK174" s="144" t="str">
        <f>IF(N($AH174)&gt;0,VLOOKUP($AH174,Body!$A$4:$F$259,2,0),"")</f>
        <v/>
      </c>
      <c r="AL174" s="146" t="str">
        <f t="shared" si="8"/>
        <v/>
      </c>
      <c r="AM174" s="142">
        <f t="shared" si="9"/>
        <v>0</v>
      </c>
      <c r="AN174" s="17">
        <f t="shared" si="10"/>
        <v>0</v>
      </c>
      <c r="AO174" s="17">
        <f t="shared" si="11"/>
        <v>0</v>
      </c>
      <c r="AP174" s="17">
        <f t="shared" si="12"/>
        <v>0</v>
      </c>
      <c r="AQ174" s="17">
        <f t="shared" si="13"/>
        <v>0</v>
      </c>
      <c r="AR174" s="17">
        <f t="shared" si="14"/>
        <v>0</v>
      </c>
    </row>
    <row r="175" spans="1:44" ht="12.75" customHeight="1">
      <c r="A175" s="69">
        <f t="shared" si="0"/>
        <v>0</v>
      </c>
      <c r="B175" s="69">
        <f t="shared" si="1"/>
        <v>0</v>
      </c>
      <c r="C175" s="147">
        <f t="shared" si="2"/>
        <v>0</v>
      </c>
      <c r="D175" s="69">
        <f t="shared" si="3"/>
        <v>99999</v>
      </c>
      <c r="E175" s="69">
        <f t="shared" si="4"/>
        <v>9999</v>
      </c>
      <c r="F175" s="98" t="str">
        <f t="shared" ca="1" si="5"/>
        <v>00000000000000000000520992</v>
      </c>
      <c r="G175" s="139" t="b">
        <f t="shared" si="6"/>
        <v>1</v>
      </c>
      <c r="H175" s="140">
        <f t="shared" si="7"/>
        <v>165</v>
      </c>
      <c r="I175" s="130" t="s">
        <v>1750</v>
      </c>
      <c r="J175" s="141" t="s">
        <v>1690</v>
      </c>
      <c r="K175" s="17" t="s">
        <v>1690</v>
      </c>
      <c r="L175" s="17" t="s">
        <v>1690</v>
      </c>
      <c r="M175" s="17">
        <v>9999</v>
      </c>
      <c r="N175" s="142">
        <v>0</v>
      </c>
      <c r="O175" s="130" t="s">
        <v>1750</v>
      </c>
      <c r="P175" s="141" t="s">
        <v>1690</v>
      </c>
      <c r="Q175" s="17" t="s">
        <v>1690</v>
      </c>
      <c r="R175" s="17" t="s">
        <v>1690</v>
      </c>
      <c r="S175" s="17">
        <v>9999</v>
      </c>
      <c r="T175" s="142">
        <v>0</v>
      </c>
      <c r="U175" s="130" t="s">
        <v>1750</v>
      </c>
      <c r="V175" s="141" t="s">
        <v>1690</v>
      </c>
      <c r="W175" s="17" t="s">
        <v>1690</v>
      </c>
      <c r="X175" s="17" t="s">
        <v>1690</v>
      </c>
      <c r="Y175" s="17">
        <v>9999</v>
      </c>
      <c r="Z175" s="142">
        <v>0</v>
      </c>
      <c r="AA175" s="130" t="s">
        <v>1750</v>
      </c>
      <c r="AB175" s="141" t="s">
        <v>1690</v>
      </c>
      <c r="AC175" s="17" t="s">
        <v>1690</v>
      </c>
      <c r="AD175" s="17" t="s">
        <v>1690</v>
      </c>
      <c r="AE175" s="17">
        <v>9999</v>
      </c>
      <c r="AF175" s="142">
        <v>0</v>
      </c>
      <c r="AG175" s="130"/>
      <c r="AH175" s="143">
        <f>IF(TYPE(VLOOKUP(H175,Nasazení!$A$3:$E$130,5,0))&lt;4,VLOOKUP(H175,Nasazení!$A$3:$E$130,5,0),0)</f>
        <v>0</v>
      </c>
      <c r="AI175" s="144" t="str">
        <f>IF(N($AH175)&gt;0,VLOOKUP($AH175,Body!$A$4:$F$259,5,0),"")</f>
        <v/>
      </c>
      <c r="AJ175" s="145" t="str">
        <f>IF(N($AH175)&gt;0,VLOOKUP($AH175,Body!$A$4:$F$259,6,0),"")</f>
        <v/>
      </c>
      <c r="AK175" s="144" t="str">
        <f>IF(N($AH175)&gt;0,VLOOKUP($AH175,Body!$A$4:$F$259,2,0),"")</f>
        <v/>
      </c>
      <c r="AL175" s="146" t="str">
        <f t="shared" si="8"/>
        <v/>
      </c>
      <c r="AM175" s="142">
        <f t="shared" si="9"/>
        <v>0</v>
      </c>
      <c r="AN175" s="17">
        <f t="shared" si="10"/>
        <v>0</v>
      </c>
      <c r="AO175" s="17">
        <f t="shared" si="11"/>
        <v>0</v>
      </c>
      <c r="AP175" s="17">
        <f t="shared" si="12"/>
        <v>0</v>
      </c>
      <c r="AQ175" s="17">
        <f t="shared" si="13"/>
        <v>0</v>
      </c>
      <c r="AR175" s="17">
        <f t="shared" si="14"/>
        <v>0</v>
      </c>
    </row>
    <row r="176" spans="1:44" ht="12.75" customHeight="1">
      <c r="A176" s="69">
        <f t="shared" si="0"/>
        <v>0</v>
      </c>
      <c r="B176" s="69">
        <f t="shared" si="1"/>
        <v>0</v>
      </c>
      <c r="C176" s="147">
        <f t="shared" si="2"/>
        <v>0</v>
      </c>
      <c r="D176" s="69">
        <f t="shared" si="3"/>
        <v>99999</v>
      </c>
      <c r="E176" s="69">
        <f t="shared" si="4"/>
        <v>9999</v>
      </c>
      <c r="F176" s="98" t="str">
        <f t="shared" ca="1" si="5"/>
        <v>00000000000000000000981808</v>
      </c>
      <c r="G176" s="139" t="b">
        <f t="shared" si="6"/>
        <v>1</v>
      </c>
      <c r="H176" s="140">
        <f t="shared" si="7"/>
        <v>166</v>
      </c>
      <c r="I176" s="130" t="s">
        <v>1750</v>
      </c>
      <c r="J176" s="141" t="s">
        <v>1690</v>
      </c>
      <c r="K176" s="17" t="s">
        <v>1690</v>
      </c>
      <c r="L176" s="17" t="s">
        <v>1690</v>
      </c>
      <c r="M176" s="17">
        <v>9999</v>
      </c>
      <c r="N176" s="142">
        <v>0</v>
      </c>
      <c r="O176" s="130" t="s">
        <v>1750</v>
      </c>
      <c r="P176" s="141" t="s">
        <v>1690</v>
      </c>
      <c r="Q176" s="17" t="s">
        <v>1690</v>
      </c>
      <c r="R176" s="17" t="s">
        <v>1690</v>
      </c>
      <c r="S176" s="17">
        <v>9999</v>
      </c>
      <c r="T176" s="142">
        <v>0</v>
      </c>
      <c r="U176" s="130" t="s">
        <v>1750</v>
      </c>
      <c r="V176" s="141" t="s">
        <v>1690</v>
      </c>
      <c r="W176" s="17" t="s">
        <v>1690</v>
      </c>
      <c r="X176" s="17" t="s">
        <v>1690</v>
      </c>
      <c r="Y176" s="17">
        <v>9999</v>
      </c>
      <c r="Z176" s="142">
        <v>0</v>
      </c>
      <c r="AA176" s="130" t="s">
        <v>1750</v>
      </c>
      <c r="AB176" s="141" t="s">
        <v>1690</v>
      </c>
      <c r="AC176" s="17" t="s">
        <v>1690</v>
      </c>
      <c r="AD176" s="17" t="s">
        <v>1690</v>
      </c>
      <c r="AE176" s="17">
        <v>9999</v>
      </c>
      <c r="AF176" s="142">
        <v>0</v>
      </c>
      <c r="AG176" s="130"/>
      <c r="AH176" s="143">
        <f>IF(TYPE(VLOOKUP(H176,Nasazení!$A$3:$E$130,5,0))&lt;4,VLOOKUP(H176,Nasazení!$A$3:$E$130,5,0),0)</f>
        <v>0</v>
      </c>
      <c r="AI176" s="144" t="str">
        <f>IF(N($AH176)&gt;0,VLOOKUP($AH176,Body!$A$4:$F$259,5,0),"")</f>
        <v/>
      </c>
      <c r="AJ176" s="145" t="str">
        <f>IF(N($AH176)&gt;0,VLOOKUP($AH176,Body!$A$4:$F$259,6,0),"")</f>
        <v/>
      </c>
      <c r="AK176" s="144" t="str">
        <f>IF(N($AH176)&gt;0,VLOOKUP($AH176,Body!$A$4:$F$259,2,0),"")</f>
        <v/>
      </c>
      <c r="AL176" s="146" t="str">
        <f t="shared" si="8"/>
        <v/>
      </c>
      <c r="AM176" s="142">
        <f t="shared" si="9"/>
        <v>0</v>
      </c>
      <c r="AN176" s="17">
        <f t="shared" si="10"/>
        <v>0</v>
      </c>
      <c r="AO176" s="17">
        <f t="shared" si="11"/>
        <v>0</v>
      </c>
      <c r="AP176" s="17">
        <f t="shared" si="12"/>
        <v>0</v>
      </c>
      <c r="AQ176" s="17">
        <f t="shared" si="13"/>
        <v>0</v>
      </c>
      <c r="AR176" s="17">
        <f t="shared" si="14"/>
        <v>0</v>
      </c>
    </row>
    <row r="177" spans="1:44" ht="12.75" customHeight="1">
      <c r="A177" s="69">
        <f t="shared" si="0"/>
        <v>0</v>
      </c>
      <c r="B177" s="69">
        <f t="shared" si="1"/>
        <v>0</v>
      </c>
      <c r="C177" s="147">
        <f t="shared" si="2"/>
        <v>0</v>
      </c>
      <c r="D177" s="69">
        <f t="shared" si="3"/>
        <v>99999</v>
      </c>
      <c r="E177" s="69">
        <f t="shared" si="4"/>
        <v>9999</v>
      </c>
      <c r="F177" s="98" t="str">
        <f t="shared" ca="1" si="5"/>
        <v>00000000000000000000987702</v>
      </c>
      <c r="G177" s="139" t="b">
        <f t="shared" si="6"/>
        <v>1</v>
      </c>
      <c r="H177" s="140">
        <f t="shared" si="7"/>
        <v>167</v>
      </c>
      <c r="I177" s="130" t="s">
        <v>1750</v>
      </c>
      <c r="J177" s="141" t="s">
        <v>1690</v>
      </c>
      <c r="K177" s="17" t="s">
        <v>1690</v>
      </c>
      <c r="L177" s="17" t="s">
        <v>1690</v>
      </c>
      <c r="M177" s="17">
        <v>9999</v>
      </c>
      <c r="N177" s="142">
        <v>0</v>
      </c>
      <c r="O177" s="130" t="s">
        <v>1750</v>
      </c>
      <c r="P177" s="141" t="s">
        <v>1690</v>
      </c>
      <c r="Q177" s="17" t="s">
        <v>1690</v>
      </c>
      <c r="R177" s="17" t="s">
        <v>1690</v>
      </c>
      <c r="S177" s="17">
        <v>9999</v>
      </c>
      <c r="T177" s="142">
        <v>0</v>
      </c>
      <c r="U177" s="130" t="s">
        <v>1750</v>
      </c>
      <c r="V177" s="141" t="s">
        <v>1690</v>
      </c>
      <c r="W177" s="17" t="s">
        <v>1690</v>
      </c>
      <c r="X177" s="17" t="s">
        <v>1690</v>
      </c>
      <c r="Y177" s="17">
        <v>9999</v>
      </c>
      <c r="Z177" s="142">
        <v>0</v>
      </c>
      <c r="AA177" s="130" t="s">
        <v>1750</v>
      </c>
      <c r="AB177" s="141" t="s">
        <v>1690</v>
      </c>
      <c r="AC177" s="17" t="s">
        <v>1690</v>
      </c>
      <c r="AD177" s="17" t="s">
        <v>1690</v>
      </c>
      <c r="AE177" s="17">
        <v>9999</v>
      </c>
      <c r="AF177" s="142">
        <v>0</v>
      </c>
      <c r="AG177" s="130"/>
      <c r="AH177" s="143">
        <f>IF(TYPE(VLOOKUP(H177,Nasazení!$A$3:$E$130,5,0))&lt;4,VLOOKUP(H177,Nasazení!$A$3:$E$130,5,0),0)</f>
        <v>0</v>
      </c>
      <c r="AI177" s="144" t="str">
        <f>IF(N($AH177)&gt;0,VLOOKUP($AH177,Body!$A$4:$F$259,5,0),"")</f>
        <v/>
      </c>
      <c r="AJ177" s="145" t="str">
        <f>IF(N($AH177)&gt;0,VLOOKUP($AH177,Body!$A$4:$F$259,6,0),"")</f>
        <v/>
      </c>
      <c r="AK177" s="144" t="str">
        <f>IF(N($AH177)&gt;0,VLOOKUP($AH177,Body!$A$4:$F$259,2,0),"")</f>
        <v/>
      </c>
      <c r="AL177" s="146" t="str">
        <f t="shared" si="8"/>
        <v/>
      </c>
      <c r="AM177" s="142">
        <f t="shared" si="9"/>
        <v>0</v>
      </c>
      <c r="AN177" s="17">
        <f t="shared" si="10"/>
        <v>0</v>
      </c>
      <c r="AO177" s="17">
        <f t="shared" si="11"/>
        <v>0</v>
      </c>
      <c r="AP177" s="17">
        <f t="shared" si="12"/>
        <v>0</v>
      </c>
      <c r="AQ177" s="17">
        <f t="shared" si="13"/>
        <v>0</v>
      </c>
      <c r="AR177" s="17">
        <f t="shared" si="14"/>
        <v>0</v>
      </c>
    </row>
    <row r="178" spans="1:44" ht="12.75" customHeight="1">
      <c r="A178" s="69">
        <f t="shared" si="0"/>
        <v>0</v>
      </c>
      <c r="B178" s="69">
        <f t="shared" si="1"/>
        <v>0</v>
      </c>
      <c r="C178" s="147">
        <f t="shared" si="2"/>
        <v>0</v>
      </c>
      <c r="D178" s="69">
        <f t="shared" si="3"/>
        <v>99999</v>
      </c>
      <c r="E178" s="69">
        <f t="shared" si="4"/>
        <v>9999</v>
      </c>
      <c r="F178" s="98" t="str">
        <f t="shared" ca="1" si="5"/>
        <v>00000000000000000000919429</v>
      </c>
      <c r="G178" s="139" t="b">
        <f t="shared" si="6"/>
        <v>1</v>
      </c>
      <c r="H178" s="140">
        <f t="shared" si="7"/>
        <v>168</v>
      </c>
      <c r="I178" s="130" t="s">
        <v>1750</v>
      </c>
      <c r="J178" s="141" t="s">
        <v>1690</v>
      </c>
      <c r="K178" s="17" t="s">
        <v>1690</v>
      </c>
      <c r="L178" s="17" t="s">
        <v>1690</v>
      </c>
      <c r="M178" s="17">
        <v>9999</v>
      </c>
      <c r="N178" s="142">
        <v>0</v>
      </c>
      <c r="O178" s="130" t="s">
        <v>1750</v>
      </c>
      <c r="P178" s="141" t="s">
        <v>1690</v>
      </c>
      <c r="Q178" s="17" t="s">
        <v>1690</v>
      </c>
      <c r="R178" s="17" t="s">
        <v>1690</v>
      </c>
      <c r="S178" s="17">
        <v>9999</v>
      </c>
      <c r="T178" s="142">
        <v>0</v>
      </c>
      <c r="U178" s="130" t="s">
        <v>1750</v>
      </c>
      <c r="V178" s="141" t="s">
        <v>1690</v>
      </c>
      <c r="W178" s="17" t="s">
        <v>1690</v>
      </c>
      <c r="X178" s="17" t="s">
        <v>1690</v>
      </c>
      <c r="Y178" s="17">
        <v>9999</v>
      </c>
      <c r="Z178" s="142">
        <v>0</v>
      </c>
      <c r="AA178" s="130" t="s">
        <v>1750</v>
      </c>
      <c r="AB178" s="141" t="s">
        <v>1690</v>
      </c>
      <c r="AC178" s="17" t="s">
        <v>1690</v>
      </c>
      <c r="AD178" s="17" t="s">
        <v>1690</v>
      </c>
      <c r="AE178" s="17">
        <v>9999</v>
      </c>
      <c r="AF178" s="142">
        <v>0</v>
      </c>
      <c r="AG178" s="130"/>
      <c r="AH178" s="143">
        <f>IF(TYPE(VLOOKUP(H178,Nasazení!$A$3:$E$130,5,0))&lt;4,VLOOKUP(H178,Nasazení!$A$3:$E$130,5,0),0)</f>
        <v>0</v>
      </c>
      <c r="AI178" s="144" t="str">
        <f>IF(N($AH178)&gt;0,VLOOKUP($AH178,Body!$A$4:$F$259,5,0),"")</f>
        <v/>
      </c>
      <c r="AJ178" s="145" t="str">
        <f>IF(N($AH178)&gt;0,VLOOKUP($AH178,Body!$A$4:$F$259,6,0),"")</f>
        <v/>
      </c>
      <c r="AK178" s="144" t="str">
        <f>IF(N($AH178)&gt;0,VLOOKUP($AH178,Body!$A$4:$F$259,2,0),"")</f>
        <v/>
      </c>
      <c r="AL178" s="146" t="str">
        <f t="shared" si="8"/>
        <v/>
      </c>
      <c r="AM178" s="142">
        <f t="shared" si="9"/>
        <v>0</v>
      </c>
      <c r="AN178" s="17">
        <f t="shared" si="10"/>
        <v>0</v>
      </c>
      <c r="AO178" s="17">
        <f t="shared" si="11"/>
        <v>0</v>
      </c>
      <c r="AP178" s="17">
        <f t="shared" si="12"/>
        <v>0</v>
      </c>
      <c r="AQ178" s="17">
        <f t="shared" si="13"/>
        <v>0</v>
      </c>
      <c r="AR178" s="17">
        <f t="shared" si="14"/>
        <v>0</v>
      </c>
    </row>
    <row r="179" spans="1:44" ht="12.75" customHeight="1">
      <c r="A179" s="69">
        <f t="shared" si="0"/>
        <v>0</v>
      </c>
      <c r="B179" s="69">
        <f t="shared" si="1"/>
        <v>0</v>
      </c>
      <c r="C179" s="147">
        <f t="shared" si="2"/>
        <v>0</v>
      </c>
      <c r="D179" s="69">
        <f t="shared" si="3"/>
        <v>99999</v>
      </c>
      <c r="E179" s="69">
        <f t="shared" si="4"/>
        <v>9999</v>
      </c>
      <c r="F179" s="98" t="str">
        <f t="shared" ca="1" si="5"/>
        <v>00000000000000000000859517</v>
      </c>
      <c r="G179" s="139" t="b">
        <f t="shared" si="6"/>
        <v>1</v>
      </c>
      <c r="H179" s="140">
        <f t="shared" si="7"/>
        <v>169</v>
      </c>
      <c r="I179" s="130" t="s">
        <v>1750</v>
      </c>
      <c r="J179" s="141" t="s">
        <v>1690</v>
      </c>
      <c r="K179" s="17" t="s">
        <v>1690</v>
      </c>
      <c r="L179" s="17" t="s">
        <v>1690</v>
      </c>
      <c r="M179" s="17">
        <v>9999</v>
      </c>
      <c r="N179" s="142">
        <v>0</v>
      </c>
      <c r="O179" s="130" t="s">
        <v>1750</v>
      </c>
      <c r="P179" s="141" t="s">
        <v>1690</v>
      </c>
      <c r="Q179" s="17" t="s">
        <v>1690</v>
      </c>
      <c r="R179" s="17" t="s">
        <v>1690</v>
      </c>
      <c r="S179" s="17">
        <v>9999</v>
      </c>
      <c r="T179" s="142">
        <v>0</v>
      </c>
      <c r="U179" s="130" t="s">
        <v>1750</v>
      </c>
      <c r="V179" s="141" t="s">
        <v>1690</v>
      </c>
      <c r="W179" s="17" t="s">
        <v>1690</v>
      </c>
      <c r="X179" s="17" t="s">
        <v>1690</v>
      </c>
      <c r="Y179" s="17">
        <v>9999</v>
      </c>
      <c r="Z179" s="142">
        <v>0</v>
      </c>
      <c r="AA179" s="130" t="s">
        <v>1750</v>
      </c>
      <c r="AB179" s="141" t="s">
        <v>1690</v>
      </c>
      <c r="AC179" s="17" t="s">
        <v>1690</v>
      </c>
      <c r="AD179" s="17" t="s">
        <v>1690</v>
      </c>
      <c r="AE179" s="17">
        <v>9999</v>
      </c>
      <c r="AF179" s="142">
        <v>0</v>
      </c>
      <c r="AG179" s="130"/>
      <c r="AH179" s="143">
        <f>IF(TYPE(VLOOKUP(H179,Nasazení!$A$3:$E$130,5,0))&lt;4,VLOOKUP(H179,Nasazení!$A$3:$E$130,5,0),0)</f>
        <v>0</v>
      </c>
      <c r="AI179" s="144" t="str">
        <f>IF(N($AH179)&gt;0,VLOOKUP($AH179,Body!$A$4:$F$259,5,0),"")</f>
        <v/>
      </c>
      <c r="AJ179" s="145" t="str">
        <f>IF(N($AH179)&gt;0,VLOOKUP($AH179,Body!$A$4:$F$259,6,0),"")</f>
        <v/>
      </c>
      <c r="AK179" s="144" t="str">
        <f>IF(N($AH179)&gt;0,VLOOKUP($AH179,Body!$A$4:$F$259,2,0),"")</f>
        <v/>
      </c>
      <c r="AL179" s="146" t="str">
        <f t="shared" si="8"/>
        <v/>
      </c>
      <c r="AM179" s="142">
        <f t="shared" si="9"/>
        <v>0</v>
      </c>
      <c r="AN179" s="17">
        <f>IF(OR(TYPE(I179)&gt;1,TYPE(MATCH(I179,I$191:I192,0))&gt;1),0,MATCH(I179,I$191:I192,0))+IF(OR(TYPE(I179)&gt;1,TYPE(MATCH(I179,O$11:O$203,0))&gt;1),0,MATCH(I179,O$11:O$203,0))+IF(OR(TYPE(I179)&gt;1,TYPE(MATCH(I179,U$11:U$203,0))&gt;1),0,MATCH(I179,U$11:U$203,0))+IF(OR(TYPE(I179)&gt;1,TYPE(MATCH(I179,AA$11:AA$203,0))&gt;1),0,MATCH(I179,AA$11:AA$203,0))</f>
        <v>0</v>
      </c>
      <c r="AO179" s="17">
        <f>IF(OR(TYPE(O179)&gt;1,TYPE(MATCH(O179,I$11:I$203,0))&gt;1),0,MATCH(O179,I$11:I$203,0))+IF(OR(TYPE(O179)&gt;1,TYPE(MATCH(O179,O$191:O192,0))&gt;1),0,MATCH(O179,O$191:O192,0))+IF(OR(TYPE(O179)&gt;1,TYPE(MATCH(O179,U$11:U$203,0))&gt;1),0,MATCH(O179,U$11:U$203,0))+IF(OR(TYPE(O179)&gt;1,TYPE(MATCH(O179,AA$11:AA$203,0))&gt;1),0,MATCH(O179,AA$11:AA$203,0))</f>
        <v>0</v>
      </c>
      <c r="AP179" s="17">
        <f>IF(OR(TYPE(U179)&gt;1,TYPE(MATCH(U179,I$11:I$203,0))&gt;1),0,MATCH(U179,I$11:I$203,0))+IF(OR(TYPE(U179)&gt;1,TYPE(MATCH(U179,O$11:O$203,0))&gt;1),0,MATCH(U179,O$11:O$203,0))+IF(OR(TYPE(U179)&gt;1,TYPE(MATCH(U179,U$191:U192,0))&gt;1),0,MATCH(U179,U$191:U192,0))+IF(OR(TYPE(U179)&gt;1,TYPE(MATCH(U179,AA$11:AA$203,0))&gt;1),0,MATCH(U179,AA$11:AA$203,0))</f>
        <v>0</v>
      </c>
      <c r="AQ179" s="17">
        <f>IF(OR(TYPE(AA179)&gt;1,TYPE(MATCH(AA179,I$11:I$203,0))&gt;1),0,MATCH(AA179,I$11:I$203,0))+IF(OR(TYPE(AA179)&gt;1,TYPE(MATCH(AA179,O$11:O$203,0))&gt;1),0,MATCH(AA179,O$11:O$203,0))+IF(OR(TYPE(AA179)&gt;1,TYPE(MATCH(AA179,U$11:U$203,0))&gt;1),0,MATCH(U179,U$11:U$203,0))+IF(OR(TYPE(AA179)&gt;1,TYPE(MATCH(AA179,AA$191:AA192,0))&gt;1),0,MATCH(AA179,AA$191:AA192,0))</f>
        <v>0</v>
      </c>
      <c r="AR179" s="17">
        <f t="shared" si="14"/>
        <v>0</v>
      </c>
    </row>
    <row r="180" spans="1:44" ht="12.75" customHeight="1">
      <c r="A180" s="69">
        <f t="shared" si="0"/>
        <v>0</v>
      </c>
      <c r="B180" s="69">
        <f t="shared" si="1"/>
        <v>0</v>
      </c>
      <c r="C180" s="147">
        <f t="shared" si="2"/>
        <v>0</v>
      </c>
      <c r="D180" s="69">
        <f t="shared" si="3"/>
        <v>99999</v>
      </c>
      <c r="E180" s="69">
        <f t="shared" si="4"/>
        <v>9999</v>
      </c>
      <c r="F180" s="98" t="str">
        <f t="shared" ca="1" si="5"/>
        <v>00000000000000000000948103</v>
      </c>
      <c r="G180" s="139" t="b">
        <f t="shared" si="6"/>
        <v>1</v>
      </c>
      <c r="H180" s="140">
        <f t="shared" si="7"/>
        <v>170</v>
      </c>
      <c r="I180" s="130" t="s">
        <v>1750</v>
      </c>
      <c r="J180" s="141" t="s">
        <v>1690</v>
      </c>
      <c r="K180" s="17" t="s">
        <v>1690</v>
      </c>
      <c r="L180" s="17" t="s">
        <v>1690</v>
      </c>
      <c r="M180" s="17">
        <v>9999</v>
      </c>
      <c r="N180" s="142">
        <v>0</v>
      </c>
      <c r="O180" s="130" t="s">
        <v>1750</v>
      </c>
      <c r="P180" s="141" t="s">
        <v>1690</v>
      </c>
      <c r="Q180" s="17" t="s">
        <v>1690</v>
      </c>
      <c r="R180" s="17" t="s">
        <v>1690</v>
      </c>
      <c r="S180" s="17">
        <v>9999</v>
      </c>
      <c r="T180" s="142">
        <v>0</v>
      </c>
      <c r="U180" s="130" t="s">
        <v>1750</v>
      </c>
      <c r="V180" s="141" t="s">
        <v>1690</v>
      </c>
      <c r="W180" s="17" t="s">
        <v>1690</v>
      </c>
      <c r="X180" s="17" t="s">
        <v>1690</v>
      </c>
      <c r="Y180" s="17">
        <v>9999</v>
      </c>
      <c r="Z180" s="142">
        <v>0</v>
      </c>
      <c r="AA180" s="130" t="s">
        <v>1750</v>
      </c>
      <c r="AB180" s="141" t="s">
        <v>1690</v>
      </c>
      <c r="AC180" s="17" t="s">
        <v>1690</v>
      </c>
      <c r="AD180" s="17" t="s">
        <v>1690</v>
      </c>
      <c r="AE180" s="17">
        <v>9999</v>
      </c>
      <c r="AF180" s="142">
        <v>0</v>
      </c>
      <c r="AG180" s="130"/>
      <c r="AH180" s="143">
        <f>IF(TYPE(VLOOKUP(H180,Nasazení!$A$3:$E$130,5,0))&lt;4,VLOOKUP(H180,Nasazení!$A$3:$E$130,5,0),0)</f>
        <v>0</v>
      </c>
      <c r="AI180" s="144" t="str">
        <f>IF(N($AH180)&gt;0,VLOOKUP($AH180,Body!$A$4:$F$259,5,0),"")</f>
        <v/>
      </c>
      <c r="AJ180" s="145" t="str">
        <f>IF(N($AH180)&gt;0,VLOOKUP($AH180,Body!$A$4:$F$259,6,0),"")</f>
        <v/>
      </c>
      <c r="AK180" s="144" t="str">
        <f>IF(N($AH180)&gt;0,VLOOKUP($AH180,Body!$A$4:$F$259,2,0),"")</f>
        <v/>
      </c>
      <c r="AL180" s="146" t="str">
        <f t="shared" si="8"/>
        <v/>
      </c>
      <c r="AM180" s="142">
        <f t="shared" si="9"/>
        <v>0</v>
      </c>
      <c r="AN180" s="17">
        <f t="shared" ref="AN180:AN202" si="15">IF(OR(TYPE(I180)&gt;1,TYPE(MATCH(I180,I181:I$203,0))&gt;1),0,MATCH(I180,I181:I$203,0))+IF(OR(TYPE(I180)&gt;1,TYPE(MATCH(I180,O$11:O$203,0))&gt;1),0,MATCH(I180,O$11:O$203,0))+IF(OR(TYPE(I180)&gt;1,TYPE(MATCH(I180,U$11:U$203,0))&gt;1),0,MATCH(I180,U$11:U$203,0))+IF(OR(TYPE(I180)&gt;1,TYPE(MATCH(I180,AA$11:AA$203,0))&gt;1),0,MATCH(I180,AA$11:AA$203,0))</f>
        <v>0</v>
      </c>
      <c r="AO180" s="17">
        <f t="shared" ref="AO180:AO202" si="16">IF(OR(TYPE(O180)&gt;1,TYPE(MATCH(O180,I$11:I$203,0))&gt;1),0,MATCH(O180,I$11:I$203,0))+IF(OR(TYPE(O180)&gt;1,TYPE(MATCH(O180,O181:O$203,0))&gt;1),0,MATCH(O180,O181:O$203,0))+IF(OR(TYPE(O180)&gt;1,TYPE(MATCH(O180,U$11:U$203,0))&gt;1),0,MATCH(O180,U$11:U$203,0))+IF(OR(TYPE(O180)&gt;1,TYPE(MATCH(O180,AA$11:AA$203,0))&gt;1),0,MATCH(O180,AA$11:AA$203,0))</f>
        <v>0</v>
      </c>
      <c r="AP180" s="17">
        <f t="shared" ref="AP180:AP202" si="17">IF(OR(TYPE(U180)&gt;1,TYPE(MATCH(U180,I$11:I$203,0))&gt;1),0,MATCH(U180,I$11:I$203,0))+IF(OR(TYPE(U180)&gt;1,TYPE(MATCH(U180,O$11:O$203,0))&gt;1),0,MATCH(U180,O$11:O$203,0))+IF(OR(TYPE(U180)&gt;1,TYPE(MATCH(U180,U181:U$203,0))&gt;1),0,MATCH(U180,U181:U$203,0))+IF(OR(TYPE(U180)&gt;1,TYPE(MATCH(U180,AA$11:AA$203,0))&gt;1),0,MATCH(U180,AA$11:AA$203,0))</f>
        <v>0</v>
      </c>
      <c r="AQ180" s="17">
        <f t="shared" ref="AQ180:AQ202" si="18">IF(OR(TYPE(AA180)&gt;1,TYPE(MATCH(AA180,I$11:I$203,0))&gt;1),0,MATCH(AA180,I$11:I$203,0))+IF(OR(TYPE(AA180)&gt;1,TYPE(MATCH(AA180,O$11:O$203,0))&gt;1),0,MATCH(AA180,O$11:O$203,0))+IF(OR(TYPE(AA180)&gt;1,TYPE(MATCH(AA180,U$11:U$203,0))&gt;1),0,MATCH(U180,U$11:U$203,0))+IF(OR(TYPE(AA180)&gt;1,TYPE(MATCH(AA180,AA181:AA$203,0))&gt;1),0,MATCH(AA180,AA181:AA$203,0))</f>
        <v>0</v>
      </c>
      <c r="AR180" s="17">
        <f t="shared" si="14"/>
        <v>0</v>
      </c>
    </row>
    <row r="181" spans="1:44" ht="12.75" customHeight="1">
      <c r="A181" s="69">
        <f t="shared" si="0"/>
        <v>0</v>
      </c>
      <c r="B181" s="69">
        <f t="shared" si="1"/>
        <v>0</v>
      </c>
      <c r="C181" s="147">
        <f t="shared" si="2"/>
        <v>0</v>
      </c>
      <c r="D181" s="69">
        <f t="shared" si="3"/>
        <v>99999</v>
      </c>
      <c r="E181" s="69">
        <f t="shared" si="4"/>
        <v>9999</v>
      </c>
      <c r="F181" s="98" t="str">
        <f t="shared" ca="1" si="5"/>
        <v>00000000000000000000928488</v>
      </c>
      <c r="G181" s="139" t="b">
        <f t="shared" si="6"/>
        <v>1</v>
      </c>
      <c r="H181" s="140">
        <f t="shared" si="7"/>
        <v>171</v>
      </c>
      <c r="I181" s="130" t="s">
        <v>1750</v>
      </c>
      <c r="J181" s="141" t="s">
        <v>1690</v>
      </c>
      <c r="K181" s="17" t="s">
        <v>1690</v>
      </c>
      <c r="L181" s="17" t="s">
        <v>1690</v>
      </c>
      <c r="M181" s="17">
        <v>9999</v>
      </c>
      <c r="N181" s="142">
        <v>0</v>
      </c>
      <c r="O181" s="130" t="s">
        <v>1750</v>
      </c>
      <c r="P181" s="141" t="s">
        <v>1690</v>
      </c>
      <c r="Q181" s="17" t="s">
        <v>1690</v>
      </c>
      <c r="R181" s="17" t="s">
        <v>1690</v>
      </c>
      <c r="S181" s="17">
        <v>9999</v>
      </c>
      <c r="T181" s="142">
        <v>0</v>
      </c>
      <c r="U181" s="130" t="s">
        <v>1750</v>
      </c>
      <c r="V181" s="141" t="s">
        <v>1690</v>
      </c>
      <c r="W181" s="17" t="s">
        <v>1690</v>
      </c>
      <c r="X181" s="17" t="s">
        <v>1690</v>
      </c>
      <c r="Y181" s="17">
        <v>9999</v>
      </c>
      <c r="Z181" s="142">
        <v>0</v>
      </c>
      <c r="AA181" s="130" t="s">
        <v>1750</v>
      </c>
      <c r="AB181" s="141" t="s">
        <v>1690</v>
      </c>
      <c r="AC181" s="17" t="s">
        <v>1690</v>
      </c>
      <c r="AD181" s="17" t="s">
        <v>1690</v>
      </c>
      <c r="AE181" s="17">
        <v>9999</v>
      </c>
      <c r="AF181" s="142">
        <v>0</v>
      </c>
      <c r="AG181" s="130"/>
      <c r="AH181" s="143">
        <f>IF(TYPE(VLOOKUP(H181,Nasazení!$A$3:$E$130,5,0))&lt;4,VLOOKUP(H181,Nasazení!$A$3:$E$130,5,0),0)</f>
        <v>0</v>
      </c>
      <c r="AI181" s="144" t="str">
        <f>IF(N($AH181)&gt;0,VLOOKUP($AH181,Body!$A$4:$F$259,5,0),"")</f>
        <v/>
      </c>
      <c r="AJ181" s="145" t="str">
        <f>IF(N($AH181)&gt;0,VLOOKUP($AH181,Body!$A$4:$F$259,6,0),"")</f>
        <v/>
      </c>
      <c r="AK181" s="144" t="str">
        <f>IF(N($AH181)&gt;0,VLOOKUP($AH181,Body!$A$4:$F$259,2,0),"")</f>
        <v/>
      </c>
      <c r="AL181" s="146" t="str">
        <f t="shared" si="8"/>
        <v/>
      </c>
      <c r="AM181" s="142">
        <f t="shared" si="9"/>
        <v>0</v>
      </c>
      <c r="AN181" s="17">
        <f t="shared" si="15"/>
        <v>0</v>
      </c>
      <c r="AO181" s="17">
        <f t="shared" si="16"/>
        <v>0</v>
      </c>
      <c r="AP181" s="17">
        <f t="shared" si="17"/>
        <v>0</v>
      </c>
      <c r="AQ181" s="17">
        <f t="shared" si="18"/>
        <v>0</v>
      </c>
      <c r="AR181" s="17">
        <f t="shared" si="14"/>
        <v>0</v>
      </c>
    </row>
    <row r="182" spans="1:44" ht="12.75" customHeight="1">
      <c r="A182" s="69">
        <f t="shared" si="0"/>
        <v>0</v>
      </c>
      <c r="B182" s="69">
        <f t="shared" si="1"/>
        <v>0</v>
      </c>
      <c r="C182" s="147">
        <f t="shared" si="2"/>
        <v>0</v>
      </c>
      <c r="D182" s="69">
        <f t="shared" si="3"/>
        <v>99999</v>
      </c>
      <c r="E182" s="69">
        <f t="shared" si="4"/>
        <v>9999</v>
      </c>
      <c r="F182" s="98" t="str">
        <f t="shared" ca="1" si="5"/>
        <v>00000000000000000000850284</v>
      </c>
      <c r="G182" s="139" t="b">
        <f t="shared" si="6"/>
        <v>1</v>
      </c>
      <c r="H182" s="140">
        <f t="shared" si="7"/>
        <v>172</v>
      </c>
      <c r="I182" s="130" t="s">
        <v>1750</v>
      </c>
      <c r="J182" s="141" t="s">
        <v>1690</v>
      </c>
      <c r="K182" s="17" t="s">
        <v>1690</v>
      </c>
      <c r="L182" s="17" t="s">
        <v>1690</v>
      </c>
      <c r="M182" s="17">
        <v>9999</v>
      </c>
      <c r="N182" s="142">
        <v>0</v>
      </c>
      <c r="O182" s="130" t="s">
        <v>1750</v>
      </c>
      <c r="P182" s="141" t="s">
        <v>1690</v>
      </c>
      <c r="Q182" s="17" t="s">
        <v>1690</v>
      </c>
      <c r="R182" s="17" t="s">
        <v>1690</v>
      </c>
      <c r="S182" s="17">
        <v>9999</v>
      </c>
      <c r="T182" s="142">
        <v>0</v>
      </c>
      <c r="U182" s="130" t="s">
        <v>1750</v>
      </c>
      <c r="V182" s="141" t="s">
        <v>1690</v>
      </c>
      <c r="W182" s="17" t="s">
        <v>1690</v>
      </c>
      <c r="X182" s="17" t="s">
        <v>1690</v>
      </c>
      <c r="Y182" s="17">
        <v>9999</v>
      </c>
      <c r="Z182" s="142">
        <v>0</v>
      </c>
      <c r="AA182" s="130" t="s">
        <v>1750</v>
      </c>
      <c r="AB182" s="141" t="s">
        <v>1690</v>
      </c>
      <c r="AC182" s="17" t="s">
        <v>1690</v>
      </c>
      <c r="AD182" s="17" t="s">
        <v>1690</v>
      </c>
      <c r="AE182" s="17">
        <v>9999</v>
      </c>
      <c r="AF182" s="142">
        <v>0</v>
      </c>
      <c r="AG182" s="130"/>
      <c r="AH182" s="143">
        <f>IF(TYPE(VLOOKUP(H182,Nasazení!$A$3:$E$130,5,0))&lt;4,VLOOKUP(H182,Nasazení!$A$3:$E$130,5,0),0)</f>
        <v>0</v>
      </c>
      <c r="AI182" s="144" t="str">
        <f>IF(N($AH182)&gt;0,VLOOKUP($AH182,Body!$A$4:$F$259,5,0),"")</f>
        <v/>
      </c>
      <c r="AJ182" s="145" t="str">
        <f>IF(N($AH182)&gt;0,VLOOKUP($AH182,Body!$A$4:$F$259,6,0),"")</f>
        <v/>
      </c>
      <c r="AK182" s="144" t="str">
        <f>IF(N($AH182)&gt;0,VLOOKUP($AH182,Body!$A$4:$F$259,2,0),"")</f>
        <v/>
      </c>
      <c r="AL182" s="146" t="str">
        <f t="shared" si="8"/>
        <v/>
      </c>
      <c r="AM182" s="142">
        <f t="shared" si="9"/>
        <v>0</v>
      </c>
      <c r="AN182" s="17">
        <f t="shared" si="15"/>
        <v>0</v>
      </c>
      <c r="AO182" s="17">
        <f t="shared" si="16"/>
        <v>0</v>
      </c>
      <c r="AP182" s="17">
        <f t="shared" si="17"/>
        <v>0</v>
      </c>
      <c r="AQ182" s="17">
        <f t="shared" si="18"/>
        <v>0</v>
      </c>
      <c r="AR182" s="17">
        <f t="shared" si="14"/>
        <v>0</v>
      </c>
    </row>
    <row r="183" spans="1:44" ht="12.75" customHeight="1">
      <c r="A183" s="69">
        <f t="shared" si="0"/>
        <v>0</v>
      </c>
      <c r="B183" s="69">
        <f t="shared" si="1"/>
        <v>0</v>
      </c>
      <c r="C183" s="147">
        <f t="shared" si="2"/>
        <v>0</v>
      </c>
      <c r="D183" s="69">
        <f t="shared" si="3"/>
        <v>99999</v>
      </c>
      <c r="E183" s="69">
        <f t="shared" si="4"/>
        <v>9999</v>
      </c>
      <c r="F183" s="98" t="str">
        <f t="shared" ca="1" si="5"/>
        <v>00000000000000000000121033</v>
      </c>
      <c r="G183" s="139" t="b">
        <f t="shared" si="6"/>
        <v>1</v>
      </c>
      <c r="H183" s="140">
        <f t="shared" si="7"/>
        <v>173</v>
      </c>
      <c r="I183" s="130" t="s">
        <v>1750</v>
      </c>
      <c r="J183" s="141" t="s">
        <v>1690</v>
      </c>
      <c r="K183" s="17" t="s">
        <v>1690</v>
      </c>
      <c r="L183" s="17" t="s">
        <v>1690</v>
      </c>
      <c r="M183" s="17">
        <v>9999</v>
      </c>
      <c r="N183" s="142">
        <v>0</v>
      </c>
      <c r="O183" s="130" t="s">
        <v>1750</v>
      </c>
      <c r="P183" s="141" t="s">
        <v>1690</v>
      </c>
      <c r="Q183" s="17" t="s">
        <v>1690</v>
      </c>
      <c r="R183" s="17" t="s">
        <v>1690</v>
      </c>
      <c r="S183" s="17">
        <v>9999</v>
      </c>
      <c r="T183" s="142">
        <v>0</v>
      </c>
      <c r="U183" s="130" t="s">
        <v>1750</v>
      </c>
      <c r="V183" s="141" t="s">
        <v>1690</v>
      </c>
      <c r="W183" s="17" t="s">
        <v>1690</v>
      </c>
      <c r="X183" s="17" t="s">
        <v>1690</v>
      </c>
      <c r="Y183" s="17">
        <v>9999</v>
      </c>
      <c r="Z183" s="142">
        <v>0</v>
      </c>
      <c r="AA183" s="130" t="s">
        <v>1750</v>
      </c>
      <c r="AB183" s="141" t="s">
        <v>1690</v>
      </c>
      <c r="AC183" s="17" t="s">
        <v>1690</v>
      </c>
      <c r="AD183" s="17" t="s">
        <v>1690</v>
      </c>
      <c r="AE183" s="17">
        <v>9999</v>
      </c>
      <c r="AF183" s="142">
        <v>0</v>
      </c>
      <c r="AG183" s="130"/>
      <c r="AH183" s="143">
        <f>IF(TYPE(VLOOKUP(H183,Nasazení!$A$3:$E$130,5,0))&lt;4,VLOOKUP(H183,Nasazení!$A$3:$E$130,5,0),0)</f>
        <v>0</v>
      </c>
      <c r="AI183" s="144" t="str">
        <f>IF(N($AH183)&gt;0,VLOOKUP($AH183,Body!$A$4:$F$259,5,0),"")</f>
        <v/>
      </c>
      <c r="AJ183" s="145" t="str">
        <f>IF(N($AH183)&gt;0,VLOOKUP($AH183,Body!$A$4:$F$259,6,0),"")</f>
        <v/>
      </c>
      <c r="AK183" s="144" t="str">
        <f>IF(N($AH183)&gt;0,VLOOKUP($AH183,Body!$A$4:$F$259,2,0),"")</f>
        <v/>
      </c>
      <c r="AL183" s="146" t="str">
        <f t="shared" si="8"/>
        <v/>
      </c>
      <c r="AM183" s="142">
        <f t="shared" si="9"/>
        <v>0</v>
      </c>
      <c r="AN183" s="17">
        <f t="shared" si="15"/>
        <v>0</v>
      </c>
      <c r="AO183" s="17">
        <f t="shared" si="16"/>
        <v>0</v>
      </c>
      <c r="AP183" s="17">
        <f t="shared" si="17"/>
        <v>0</v>
      </c>
      <c r="AQ183" s="17">
        <f t="shared" si="18"/>
        <v>0</v>
      </c>
      <c r="AR183" s="17">
        <f t="shared" si="14"/>
        <v>0</v>
      </c>
    </row>
    <row r="184" spans="1:44" ht="12.75" customHeight="1">
      <c r="A184" s="69">
        <f t="shared" si="0"/>
        <v>0</v>
      </c>
      <c r="B184" s="69">
        <f t="shared" si="1"/>
        <v>0</v>
      </c>
      <c r="C184" s="147">
        <f t="shared" si="2"/>
        <v>0</v>
      </c>
      <c r="D184" s="69">
        <f t="shared" si="3"/>
        <v>99999</v>
      </c>
      <c r="E184" s="69">
        <f t="shared" si="4"/>
        <v>9999</v>
      </c>
      <c r="F184" s="98" t="str">
        <f t="shared" ca="1" si="5"/>
        <v>00000000000000000000467034</v>
      </c>
      <c r="G184" s="139" t="b">
        <f t="shared" si="6"/>
        <v>1</v>
      </c>
      <c r="H184" s="140">
        <f t="shared" si="7"/>
        <v>174</v>
      </c>
      <c r="I184" s="130" t="s">
        <v>1750</v>
      </c>
      <c r="J184" s="141" t="s">
        <v>1690</v>
      </c>
      <c r="K184" s="17" t="s">
        <v>1690</v>
      </c>
      <c r="L184" s="17" t="s">
        <v>1690</v>
      </c>
      <c r="M184" s="17">
        <v>9999</v>
      </c>
      <c r="N184" s="142">
        <v>0</v>
      </c>
      <c r="O184" s="130" t="s">
        <v>1750</v>
      </c>
      <c r="P184" s="141" t="s">
        <v>1690</v>
      </c>
      <c r="Q184" s="17" t="s">
        <v>1690</v>
      </c>
      <c r="R184" s="17" t="s">
        <v>1690</v>
      </c>
      <c r="S184" s="17">
        <v>9999</v>
      </c>
      <c r="T184" s="142">
        <v>0</v>
      </c>
      <c r="U184" s="130" t="s">
        <v>1750</v>
      </c>
      <c r="V184" s="141" t="s">
        <v>1690</v>
      </c>
      <c r="W184" s="17" t="s">
        <v>1690</v>
      </c>
      <c r="X184" s="17" t="s">
        <v>1690</v>
      </c>
      <c r="Y184" s="17">
        <v>9999</v>
      </c>
      <c r="Z184" s="142">
        <v>0</v>
      </c>
      <c r="AA184" s="130" t="s">
        <v>1750</v>
      </c>
      <c r="AB184" s="141" t="s">
        <v>1690</v>
      </c>
      <c r="AC184" s="17" t="s">
        <v>1690</v>
      </c>
      <c r="AD184" s="17" t="s">
        <v>1690</v>
      </c>
      <c r="AE184" s="17">
        <v>9999</v>
      </c>
      <c r="AF184" s="142">
        <v>0</v>
      </c>
      <c r="AG184" s="130"/>
      <c r="AH184" s="143">
        <f>IF(TYPE(VLOOKUP(H184,Nasazení!$A$3:$E$130,5,0))&lt;4,VLOOKUP(H184,Nasazení!$A$3:$E$130,5,0),0)</f>
        <v>0</v>
      </c>
      <c r="AI184" s="144" t="str">
        <f>IF(N($AH184)&gt;0,VLOOKUP($AH184,Body!$A$4:$F$259,5,0),"")</f>
        <v/>
      </c>
      <c r="AJ184" s="145" t="str">
        <f>IF(N($AH184)&gt;0,VLOOKUP($AH184,Body!$A$4:$F$259,6,0),"")</f>
        <v/>
      </c>
      <c r="AK184" s="144" t="str">
        <f>IF(N($AH184)&gt;0,VLOOKUP($AH184,Body!$A$4:$F$259,2,0),"")</f>
        <v/>
      </c>
      <c r="AL184" s="146" t="str">
        <f t="shared" si="8"/>
        <v/>
      </c>
      <c r="AM184" s="142">
        <f t="shared" si="9"/>
        <v>0</v>
      </c>
      <c r="AN184" s="17">
        <f t="shared" si="15"/>
        <v>0</v>
      </c>
      <c r="AO184" s="17">
        <f t="shared" si="16"/>
        <v>0</v>
      </c>
      <c r="AP184" s="17">
        <f t="shared" si="17"/>
        <v>0</v>
      </c>
      <c r="AQ184" s="17">
        <f t="shared" si="18"/>
        <v>0</v>
      </c>
      <c r="AR184" s="17">
        <f t="shared" si="14"/>
        <v>0</v>
      </c>
    </row>
    <row r="185" spans="1:44" ht="12.75" customHeight="1">
      <c r="A185" s="69">
        <f t="shared" si="0"/>
        <v>0</v>
      </c>
      <c r="B185" s="69">
        <f t="shared" si="1"/>
        <v>0</v>
      </c>
      <c r="C185" s="147">
        <f t="shared" si="2"/>
        <v>0</v>
      </c>
      <c r="D185" s="69">
        <f t="shared" si="3"/>
        <v>99999</v>
      </c>
      <c r="E185" s="69">
        <f t="shared" si="4"/>
        <v>9999</v>
      </c>
      <c r="F185" s="98" t="str">
        <f t="shared" ca="1" si="5"/>
        <v>00000000000000000000154669</v>
      </c>
      <c r="G185" s="139" t="b">
        <f t="shared" si="6"/>
        <v>1</v>
      </c>
      <c r="H185" s="140">
        <f t="shared" si="7"/>
        <v>175</v>
      </c>
      <c r="I185" s="130" t="s">
        <v>1750</v>
      </c>
      <c r="J185" s="141" t="s">
        <v>1690</v>
      </c>
      <c r="K185" s="17" t="s">
        <v>1690</v>
      </c>
      <c r="L185" s="17" t="s">
        <v>1690</v>
      </c>
      <c r="M185" s="17">
        <v>9999</v>
      </c>
      <c r="N185" s="142">
        <v>0</v>
      </c>
      <c r="O185" s="130" t="s">
        <v>1750</v>
      </c>
      <c r="P185" s="141" t="s">
        <v>1690</v>
      </c>
      <c r="Q185" s="17" t="s">
        <v>1690</v>
      </c>
      <c r="R185" s="17" t="s">
        <v>1690</v>
      </c>
      <c r="S185" s="17">
        <v>9999</v>
      </c>
      <c r="T185" s="142">
        <v>0</v>
      </c>
      <c r="U185" s="130" t="s">
        <v>1750</v>
      </c>
      <c r="V185" s="141" t="s">
        <v>1690</v>
      </c>
      <c r="W185" s="17" t="s">
        <v>1690</v>
      </c>
      <c r="X185" s="17" t="s">
        <v>1690</v>
      </c>
      <c r="Y185" s="17">
        <v>9999</v>
      </c>
      <c r="Z185" s="142">
        <v>0</v>
      </c>
      <c r="AA185" s="130" t="s">
        <v>1750</v>
      </c>
      <c r="AB185" s="141" t="s">
        <v>1690</v>
      </c>
      <c r="AC185" s="17" t="s">
        <v>1690</v>
      </c>
      <c r="AD185" s="17" t="s">
        <v>1690</v>
      </c>
      <c r="AE185" s="17">
        <v>9999</v>
      </c>
      <c r="AF185" s="142">
        <v>0</v>
      </c>
      <c r="AG185" s="130"/>
      <c r="AH185" s="143">
        <f>IF(TYPE(VLOOKUP(H185,Nasazení!$A$3:$E$130,5,0))&lt;4,VLOOKUP(H185,Nasazení!$A$3:$E$130,5,0),0)</f>
        <v>0</v>
      </c>
      <c r="AI185" s="144" t="str">
        <f>IF(N($AH185)&gt;0,VLOOKUP($AH185,Body!$A$4:$F$259,5,0),"")</f>
        <v/>
      </c>
      <c r="AJ185" s="145" t="str">
        <f>IF(N($AH185)&gt;0,VLOOKUP($AH185,Body!$A$4:$F$259,6,0),"")</f>
        <v/>
      </c>
      <c r="AK185" s="144" t="str">
        <f>IF(N($AH185)&gt;0,VLOOKUP($AH185,Body!$A$4:$F$259,2,0),"")</f>
        <v/>
      </c>
      <c r="AL185" s="146" t="str">
        <f t="shared" si="8"/>
        <v/>
      </c>
      <c r="AM185" s="142">
        <f t="shared" si="9"/>
        <v>0</v>
      </c>
      <c r="AN185" s="17">
        <f t="shared" si="15"/>
        <v>0</v>
      </c>
      <c r="AO185" s="17">
        <f t="shared" si="16"/>
        <v>0</v>
      </c>
      <c r="AP185" s="17">
        <f t="shared" si="17"/>
        <v>0</v>
      </c>
      <c r="AQ185" s="17">
        <f t="shared" si="18"/>
        <v>0</v>
      </c>
      <c r="AR185" s="17">
        <f t="shared" si="14"/>
        <v>0</v>
      </c>
    </row>
    <row r="186" spans="1:44" ht="12.75" customHeight="1">
      <c r="A186" s="69">
        <f t="shared" si="0"/>
        <v>0</v>
      </c>
      <c r="B186" s="69">
        <f t="shared" si="1"/>
        <v>0</v>
      </c>
      <c r="C186" s="147">
        <f t="shared" si="2"/>
        <v>0</v>
      </c>
      <c r="D186" s="69">
        <f t="shared" si="3"/>
        <v>99999</v>
      </c>
      <c r="E186" s="69">
        <f t="shared" si="4"/>
        <v>9999</v>
      </c>
      <c r="F186" s="98" t="str">
        <f t="shared" ca="1" si="5"/>
        <v>00000000000000000000598896</v>
      </c>
      <c r="G186" s="139" t="b">
        <f t="shared" si="6"/>
        <v>1</v>
      </c>
      <c r="H186" s="140">
        <f t="shared" si="7"/>
        <v>176</v>
      </c>
      <c r="I186" s="130" t="s">
        <v>1750</v>
      </c>
      <c r="J186" s="141" t="s">
        <v>1690</v>
      </c>
      <c r="K186" s="17" t="s">
        <v>1690</v>
      </c>
      <c r="L186" s="17" t="s">
        <v>1690</v>
      </c>
      <c r="M186" s="17">
        <v>9999</v>
      </c>
      <c r="N186" s="142">
        <v>0</v>
      </c>
      <c r="O186" s="130" t="s">
        <v>1750</v>
      </c>
      <c r="P186" s="141" t="s">
        <v>1690</v>
      </c>
      <c r="Q186" s="17" t="s">
        <v>1690</v>
      </c>
      <c r="R186" s="17" t="s">
        <v>1690</v>
      </c>
      <c r="S186" s="17">
        <v>9999</v>
      </c>
      <c r="T186" s="142">
        <v>0</v>
      </c>
      <c r="U186" s="130" t="s">
        <v>1750</v>
      </c>
      <c r="V186" s="141" t="s">
        <v>1690</v>
      </c>
      <c r="W186" s="17" t="s">
        <v>1690</v>
      </c>
      <c r="X186" s="17" t="s">
        <v>1690</v>
      </c>
      <c r="Y186" s="17">
        <v>9999</v>
      </c>
      <c r="Z186" s="142">
        <v>0</v>
      </c>
      <c r="AA186" s="130" t="s">
        <v>1750</v>
      </c>
      <c r="AB186" s="141" t="s">
        <v>1690</v>
      </c>
      <c r="AC186" s="17" t="s">
        <v>1690</v>
      </c>
      <c r="AD186" s="17" t="s">
        <v>1690</v>
      </c>
      <c r="AE186" s="17">
        <v>9999</v>
      </c>
      <c r="AF186" s="142">
        <v>0</v>
      </c>
      <c r="AG186" s="130"/>
      <c r="AH186" s="143">
        <f>IF(TYPE(VLOOKUP(H186,Nasazení!$A$3:$E$130,5,0))&lt;4,VLOOKUP(H186,Nasazení!$A$3:$E$130,5,0),0)</f>
        <v>0</v>
      </c>
      <c r="AI186" s="144" t="str">
        <f>IF(N($AH186)&gt;0,VLOOKUP($AH186,Body!$A$4:$F$259,5,0),"")</f>
        <v/>
      </c>
      <c r="AJ186" s="145" t="str">
        <f>IF(N($AH186)&gt;0,VLOOKUP($AH186,Body!$A$4:$F$259,6,0),"")</f>
        <v/>
      </c>
      <c r="AK186" s="144" t="str">
        <f>IF(N($AH186)&gt;0,VLOOKUP($AH186,Body!$A$4:$F$259,2,0),"")</f>
        <v/>
      </c>
      <c r="AL186" s="146" t="str">
        <f t="shared" si="8"/>
        <v/>
      </c>
      <c r="AM186" s="142">
        <f t="shared" si="9"/>
        <v>0</v>
      </c>
      <c r="AN186" s="17">
        <f t="shared" si="15"/>
        <v>0</v>
      </c>
      <c r="AO186" s="17">
        <f t="shared" si="16"/>
        <v>0</v>
      </c>
      <c r="AP186" s="17">
        <f t="shared" si="17"/>
        <v>0</v>
      </c>
      <c r="AQ186" s="17">
        <f t="shared" si="18"/>
        <v>0</v>
      </c>
      <c r="AR186" s="17">
        <f t="shared" si="14"/>
        <v>0</v>
      </c>
    </row>
    <row r="187" spans="1:44" ht="12.75" customHeight="1">
      <c r="A187" s="69">
        <f t="shared" si="0"/>
        <v>0</v>
      </c>
      <c r="B187" s="69">
        <f t="shared" si="1"/>
        <v>0</v>
      </c>
      <c r="C187" s="147">
        <f t="shared" si="2"/>
        <v>0</v>
      </c>
      <c r="D187" s="69">
        <f t="shared" si="3"/>
        <v>99999</v>
      </c>
      <c r="E187" s="69">
        <f t="shared" si="4"/>
        <v>9999</v>
      </c>
      <c r="F187" s="98" t="str">
        <f t="shared" ca="1" si="5"/>
        <v>00000000000000000000295749</v>
      </c>
      <c r="G187" s="139" t="b">
        <f t="shared" si="6"/>
        <v>1</v>
      </c>
      <c r="H187" s="140">
        <f t="shared" si="7"/>
        <v>177</v>
      </c>
      <c r="I187" s="130" t="s">
        <v>1750</v>
      </c>
      <c r="J187" s="141" t="s">
        <v>1690</v>
      </c>
      <c r="K187" s="17" t="s">
        <v>1690</v>
      </c>
      <c r="L187" s="17" t="s">
        <v>1690</v>
      </c>
      <c r="M187" s="17">
        <v>9999</v>
      </c>
      <c r="N187" s="142">
        <v>0</v>
      </c>
      <c r="O187" s="130" t="s">
        <v>1750</v>
      </c>
      <c r="P187" s="141" t="s">
        <v>1690</v>
      </c>
      <c r="Q187" s="17" t="s">
        <v>1690</v>
      </c>
      <c r="R187" s="17" t="s">
        <v>1690</v>
      </c>
      <c r="S187" s="17">
        <v>9999</v>
      </c>
      <c r="T187" s="142">
        <v>0</v>
      </c>
      <c r="U187" s="130" t="s">
        <v>1750</v>
      </c>
      <c r="V187" s="141" t="s">
        <v>1690</v>
      </c>
      <c r="W187" s="17" t="s">
        <v>1690</v>
      </c>
      <c r="X187" s="17" t="s">
        <v>1690</v>
      </c>
      <c r="Y187" s="17">
        <v>9999</v>
      </c>
      <c r="Z187" s="142">
        <v>0</v>
      </c>
      <c r="AA187" s="130" t="s">
        <v>1750</v>
      </c>
      <c r="AB187" s="141" t="s">
        <v>1690</v>
      </c>
      <c r="AC187" s="17" t="s">
        <v>1690</v>
      </c>
      <c r="AD187" s="17" t="s">
        <v>1690</v>
      </c>
      <c r="AE187" s="17">
        <v>9999</v>
      </c>
      <c r="AF187" s="142">
        <v>0</v>
      </c>
      <c r="AG187" s="130"/>
      <c r="AH187" s="143">
        <f>IF(TYPE(VLOOKUP(H187,Nasazení!$A$3:$E$130,5,0))&lt;4,VLOOKUP(H187,Nasazení!$A$3:$E$130,5,0),0)</f>
        <v>0</v>
      </c>
      <c r="AI187" s="144" t="str">
        <f>IF(N($AH187)&gt;0,VLOOKUP($AH187,Body!$A$4:$F$259,5,0),"")</f>
        <v/>
      </c>
      <c r="AJ187" s="145" t="str">
        <f>IF(N($AH187)&gt;0,VLOOKUP($AH187,Body!$A$4:$F$259,6,0),"")</f>
        <v/>
      </c>
      <c r="AK187" s="144" t="str">
        <f>IF(N($AH187)&gt;0,VLOOKUP($AH187,Body!$A$4:$F$259,2,0),"")</f>
        <v/>
      </c>
      <c r="AL187" s="146" t="str">
        <f t="shared" si="8"/>
        <v/>
      </c>
      <c r="AM187" s="142">
        <f t="shared" si="9"/>
        <v>0</v>
      </c>
      <c r="AN187" s="17">
        <f t="shared" si="15"/>
        <v>0</v>
      </c>
      <c r="AO187" s="17">
        <f t="shared" si="16"/>
        <v>0</v>
      </c>
      <c r="AP187" s="17">
        <f t="shared" si="17"/>
        <v>0</v>
      </c>
      <c r="AQ187" s="17">
        <f t="shared" si="18"/>
        <v>0</v>
      </c>
      <c r="AR187" s="17">
        <f t="shared" si="14"/>
        <v>0</v>
      </c>
    </row>
    <row r="188" spans="1:44" ht="12.75" customHeight="1">
      <c r="A188" s="69">
        <f t="shared" si="0"/>
        <v>0</v>
      </c>
      <c r="B188" s="69">
        <f t="shared" si="1"/>
        <v>0</v>
      </c>
      <c r="C188" s="147">
        <f t="shared" si="2"/>
        <v>0</v>
      </c>
      <c r="D188" s="69">
        <f t="shared" si="3"/>
        <v>99999</v>
      </c>
      <c r="E188" s="69">
        <f t="shared" si="4"/>
        <v>9999</v>
      </c>
      <c r="F188" s="98" t="str">
        <f t="shared" ca="1" si="5"/>
        <v>00000000000000000000587645</v>
      </c>
      <c r="G188" s="139" t="b">
        <f t="shared" si="6"/>
        <v>1</v>
      </c>
      <c r="H188" s="140">
        <f t="shared" si="7"/>
        <v>178</v>
      </c>
      <c r="I188" s="130" t="s">
        <v>1750</v>
      </c>
      <c r="J188" s="141" t="s">
        <v>1690</v>
      </c>
      <c r="K188" s="17" t="s">
        <v>1690</v>
      </c>
      <c r="L188" s="17" t="s">
        <v>1690</v>
      </c>
      <c r="M188" s="17">
        <v>9999</v>
      </c>
      <c r="N188" s="142">
        <v>0</v>
      </c>
      <c r="O188" s="130" t="s">
        <v>1750</v>
      </c>
      <c r="P188" s="141" t="s">
        <v>1690</v>
      </c>
      <c r="Q188" s="17" t="s">
        <v>1690</v>
      </c>
      <c r="R188" s="17" t="s">
        <v>1690</v>
      </c>
      <c r="S188" s="17">
        <v>9999</v>
      </c>
      <c r="T188" s="142">
        <v>0</v>
      </c>
      <c r="U188" s="130" t="s">
        <v>1750</v>
      </c>
      <c r="V188" s="141" t="s">
        <v>1690</v>
      </c>
      <c r="W188" s="17" t="s">
        <v>1690</v>
      </c>
      <c r="X188" s="17" t="s">
        <v>1690</v>
      </c>
      <c r="Y188" s="17">
        <v>9999</v>
      </c>
      <c r="Z188" s="142">
        <v>0</v>
      </c>
      <c r="AA188" s="130" t="s">
        <v>1750</v>
      </c>
      <c r="AB188" s="141" t="s">
        <v>1690</v>
      </c>
      <c r="AC188" s="17" t="s">
        <v>1690</v>
      </c>
      <c r="AD188" s="17" t="s">
        <v>1690</v>
      </c>
      <c r="AE188" s="17">
        <v>9999</v>
      </c>
      <c r="AF188" s="142">
        <v>0</v>
      </c>
      <c r="AG188" s="130"/>
      <c r="AH188" s="143">
        <f>IF(TYPE(VLOOKUP(H188,Nasazení!$A$3:$E$130,5,0))&lt;4,VLOOKUP(H188,Nasazení!$A$3:$E$130,5,0),0)</f>
        <v>0</v>
      </c>
      <c r="AI188" s="144" t="str">
        <f>IF(N($AH188)&gt;0,VLOOKUP($AH188,Body!$A$4:$F$259,5,0),"")</f>
        <v/>
      </c>
      <c r="AJ188" s="145" t="str">
        <f>IF(N($AH188)&gt;0,VLOOKUP($AH188,Body!$A$4:$F$259,6,0),"")</f>
        <v/>
      </c>
      <c r="AK188" s="144" t="str">
        <f>IF(N($AH188)&gt;0,VLOOKUP($AH188,Body!$A$4:$F$259,2,0),"")</f>
        <v/>
      </c>
      <c r="AL188" s="146" t="str">
        <f t="shared" si="8"/>
        <v/>
      </c>
      <c r="AM188" s="142">
        <f t="shared" si="9"/>
        <v>0</v>
      </c>
      <c r="AN188" s="17">
        <f t="shared" si="15"/>
        <v>0</v>
      </c>
      <c r="AO188" s="17">
        <f t="shared" si="16"/>
        <v>0</v>
      </c>
      <c r="AP188" s="17">
        <f t="shared" si="17"/>
        <v>0</v>
      </c>
      <c r="AQ188" s="17">
        <f t="shared" si="18"/>
        <v>0</v>
      </c>
      <c r="AR188" s="17">
        <f t="shared" si="14"/>
        <v>0</v>
      </c>
    </row>
    <row r="189" spans="1:44" ht="12.75" customHeight="1">
      <c r="A189" s="69">
        <f t="shared" si="0"/>
        <v>0</v>
      </c>
      <c r="B189" s="69">
        <f t="shared" si="1"/>
        <v>0</v>
      </c>
      <c r="C189" s="147">
        <f t="shared" si="2"/>
        <v>0</v>
      </c>
      <c r="D189" s="69">
        <f t="shared" si="3"/>
        <v>99999</v>
      </c>
      <c r="E189" s="69">
        <f t="shared" si="4"/>
        <v>9999</v>
      </c>
      <c r="F189" s="98" t="str">
        <f t="shared" ca="1" si="5"/>
        <v>00000000000000000000501731</v>
      </c>
      <c r="G189" s="139" t="b">
        <f t="shared" si="6"/>
        <v>1</v>
      </c>
      <c r="H189" s="140">
        <f t="shared" si="7"/>
        <v>179</v>
      </c>
      <c r="I189" s="130" t="s">
        <v>1750</v>
      </c>
      <c r="J189" s="141" t="s">
        <v>1690</v>
      </c>
      <c r="K189" s="17" t="s">
        <v>1690</v>
      </c>
      <c r="L189" s="17" t="s">
        <v>1690</v>
      </c>
      <c r="M189" s="17">
        <v>9999</v>
      </c>
      <c r="N189" s="142">
        <v>0</v>
      </c>
      <c r="O189" s="130" t="s">
        <v>1750</v>
      </c>
      <c r="P189" s="141" t="s">
        <v>1690</v>
      </c>
      <c r="Q189" s="17" t="s">
        <v>1690</v>
      </c>
      <c r="R189" s="17" t="s">
        <v>1690</v>
      </c>
      <c r="S189" s="17">
        <v>9999</v>
      </c>
      <c r="T189" s="142">
        <v>0</v>
      </c>
      <c r="U189" s="130" t="s">
        <v>1750</v>
      </c>
      <c r="V189" s="141" t="s">
        <v>1690</v>
      </c>
      <c r="W189" s="17" t="s">
        <v>1690</v>
      </c>
      <c r="X189" s="17" t="s">
        <v>1690</v>
      </c>
      <c r="Y189" s="17">
        <v>9999</v>
      </c>
      <c r="Z189" s="142">
        <v>0</v>
      </c>
      <c r="AA189" s="130" t="s">
        <v>1750</v>
      </c>
      <c r="AB189" s="141" t="s">
        <v>1690</v>
      </c>
      <c r="AC189" s="17" t="s">
        <v>1690</v>
      </c>
      <c r="AD189" s="17" t="s">
        <v>1690</v>
      </c>
      <c r="AE189" s="17">
        <v>9999</v>
      </c>
      <c r="AF189" s="142">
        <v>0</v>
      </c>
      <c r="AG189" s="130"/>
      <c r="AH189" s="143">
        <f>IF(TYPE(VLOOKUP(H189,Nasazení!$A$3:$E$130,5,0))&lt;4,VLOOKUP(H189,Nasazení!$A$3:$E$130,5,0),0)</f>
        <v>0</v>
      </c>
      <c r="AI189" s="144" t="str">
        <f>IF(N($AH189)&gt;0,VLOOKUP($AH189,Body!$A$4:$F$259,5,0),"")</f>
        <v/>
      </c>
      <c r="AJ189" s="145" t="str">
        <f>IF(N($AH189)&gt;0,VLOOKUP($AH189,Body!$A$4:$F$259,6,0),"")</f>
        <v/>
      </c>
      <c r="AK189" s="144" t="str">
        <f>IF(N($AH189)&gt;0,VLOOKUP($AH189,Body!$A$4:$F$259,2,0),"")</f>
        <v/>
      </c>
      <c r="AL189" s="146" t="str">
        <f t="shared" si="8"/>
        <v/>
      </c>
      <c r="AM189" s="142">
        <f t="shared" si="9"/>
        <v>0</v>
      </c>
      <c r="AN189" s="17">
        <f t="shared" si="15"/>
        <v>0</v>
      </c>
      <c r="AO189" s="17">
        <f t="shared" si="16"/>
        <v>0</v>
      </c>
      <c r="AP189" s="17">
        <f t="shared" si="17"/>
        <v>0</v>
      </c>
      <c r="AQ189" s="17">
        <f t="shared" si="18"/>
        <v>0</v>
      </c>
      <c r="AR189" s="17">
        <f t="shared" si="14"/>
        <v>0</v>
      </c>
    </row>
    <row r="190" spans="1:44" ht="12.75" customHeight="1">
      <c r="A190" s="69">
        <f t="shared" si="0"/>
        <v>0</v>
      </c>
      <c r="B190" s="69">
        <f t="shared" si="1"/>
        <v>0</v>
      </c>
      <c r="C190" s="147">
        <f t="shared" si="2"/>
        <v>0</v>
      </c>
      <c r="D190" s="69">
        <f t="shared" si="3"/>
        <v>99999</v>
      </c>
      <c r="E190" s="69">
        <f t="shared" si="4"/>
        <v>9999</v>
      </c>
      <c r="F190" s="98" t="str">
        <f t="shared" ca="1" si="5"/>
        <v>00000000000000000000863584</v>
      </c>
      <c r="G190" s="139" t="b">
        <f t="shared" si="6"/>
        <v>1</v>
      </c>
      <c r="H190" s="140">
        <f t="shared" si="7"/>
        <v>180</v>
      </c>
      <c r="I190" s="130" t="s">
        <v>1750</v>
      </c>
      <c r="J190" s="141" t="s">
        <v>1690</v>
      </c>
      <c r="K190" s="17" t="s">
        <v>1690</v>
      </c>
      <c r="L190" s="17" t="s">
        <v>1690</v>
      </c>
      <c r="M190" s="17">
        <v>9999</v>
      </c>
      <c r="N190" s="142">
        <v>0</v>
      </c>
      <c r="O190" s="130" t="s">
        <v>1750</v>
      </c>
      <c r="P190" s="141" t="s">
        <v>1690</v>
      </c>
      <c r="Q190" s="17" t="s">
        <v>1690</v>
      </c>
      <c r="R190" s="17" t="s">
        <v>1690</v>
      </c>
      <c r="S190" s="17">
        <v>9999</v>
      </c>
      <c r="T190" s="142">
        <v>0</v>
      </c>
      <c r="U190" s="130" t="s">
        <v>1750</v>
      </c>
      <c r="V190" s="141" t="s">
        <v>1690</v>
      </c>
      <c r="W190" s="17" t="s">
        <v>1690</v>
      </c>
      <c r="X190" s="17" t="s">
        <v>1690</v>
      </c>
      <c r="Y190" s="17">
        <v>9999</v>
      </c>
      <c r="Z190" s="142">
        <v>0</v>
      </c>
      <c r="AA190" s="130" t="s">
        <v>1750</v>
      </c>
      <c r="AB190" s="141" t="s">
        <v>1690</v>
      </c>
      <c r="AC190" s="17" t="s">
        <v>1690</v>
      </c>
      <c r="AD190" s="17" t="s">
        <v>1690</v>
      </c>
      <c r="AE190" s="17">
        <v>9999</v>
      </c>
      <c r="AF190" s="142">
        <v>0</v>
      </c>
      <c r="AG190" s="130"/>
      <c r="AH190" s="143">
        <f>IF(TYPE(VLOOKUP(H190,Nasazení!$A$3:$E$130,5,0))&lt;4,VLOOKUP(H190,Nasazení!$A$3:$E$130,5,0),0)</f>
        <v>0</v>
      </c>
      <c r="AI190" s="144" t="str">
        <f>IF(N($AH190)&gt;0,VLOOKUP($AH190,Body!$A$4:$F$259,5,0),"")</f>
        <v/>
      </c>
      <c r="AJ190" s="145" t="str">
        <f>IF(N($AH190)&gt;0,VLOOKUP($AH190,Body!$A$4:$F$259,6,0),"")</f>
        <v/>
      </c>
      <c r="AK190" s="144" t="str">
        <f>IF(N($AH190)&gt;0,VLOOKUP($AH190,Body!$A$4:$F$259,2,0),"")</f>
        <v/>
      </c>
      <c r="AL190" s="146" t="str">
        <f t="shared" si="8"/>
        <v/>
      </c>
      <c r="AM190" s="142">
        <f t="shared" si="9"/>
        <v>0</v>
      </c>
      <c r="AN190" s="17">
        <f t="shared" si="15"/>
        <v>0</v>
      </c>
      <c r="AO190" s="17">
        <f t="shared" si="16"/>
        <v>0</v>
      </c>
      <c r="AP190" s="17">
        <f t="shared" si="17"/>
        <v>0</v>
      </c>
      <c r="AQ190" s="17">
        <f t="shared" si="18"/>
        <v>0</v>
      </c>
      <c r="AR190" s="17">
        <f t="shared" si="14"/>
        <v>0</v>
      </c>
    </row>
    <row r="191" spans="1:44" ht="12.75" customHeight="1">
      <c r="A191" s="69">
        <f t="shared" si="0"/>
        <v>0</v>
      </c>
      <c r="B191" s="69">
        <f t="shared" si="1"/>
        <v>0</v>
      </c>
      <c r="C191" s="147">
        <f t="shared" si="2"/>
        <v>0</v>
      </c>
      <c r="D191" s="69">
        <f t="shared" si="3"/>
        <v>99999</v>
      </c>
      <c r="E191" s="69">
        <f t="shared" si="4"/>
        <v>9999</v>
      </c>
      <c r="F191" s="98" t="str">
        <f t="shared" ca="1" si="5"/>
        <v>00000000000000000000901406</v>
      </c>
      <c r="G191" s="139" t="b">
        <f t="shared" si="6"/>
        <v>1</v>
      </c>
      <c r="H191" s="140">
        <f t="shared" si="7"/>
        <v>181</v>
      </c>
      <c r="I191" s="130" t="s">
        <v>1750</v>
      </c>
      <c r="J191" s="141" t="s">
        <v>1690</v>
      </c>
      <c r="K191" s="17" t="s">
        <v>1690</v>
      </c>
      <c r="L191" s="17" t="s">
        <v>1690</v>
      </c>
      <c r="M191" s="17">
        <v>9999</v>
      </c>
      <c r="N191" s="142">
        <v>0</v>
      </c>
      <c r="O191" s="130" t="s">
        <v>1750</v>
      </c>
      <c r="P191" s="141" t="s">
        <v>1690</v>
      </c>
      <c r="Q191" s="17" t="s">
        <v>1690</v>
      </c>
      <c r="R191" s="17" t="s">
        <v>1690</v>
      </c>
      <c r="S191" s="17">
        <v>9999</v>
      </c>
      <c r="T191" s="142">
        <v>0</v>
      </c>
      <c r="U191" s="130" t="s">
        <v>1750</v>
      </c>
      <c r="V191" s="141" t="s">
        <v>1690</v>
      </c>
      <c r="W191" s="17" t="s">
        <v>1690</v>
      </c>
      <c r="X191" s="17" t="s">
        <v>1690</v>
      </c>
      <c r="Y191" s="17">
        <v>9999</v>
      </c>
      <c r="Z191" s="142">
        <v>0</v>
      </c>
      <c r="AA191" s="130" t="s">
        <v>1750</v>
      </c>
      <c r="AB191" s="141" t="s">
        <v>1690</v>
      </c>
      <c r="AC191" s="17" t="s">
        <v>1690</v>
      </c>
      <c r="AD191" s="17" t="s">
        <v>1690</v>
      </c>
      <c r="AE191" s="17">
        <v>9999</v>
      </c>
      <c r="AF191" s="142">
        <v>0</v>
      </c>
      <c r="AG191" s="130"/>
      <c r="AH191" s="143">
        <f>IF(TYPE(VLOOKUP(H191,Nasazení!$A$3:$E$130,5,0))&lt;4,VLOOKUP(H191,Nasazení!$A$3:$E$130,5,0),0)</f>
        <v>0</v>
      </c>
      <c r="AI191" s="144" t="str">
        <f>IF(N($AH191)&gt;0,VLOOKUP($AH191,Body!$A$4:$F$259,5,0),"")</f>
        <v/>
      </c>
      <c r="AJ191" s="145" t="str">
        <f>IF(N($AH191)&gt;0,VLOOKUP($AH191,Body!$A$4:$F$259,6,0),"")</f>
        <v/>
      </c>
      <c r="AK191" s="144" t="str">
        <f>IF(N($AH191)&gt;0,VLOOKUP($AH191,Body!$A$4:$F$259,2,0),"")</f>
        <v/>
      </c>
      <c r="AL191" s="146" t="str">
        <f t="shared" si="8"/>
        <v/>
      </c>
      <c r="AM191" s="142">
        <f t="shared" si="9"/>
        <v>0</v>
      </c>
      <c r="AN191" s="17">
        <f t="shared" si="15"/>
        <v>0</v>
      </c>
      <c r="AO191" s="17">
        <f t="shared" si="16"/>
        <v>0</v>
      </c>
      <c r="AP191" s="17">
        <f t="shared" si="17"/>
        <v>0</v>
      </c>
      <c r="AQ191" s="17">
        <f t="shared" si="18"/>
        <v>0</v>
      </c>
      <c r="AR191" s="17">
        <f t="shared" si="14"/>
        <v>0</v>
      </c>
    </row>
    <row r="192" spans="1:44" ht="12.75" customHeight="1">
      <c r="A192" s="69">
        <f t="shared" si="0"/>
        <v>0</v>
      </c>
      <c r="B192" s="69">
        <f t="shared" si="1"/>
        <v>0</v>
      </c>
      <c r="C192" s="147">
        <f t="shared" si="2"/>
        <v>0</v>
      </c>
      <c r="D192" s="69">
        <f t="shared" si="3"/>
        <v>99999</v>
      </c>
      <c r="E192" s="69">
        <f t="shared" si="4"/>
        <v>9999</v>
      </c>
      <c r="F192" s="98" t="str">
        <f t="shared" ca="1" si="5"/>
        <v>00000000000000000000049900</v>
      </c>
      <c r="G192" s="139" t="b">
        <f t="shared" si="6"/>
        <v>1</v>
      </c>
      <c r="H192" s="140">
        <f t="shared" si="7"/>
        <v>182</v>
      </c>
      <c r="I192" s="130" t="s">
        <v>1750</v>
      </c>
      <c r="J192" s="141" t="s">
        <v>1690</v>
      </c>
      <c r="K192" s="17" t="s">
        <v>1690</v>
      </c>
      <c r="L192" s="17" t="s">
        <v>1690</v>
      </c>
      <c r="M192" s="17">
        <v>9999</v>
      </c>
      <c r="N192" s="142">
        <v>0</v>
      </c>
      <c r="O192" s="130" t="s">
        <v>1750</v>
      </c>
      <c r="P192" s="141" t="s">
        <v>1690</v>
      </c>
      <c r="Q192" s="17" t="s">
        <v>1690</v>
      </c>
      <c r="R192" s="17" t="s">
        <v>1690</v>
      </c>
      <c r="S192" s="17">
        <v>9999</v>
      </c>
      <c r="T192" s="142">
        <v>0</v>
      </c>
      <c r="U192" s="130" t="s">
        <v>1750</v>
      </c>
      <c r="V192" s="141" t="s">
        <v>1690</v>
      </c>
      <c r="W192" s="17" t="s">
        <v>1690</v>
      </c>
      <c r="X192" s="17" t="s">
        <v>1690</v>
      </c>
      <c r="Y192" s="17">
        <v>9999</v>
      </c>
      <c r="Z192" s="142">
        <v>0</v>
      </c>
      <c r="AA192" s="130" t="s">
        <v>1750</v>
      </c>
      <c r="AB192" s="141" t="s">
        <v>1690</v>
      </c>
      <c r="AC192" s="17" t="s">
        <v>1690</v>
      </c>
      <c r="AD192" s="17" t="s">
        <v>1690</v>
      </c>
      <c r="AE192" s="17">
        <v>9999</v>
      </c>
      <c r="AF192" s="142">
        <v>0</v>
      </c>
      <c r="AG192" s="130"/>
      <c r="AH192" s="143">
        <f>IF(TYPE(VLOOKUP(H192,Nasazení!$A$3:$E$130,5,0))&lt;4,VLOOKUP(H192,Nasazení!$A$3:$E$130,5,0),0)</f>
        <v>0</v>
      </c>
      <c r="AI192" s="144" t="str">
        <f>IF(N($AH192)&gt;0,VLOOKUP($AH192,Body!$A$4:$F$259,5,0),"")</f>
        <v/>
      </c>
      <c r="AJ192" s="145" t="str">
        <f>IF(N($AH192)&gt;0,VLOOKUP($AH192,Body!$A$4:$F$259,6,0),"")</f>
        <v/>
      </c>
      <c r="AK192" s="144" t="str">
        <f>IF(N($AH192)&gt;0,VLOOKUP($AH192,Body!$A$4:$F$259,2,0),"")</f>
        <v/>
      </c>
      <c r="AL192" s="146" t="str">
        <f t="shared" si="8"/>
        <v/>
      </c>
      <c r="AM192" s="142">
        <f t="shared" si="9"/>
        <v>0</v>
      </c>
      <c r="AN192" s="17">
        <f t="shared" si="15"/>
        <v>0</v>
      </c>
      <c r="AO192" s="17">
        <f t="shared" si="16"/>
        <v>0</v>
      </c>
      <c r="AP192" s="17">
        <f t="shared" si="17"/>
        <v>0</v>
      </c>
      <c r="AQ192" s="17">
        <f t="shared" si="18"/>
        <v>0</v>
      </c>
      <c r="AR192" s="17">
        <f t="shared" si="14"/>
        <v>0</v>
      </c>
    </row>
    <row r="193" spans="1:44" ht="12.75" customHeight="1">
      <c r="A193" s="69">
        <f t="shared" si="0"/>
        <v>0</v>
      </c>
      <c r="B193" s="69">
        <f t="shared" si="1"/>
        <v>0</v>
      </c>
      <c r="C193" s="147">
        <f t="shared" si="2"/>
        <v>0</v>
      </c>
      <c r="D193" s="69">
        <f t="shared" si="3"/>
        <v>99999</v>
      </c>
      <c r="E193" s="69">
        <f t="shared" si="4"/>
        <v>9999</v>
      </c>
      <c r="F193" s="98" t="str">
        <f t="shared" ca="1" si="5"/>
        <v>00000000000000000000683466</v>
      </c>
      <c r="G193" s="139" t="b">
        <f t="shared" si="6"/>
        <v>1</v>
      </c>
      <c r="H193" s="140">
        <f t="shared" si="7"/>
        <v>183</v>
      </c>
      <c r="I193" s="130" t="s">
        <v>1750</v>
      </c>
      <c r="J193" s="141" t="s">
        <v>1690</v>
      </c>
      <c r="K193" s="17" t="s">
        <v>1690</v>
      </c>
      <c r="L193" s="17" t="s">
        <v>1690</v>
      </c>
      <c r="M193" s="17">
        <v>9999</v>
      </c>
      <c r="N193" s="142">
        <v>0</v>
      </c>
      <c r="O193" s="130" t="s">
        <v>1750</v>
      </c>
      <c r="P193" s="141" t="s">
        <v>1690</v>
      </c>
      <c r="Q193" s="17" t="s">
        <v>1690</v>
      </c>
      <c r="R193" s="17" t="s">
        <v>1690</v>
      </c>
      <c r="S193" s="17">
        <v>9999</v>
      </c>
      <c r="T193" s="142">
        <v>0</v>
      </c>
      <c r="U193" s="130" t="s">
        <v>1750</v>
      </c>
      <c r="V193" s="141" t="s">
        <v>1690</v>
      </c>
      <c r="W193" s="17" t="s">
        <v>1690</v>
      </c>
      <c r="X193" s="17" t="s">
        <v>1690</v>
      </c>
      <c r="Y193" s="17">
        <v>9999</v>
      </c>
      <c r="Z193" s="142">
        <v>0</v>
      </c>
      <c r="AA193" s="130" t="s">
        <v>1750</v>
      </c>
      <c r="AB193" s="141" t="s">
        <v>1690</v>
      </c>
      <c r="AC193" s="17" t="s">
        <v>1690</v>
      </c>
      <c r="AD193" s="17" t="s">
        <v>1690</v>
      </c>
      <c r="AE193" s="17">
        <v>9999</v>
      </c>
      <c r="AF193" s="142">
        <v>0</v>
      </c>
      <c r="AG193" s="130"/>
      <c r="AH193" s="143">
        <f>IF(TYPE(VLOOKUP(H193,Nasazení!$A$3:$E$130,5,0))&lt;4,VLOOKUP(H193,Nasazení!$A$3:$E$130,5,0),0)</f>
        <v>0</v>
      </c>
      <c r="AI193" s="144" t="str">
        <f>IF(N($AH193)&gt;0,VLOOKUP($AH193,Body!$A$4:$F$259,5,0),"")</f>
        <v/>
      </c>
      <c r="AJ193" s="145" t="str">
        <f>IF(N($AH193)&gt;0,VLOOKUP($AH193,Body!$A$4:$F$259,6,0),"")</f>
        <v/>
      </c>
      <c r="AK193" s="144" t="str">
        <f>IF(N($AH193)&gt;0,VLOOKUP($AH193,Body!$A$4:$F$259,2,0),"")</f>
        <v/>
      </c>
      <c r="AL193" s="146" t="str">
        <f t="shared" si="8"/>
        <v/>
      </c>
      <c r="AM193" s="142">
        <f t="shared" si="9"/>
        <v>0</v>
      </c>
      <c r="AN193" s="17">
        <f t="shared" si="15"/>
        <v>0</v>
      </c>
      <c r="AO193" s="17">
        <f t="shared" si="16"/>
        <v>0</v>
      </c>
      <c r="AP193" s="17">
        <f t="shared" si="17"/>
        <v>0</v>
      </c>
      <c r="AQ193" s="17">
        <f t="shared" si="18"/>
        <v>0</v>
      </c>
      <c r="AR193" s="17">
        <f t="shared" si="14"/>
        <v>0</v>
      </c>
    </row>
    <row r="194" spans="1:44" ht="12.75" customHeight="1">
      <c r="A194" s="69">
        <f t="shared" si="0"/>
        <v>0</v>
      </c>
      <c r="B194" s="69">
        <f t="shared" si="1"/>
        <v>0</v>
      </c>
      <c r="C194" s="147">
        <f t="shared" si="2"/>
        <v>0</v>
      </c>
      <c r="D194" s="69">
        <f t="shared" si="3"/>
        <v>99999</v>
      </c>
      <c r="E194" s="69">
        <f t="shared" si="4"/>
        <v>9999</v>
      </c>
      <c r="F194" s="98" t="str">
        <f t="shared" ca="1" si="5"/>
        <v>00000000000000000000671320</v>
      </c>
      <c r="G194" s="139" t="b">
        <f t="shared" si="6"/>
        <v>1</v>
      </c>
      <c r="H194" s="140">
        <f t="shared" si="7"/>
        <v>184</v>
      </c>
      <c r="I194" s="130" t="s">
        <v>1750</v>
      </c>
      <c r="J194" s="141" t="s">
        <v>1690</v>
      </c>
      <c r="K194" s="17" t="s">
        <v>1690</v>
      </c>
      <c r="L194" s="17" t="s">
        <v>1690</v>
      </c>
      <c r="M194" s="17">
        <v>9999</v>
      </c>
      <c r="N194" s="142">
        <v>0</v>
      </c>
      <c r="O194" s="130" t="s">
        <v>1750</v>
      </c>
      <c r="P194" s="141" t="s">
        <v>1690</v>
      </c>
      <c r="Q194" s="17" t="s">
        <v>1690</v>
      </c>
      <c r="R194" s="17" t="s">
        <v>1690</v>
      </c>
      <c r="S194" s="17">
        <v>9999</v>
      </c>
      <c r="T194" s="142">
        <v>0</v>
      </c>
      <c r="U194" s="130" t="s">
        <v>1750</v>
      </c>
      <c r="V194" s="141" t="s">
        <v>1690</v>
      </c>
      <c r="W194" s="17" t="s">
        <v>1690</v>
      </c>
      <c r="X194" s="17" t="s">
        <v>1690</v>
      </c>
      <c r="Y194" s="17">
        <v>9999</v>
      </c>
      <c r="Z194" s="142">
        <v>0</v>
      </c>
      <c r="AA194" s="130" t="s">
        <v>1750</v>
      </c>
      <c r="AB194" s="141" t="s">
        <v>1690</v>
      </c>
      <c r="AC194" s="17" t="s">
        <v>1690</v>
      </c>
      <c r="AD194" s="17" t="s">
        <v>1690</v>
      </c>
      <c r="AE194" s="17">
        <v>9999</v>
      </c>
      <c r="AF194" s="142">
        <v>0</v>
      </c>
      <c r="AG194" s="130"/>
      <c r="AH194" s="143">
        <f>IF(TYPE(VLOOKUP(H194,Nasazení!$A$3:$E$130,5,0))&lt;4,VLOOKUP(H194,Nasazení!$A$3:$E$130,5,0),0)</f>
        <v>0</v>
      </c>
      <c r="AI194" s="144" t="str">
        <f>IF(N($AH194)&gt;0,VLOOKUP($AH194,Body!$A$4:$F$259,5,0),"")</f>
        <v/>
      </c>
      <c r="AJ194" s="145" t="str">
        <f>IF(N($AH194)&gt;0,VLOOKUP($AH194,Body!$A$4:$F$259,6,0),"")</f>
        <v/>
      </c>
      <c r="AK194" s="144" t="str">
        <f>IF(N($AH194)&gt;0,VLOOKUP($AH194,Body!$A$4:$F$259,2,0),"")</f>
        <v/>
      </c>
      <c r="AL194" s="146" t="str">
        <f t="shared" si="8"/>
        <v/>
      </c>
      <c r="AM194" s="142">
        <f t="shared" si="9"/>
        <v>0</v>
      </c>
      <c r="AN194" s="17">
        <f t="shared" si="15"/>
        <v>0</v>
      </c>
      <c r="AO194" s="17">
        <f t="shared" si="16"/>
        <v>0</v>
      </c>
      <c r="AP194" s="17">
        <f t="shared" si="17"/>
        <v>0</v>
      </c>
      <c r="AQ194" s="17">
        <f t="shared" si="18"/>
        <v>0</v>
      </c>
      <c r="AR194" s="17">
        <f t="shared" si="14"/>
        <v>0</v>
      </c>
    </row>
    <row r="195" spans="1:44" ht="12.75" customHeight="1">
      <c r="A195" s="69">
        <f t="shared" si="0"/>
        <v>0</v>
      </c>
      <c r="B195" s="69">
        <f t="shared" si="1"/>
        <v>0</v>
      </c>
      <c r="C195" s="147">
        <f t="shared" si="2"/>
        <v>0</v>
      </c>
      <c r="D195" s="69">
        <f t="shared" si="3"/>
        <v>99999</v>
      </c>
      <c r="E195" s="69">
        <f t="shared" si="4"/>
        <v>9999</v>
      </c>
      <c r="F195" s="98" t="str">
        <f t="shared" ca="1" si="5"/>
        <v>00000000000000000000805524</v>
      </c>
      <c r="G195" s="139" t="b">
        <f t="shared" si="6"/>
        <v>1</v>
      </c>
      <c r="H195" s="140">
        <f t="shared" si="7"/>
        <v>185</v>
      </c>
      <c r="I195" s="130" t="s">
        <v>1750</v>
      </c>
      <c r="J195" s="141" t="s">
        <v>1690</v>
      </c>
      <c r="K195" s="17" t="s">
        <v>1690</v>
      </c>
      <c r="L195" s="17" t="s">
        <v>1690</v>
      </c>
      <c r="M195" s="17">
        <v>9999</v>
      </c>
      <c r="N195" s="142">
        <v>0</v>
      </c>
      <c r="O195" s="130" t="s">
        <v>1750</v>
      </c>
      <c r="P195" s="141" t="s">
        <v>1690</v>
      </c>
      <c r="Q195" s="17" t="s">
        <v>1690</v>
      </c>
      <c r="R195" s="17" t="s">
        <v>1690</v>
      </c>
      <c r="S195" s="17">
        <v>9999</v>
      </c>
      <c r="T195" s="142">
        <v>0</v>
      </c>
      <c r="U195" s="130" t="s">
        <v>1750</v>
      </c>
      <c r="V195" s="141" t="s">
        <v>1690</v>
      </c>
      <c r="W195" s="17" t="s">
        <v>1690</v>
      </c>
      <c r="X195" s="17" t="s">
        <v>1690</v>
      </c>
      <c r="Y195" s="17">
        <v>9999</v>
      </c>
      <c r="Z195" s="142">
        <v>0</v>
      </c>
      <c r="AA195" s="130" t="s">
        <v>1750</v>
      </c>
      <c r="AB195" s="141" t="s">
        <v>1690</v>
      </c>
      <c r="AC195" s="17" t="s">
        <v>1690</v>
      </c>
      <c r="AD195" s="17" t="s">
        <v>1690</v>
      </c>
      <c r="AE195" s="17">
        <v>9999</v>
      </c>
      <c r="AF195" s="142">
        <v>0</v>
      </c>
      <c r="AG195" s="130"/>
      <c r="AH195" s="143">
        <f>IF(TYPE(VLOOKUP(H195,Nasazení!$A$3:$E$130,5,0))&lt;4,VLOOKUP(H195,Nasazení!$A$3:$E$130,5,0),0)</f>
        <v>0</v>
      </c>
      <c r="AI195" s="144" t="str">
        <f>IF(N($AH195)&gt;0,VLOOKUP($AH195,Body!$A$4:$F$259,5,0),"")</f>
        <v/>
      </c>
      <c r="AJ195" s="145" t="str">
        <f>IF(N($AH195)&gt;0,VLOOKUP($AH195,Body!$A$4:$F$259,6,0),"")</f>
        <v/>
      </c>
      <c r="AK195" s="144" t="str">
        <f>IF(N($AH195)&gt;0,VLOOKUP($AH195,Body!$A$4:$F$259,2,0),"")</f>
        <v/>
      </c>
      <c r="AL195" s="146" t="str">
        <f t="shared" si="8"/>
        <v/>
      </c>
      <c r="AM195" s="142">
        <f t="shared" si="9"/>
        <v>0</v>
      </c>
      <c r="AN195" s="17">
        <f t="shared" si="15"/>
        <v>0</v>
      </c>
      <c r="AO195" s="17">
        <f t="shared" si="16"/>
        <v>0</v>
      </c>
      <c r="AP195" s="17">
        <f t="shared" si="17"/>
        <v>0</v>
      </c>
      <c r="AQ195" s="17">
        <f t="shared" si="18"/>
        <v>0</v>
      </c>
      <c r="AR195" s="17">
        <f t="shared" si="14"/>
        <v>0</v>
      </c>
    </row>
    <row r="196" spans="1:44" ht="12.75" customHeight="1">
      <c r="A196" s="69">
        <f t="shared" si="0"/>
        <v>0</v>
      </c>
      <c r="B196" s="69">
        <f t="shared" si="1"/>
        <v>0</v>
      </c>
      <c r="C196" s="147">
        <f t="shared" si="2"/>
        <v>0</v>
      </c>
      <c r="D196" s="69">
        <f t="shared" si="3"/>
        <v>99999</v>
      </c>
      <c r="E196" s="69">
        <f t="shared" si="4"/>
        <v>9999</v>
      </c>
      <c r="F196" s="98" t="str">
        <f t="shared" ca="1" si="5"/>
        <v>00000000000000000000082270</v>
      </c>
      <c r="G196" s="139" t="b">
        <f t="shared" si="6"/>
        <v>1</v>
      </c>
      <c r="H196" s="140">
        <f t="shared" si="7"/>
        <v>186</v>
      </c>
      <c r="I196" s="130" t="s">
        <v>1750</v>
      </c>
      <c r="J196" s="141" t="s">
        <v>1690</v>
      </c>
      <c r="K196" s="17" t="s">
        <v>1690</v>
      </c>
      <c r="L196" s="17" t="s">
        <v>1690</v>
      </c>
      <c r="M196" s="17">
        <v>9999</v>
      </c>
      <c r="N196" s="142">
        <v>0</v>
      </c>
      <c r="O196" s="130" t="s">
        <v>1750</v>
      </c>
      <c r="P196" s="141" t="s">
        <v>1690</v>
      </c>
      <c r="Q196" s="17" t="s">
        <v>1690</v>
      </c>
      <c r="R196" s="17" t="s">
        <v>1690</v>
      </c>
      <c r="S196" s="17">
        <v>9999</v>
      </c>
      <c r="T196" s="142">
        <v>0</v>
      </c>
      <c r="U196" s="130" t="s">
        <v>1750</v>
      </c>
      <c r="V196" s="141" t="s">
        <v>1690</v>
      </c>
      <c r="W196" s="17" t="s">
        <v>1690</v>
      </c>
      <c r="X196" s="17" t="s">
        <v>1690</v>
      </c>
      <c r="Y196" s="17">
        <v>9999</v>
      </c>
      <c r="Z196" s="142">
        <v>0</v>
      </c>
      <c r="AA196" s="130" t="s">
        <v>1750</v>
      </c>
      <c r="AB196" s="141" t="s">
        <v>1690</v>
      </c>
      <c r="AC196" s="17" t="s">
        <v>1690</v>
      </c>
      <c r="AD196" s="17" t="s">
        <v>1690</v>
      </c>
      <c r="AE196" s="17">
        <v>9999</v>
      </c>
      <c r="AF196" s="142">
        <v>0</v>
      </c>
      <c r="AG196" s="130"/>
      <c r="AH196" s="143">
        <f>IF(TYPE(VLOOKUP(H196,Nasazení!$A$3:$E$130,5,0))&lt;4,VLOOKUP(H196,Nasazení!$A$3:$E$130,5,0),0)</f>
        <v>0</v>
      </c>
      <c r="AI196" s="144" t="str">
        <f>IF(N($AH196)&gt;0,VLOOKUP($AH196,Body!$A$4:$F$259,5,0),"")</f>
        <v/>
      </c>
      <c r="AJ196" s="145" t="str">
        <f>IF(N($AH196)&gt;0,VLOOKUP($AH196,Body!$A$4:$F$259,6,0),"")</f>
        <v/>
      </c>
      <c r="AK196" s="144" t="str">
        <f>IF(N($AH196)&gt;0,VLOOKUP($AH196,Body!$A$4:$F$259,2,0),"")</f>
        <v/>
      </c>
      <c r="AL196" s="146" t="str">
        <f t="shared" si="8"/>
        <v/>
      </c>
      <c r="AM196" s="142">
        <f t="shared" si="9"/>
        <v>0</v>
      </c>
      <c r="AN196" s="17">
        <f t="shared" si="15"/>
        <v>0</v>
      </c>
      <c r="AO196" s="17">
        <f t="shared" si="16"/>
        <v>0</v>
      </c>
      <c r="AP196" s="17">
        <f t="shared" si="17"/>
        <v>0</v>
      </c>
      <c r="AQ196" s="17">
        <f t="shared" si="18"/>
        <v>0</v>
      </c>
      <c r="AR196" s="17">
        <f t="shared" si="14"/>
        <v>0</v>
      </c>
    </row>
    <row r="197" spans="1:44" ht="12.75" customHeight="1">
      <c r="A197" s="69">
        <f t="shared" si="0"/>
        <v>0</v>
      </c>
      <c r="B197" s="69">
        <f t="shared" si="1"/>
        <v>0</v>
      </c>
      <c r="C197" s="147">
        <f t="shared" si="2"/>
        <v>0</v>
      </c>
      <c r="D197" s="69">
        <f t="shared" si="3"/>
        <v>99999</v>
      </c>
      <c r="E197" s="69">
        <f t="shared" si="4"/>
        <v>9999</v>
      </c>
      <c r="F197" s="98" t="str">
        <f t="shared" ca="1" si="5"/>
        <v>00000000000000000000952461</v>
      </c>
      <c r="G197" s="139" t="b">
        <f t="shared" si="6"/>
        <v>1</v>
      </c>
      <c r="H197" s="140">
        <f t="shared" si="7"/>
        <v>187</v>
      </c>
      <c r="I197" s="130" t="s">
        <v>1750</v>
      </c>
      <c r="J197" s="141" t="s">
        <v>1690</v>
      </c>
      <c r="K197" s="17" t="s">
        <v>1690</v>
      </c>
      <c r="L197" s="17" t="s">
        <v>1690</v>
      </c>
      <c r="M197" s="17">
        <v>9999</v>
      </c>
      <c r="N197" s="142">
        <v>0</v>
      </c>
      <c r="O197" s="130" t="s">
        <v>1750</v>
      </c>
      <c r="P197" s="141" t="s">
        <v>1690</v>
      </c>
      <c r="Q197" s="17" t="s">
        <v>1690</v>
      </c>
      <c r="R197" s="17" t="s">
        <v>1690</v>
      </c>
      <c r="S197" s="17">
        <v>9999</v>
      </c>
      <c r="T197" s="142">
        <v>0</v>
      </c>
      <c r="U197" s="130" t="s">
        <v>1750</v>
      </c>
      <c r="V197" s="141" t="s">
        <v>1690</v>
      </c>
      <c r="W197" s="17" t="s">
        <v>1690</v>
      </c>
      <c r="X197" s="17" t="s">
        <v>1690</v>
      </c>
      <c r="Y197" s="17">
        <v>9999</v>
      </c>
      <c r="Z197" s="142">
        <v>0</v>
      </c>
      <c r="AA197" s="130" t="s">
        <v>1750</v>
      </c>
      <c r="AB197" s="141" t="s">
        <v>1690</v>
      </c>
      <c r="AC197" s="17" t="s">
        <v>1690</v>
      </c>
      <c r="AD197" s="17" t="s">
        <v>1690</v>
      </c>
      <c r="AE197" s="17">
        <v>9999</v>
      </c>
      <c r="AF197" s="142">
        <v>0</v>
      </c>
      <c r="AG197" s="130"/>
      <c r="AH197" s="143">
        <f>IF(TYPE(VLOOKUP(H197,Nasazení!$A$3:$E$130,5,0))&lt;4,VLOOKUP(H197,Nasazení!$A$3:$E$130,5,0),0)</f>
        <v>0</v>
      </c>
      <c r="AI197" s="144" t="str">
        <f>IF(N($AH197)&gt;0,VLOOKUP($AH197,Body!$A$4:$F$259,5,0),"")</f>
        <v/>
      </c>
      <c r="AJ197" s="145" t="str">
        <f>IF(N($AH197)&gt;0,VLOOKUP($AH197,Body!$A$4:$F$259,6,0),"")</f>
        <v/>
      </c>
      <c r="AK197" s="144" t="str">
        <f>IF(N($AH197)&gt;0,VLOOKUP($AH197,Body!$A$4:$F$259,2,0),"")</f>
        <v/>
      </c>
      <c r="AL197" s="146" t="str">
        <f t="shared" si="8"/>
        <v/>
      </c>
      <c r="AM197" s="142">
        <f t="shared" si="9"/>
        <v>0</v>
      </c>
      <c r="AN197" s="17">
        <f t="shared" si="15"/>
        <v>0</v>
      </c>
      <c r="AO197" s="17">
        <f t="shared" si="16"/>
        <v>0</v>
      </c>
      <c r="AP197" s="17">
        <f t="shared" si="17"/>
        <v>0</v>
      </c>
      <c r="AQ197" s="17">
        <f t="shared" si="18"/>
        <v>0</v>
      </c>
      <c r="AR197" s="17">
        <f t="shared" si="14"/>
        <v>0</v>
      </c>
    </row>
    <row r="198" spans="1:44" ht="12.75" customHeight="1">
      <c r="A198" s="69">
        <f t="shared" si="0"/>
        <v>0</v>
      </c>
      <c r="B198" s="69">
        <f t="shared" si="1"/>
        <v>0</v>
      </c>
      <c r="C198" s="147">
        <f t="shared" si="2"/>
        <v>0</v>
      </c>
      <c r="D198" s="69">
        <f t="shared" si="3"/>
        <v>99999</v>
      </c>
      <c r="E198" s="69">
        <f t="shared" si="4"/>
        <v>9999</v>
      </c>
      <c r="F198" s="98" t="str">
        <f t="shared" ca="1" si="5"/>
        <v>00000000000000000000403012</v>
      </c>
      <c r="G198" s="139" t="b">
        <f t="shared" si="6"/>
        <v>1</v>
      </c>
      <c r="H198" s="140">
        <f t="shared" si="7"/>
        <v>188</v>
      </c>
      <c r="I198" s="130" t="s">
        <v>1750</v>
      </c>
      <c r="J198" s="141" t="s">
        <v>1690</v>
      </c>
      <c r="K198" s="17" t="s">
        <v>1690</v>
      </c>
      <c r="L198" s="17" t="s">
        <v>1690</v>
      </c>
      <c r="M198" s="17">
        <v>9999</v>
      </c>
      <c r="N198" s="142">
        <v>0</v>
      </c>
      <c r="O198" s="130" t="s">
        <v>1750</v>
      </c>
      <c r="P198" s="141" t="s">
        <v>1690</v>
      </c>
      <c r="Q198" s="17" t="s">
        <v>1690</v>
      </c>
      <c r="R198" s="17" t="s">
        <v>1690</v>
      </c>
      <c r="S198" s="17">
        <v>9999</v>
      </c>
      <c r="T198" s="142">
        <v>0</v>
      </c>
      <c r="U198" s="130" t="s">
        <v>1750</v>
      </c>
      <c r="V198" s="141" t="s">
        <v>1690</v>
      </c>
      <c r="W198" s="17" t="s">
        <v>1690</v>
      </c>
      <c r="X198" s="17" t="s">
        <v>1690</v>
      </c>
      <c r="Y198" s="17">
        <v>9999</v>
      </c>
      <c r="Z198" s="142">
        <v>0</v>
      </c>
      <c r="AA198" s="130" t="s">
        <v>1750</v>
      </c>
      <c r="AB198" s="141" t="s">
        <v>1690</v>
      </c>
      <c r="AC198" s="17" t="s">
        <v>1690</v>
      </c>
      <c r="AD198" s="17" t="s">
        <v>1690</v>
      </c>
      <c r="AE198" s="17">
        <v>9999</v>
      </c>
      <c r="AF198" s="142">
        <v>0</v>
      </c>
      <c r="AG198" s="130"/>
      <c r="AH198" s="143">
        <f>IF(TYPE(VLOOKUP(H198,Nasazení!$A$3:$E$130,5,0))&lt;4,VLOOKUP(H198,Nasazení!$A$3:$E$130,5,0),0)</f>
        <v>0</v>
      </c>
      <c r="AI198" s="144" t="str">
        <f>IF(N($AH198)&gt;0,VLOOKUP($AH198,Body!$A$4:$F$259,5,0),"")</f>
        <v/>
      </c>
      <c r="AJ198" s="145" t="str">
        <f>IF(N($AH198)&gt;0,VLOOKUP($AH198,Body!$A$4:$F$259,6,0),"")</f>
        <v/>
      </c>
      <c r="AK198" s="144" t="str">
        <f>IF(N($AH198)&gt;0,VLOOKUP($AH198,Body!$A$4:$F$259,2,0),"")</f>
        <v/>
      </c>
      <c r="AL198" s="146" t="str">
        <f t="shared" si="8"/>
        <v/>
      </c>
      <c r="AM198" s="142">
        <f t="shared" si="9"/>
        <v>0</v>
      </c>
      <c r="AN198" s="17">
        <f t="shared" si="15"/>
        <v>0</v>
      </c>
      <c r="AO198" s="17">
        <f t="shared" si="16"/>
        <v>0</v>
      </c>
      <c r="AP198" s="17">
        <f t="shared" si="17"/>
        <v>0</v>
      </c>
      <c r="AQ198" s="17">
        <f t="shared" si="18"/>
        <v>0</v>
      </c>
      <c r="AR198" s="17">
        <f t="shared" si="14"/>
        <v>0</v>
      </c>
    </row>
    <row r="199" spans="1:44" ht="12.75" customHeight="1">
      <c r="A199" s="69">
        <f t="shared" si="0"/>
        <v>0</v>
      </c>
      <c r="B199" s="69">
        <f t="shared" si="1"/>
        <v>0</v>
      </c>
      <c r="C199" s="147">
        <f t="shared" si="2"/>
        <v>0</v>
      </c>
      <c r="D199" s="69">
        <f t="shared" si="3"/>
        <v>99999</v>
      </c>
      <c r="E199" s="69">
        <f t="shared" si="4"/>
        <v>9999</v>
      </c>
      <c r="F199" s="98" t="str">
        <f t="shared" ca="1" si="5"/>
        <v>00000000000000000000067453</v>
      </c>
      <c r="G199" s="139" t="b">
        <f t="shared" si="6"/>
        <v>1</v>
      </c>
      <c r="H199" s="140">
        <f t="shared" si="7"/>
        <v>189</v>
      </c>
      <c r="I199" s="130" t="s">
        <v>1750</v>
      </c>
      <c r="J199" s="141" t="s">
        <v>1690</v>
      </c>
      <c r="K199" s="17" t="s">
        <v>1690</v>
      </c>
      <c r="L199" s="17" t="s">
        <v>1690</v>
      </c>
      <c r="M199" s="17">
        <v>9999</v>
      </c>
      <c r="N199" s="142">
        <v>0</v>
      </c>
      <c r="O199" s="130" t="s">
        <v>1750</v>
      </c>
      <c r="P199" s="141" t="s">
        <v>1690</v>
      </c>
      <c r="Q199" s="17" t="s">
        <v>1690</v>
      </c>
      <c r="R199" s="17" t="s">
        <v>1690</v>
      </c>
      <c r="S199" s="17">
        <v>9999</v>
      </c>
      <c r="T199" s="142">
        <v>0</v>
      </c>
      <c r="U199" s="130" t="s">
        <v>1750</v>
      </c>
      <c r="V199" s="141" t="s">
        <v>1690</v>
      </c>
      <c r="W199" s="17" t="s">
        <v>1690</v>
      </c>
      <c r="X199" s="17" t="s">
        <v>1690</v>
      </c>
      <c r="Y199" s="17">
        <v>9999</v>
      </c>
      <c r="Z199" s="142">
        <v>0</v>
      </c>
      <c r="AA199" s="130" t="s">
        <v>1750</v>
      </c>
      <c r="AB199" s="141" t="s">
        <v>1690</v>
      </c>
      <c r="AC199" s="17" t="s">
        <v>1690</v>
      </c>
      <c r="AD199" s="17" t="s">
        <v>1690</v>
      </c>
      <c r="AE199" s="17">
        <v>9999</v>
      </c>
      <c r="AF199" s="142">
        <v>0</v>
      </c>
      <c r="AG199" s="130"/>
      <c r="AH199" s="143">
        <f>IF(TYPE(VLOOKUP(H199,Nasazení!$A$3:$E$130,5,0))&lt;4,VLOOKUP(H199,Nasazení!$A$3:$E$130,5,0),0)</f>
        <v>0</v>
      </c>
      <c r="AI199" s="144" t="str">
        <f>IF(N($AH199)&gt;0,VLOOKUP($AH199,Body!$A$4:$F$259,5,0),"")</f>
        <v/>
      </c>
      <c r="AJ199" s="145" t="str">
        <f>IF(N($AH199)&gt;0,VLOOKUP($AH199,Body!$A$4:$F$259,6,0),"")</f>
        <v/>
      </c>
      <c r="AK199" s="144" t="str">
        <f>IF(N($AH199)&gt;0,VLOOKUP($AH199,Body!$A$4:$F$259,2,0),"")</f>
        <v/>
      </c>
      <c r="AL199" s="146" t="str">
        <f t="shared" si="8"/>
        <v/>
      </c>
      <c r="AM199" s="142">
        <f t="shared" si="9"/>
        <v>0</v>
      </c>
      <c r="AN199" s="17">
        <f t="shared" si="15"/>
        <v>0</v>
      </c>
      <c r="AO199" s="17">
        <f t="shared" si="16"/>
        <v>0</v>
      </c>
      <c r="AP199" s="17">
        <f t="shared" si="17"/>
        <v>0</v>
      </c>
      <c r="AQ199" s="17">
        <f t="shared" si="18"/>
        <v>0</v>
      </c>
      <c r="AR199" s="17">
        <f t="shared" si="14"/>
        <v>0</v>
      </c>
    </row>
    <row r="200" spans="1:44" ht="12.75" customHeight="1">
      <c r="A200" s="69">
        <f t="shared" si="0"/>
        <v>0</v>
      </c>
      <c r="B200" s="69">
        <f t="shared" si="1"/>
        <v>0</v>
      </c>
      <c r="C200" s="147">
        <f t="shared" si="2"/>
        <v>0</v>
      </c>
      <c r="D200" s="69">
        <f t="shared" si="3"/>
        <v>99999</v>
      </c>
      <c r="E200" s="69">
        <f t="shared" si="4"/>
        <v>9999</v>
      </c>
      <c r="F200" s="98" t="str">
        <f t="shared" ca="1" si="5"/>
        <v>00000000000000000000826138</v>
      </c>
      <c r="G200" s="139" t="b">
        <f t="shared" si="6"/>
        <v>1</v>
      </c>
      <c r="H200" s="140">
        <f t="shared" si="7"/>
        <v>190</v>
      </c>
      <c r="I200" s="130" t="s">
        <v>1750</v>
      </c>
      <c r="J200" s="141" t="s">
        <v>1690</v>
      </c>
      <c r="K200" s="17" t="s">
        <v>1690</v>
      </c>
      <c r="L200" s="17" t="s">
        <v>1690</v>
      </c>
      <c r="M200" s="17">
        <v>9999</v>
      </c>
      <c r="N200" s="142">
        <v>0</v>
      </c>
      <c r="O200" s="130" t="s">
        <v>1750</v>
      </c>
      <c r="P200" s="141" t="s">
        <v>1690</v>
      </c>
      <c r="Q200" s="17" t="s">
        <v>1690</v>
      </c>
      <c r="R200" s="17" t="s">
        <v>1690</v>
      </c>
      <c r="S200" s="17">
        <v>9999</v>
      </c>
      <c r="T200" s="142">
        <v>0</v>
      </c>
      <c r="U200" s="130" t="s">
        <v>1750</v>
      </c>
      <c r="V200" s="141" t="s">
        <v>1690</v>
      </c>
      <c r="W200" s="17" t="s">
        <v>1690</v>
      </c>
      <c r="X200" s="17" t="s">
        <v>1690</v>
      </c>
      <c r="Y200" s="17">
        <v>9999</v>
      </c>
      <c r="Z200" s="142">
        <v>0</v>
      </c>
      <c r="AA200" s="130" t="s">
        <v>1750</v>
      </c>
      <c r="AB200" s="141" t="s">
        <v>1690</v>
      </c>
      <c r="AC200" s="17" t="s">
        <v>1690</v>
      </c>
      <c r="AD200" s="17" t="s">
        <v>1690</v>
      </c>
      <c r="AE200" s="17">
        <v>9999</v>
      </c>
      <c r="AF200" s="142">
        <v>0</v>
      </c>
      <c r="AG200" s="130"/>
      <c r="AH200" s="143">
        <f>IF(TYPE(VLOOKUP(H200,Nasazení!$A$3:$E$130,5,0))&lt;4,VLOOKUP(H200,Nasazení!$A$3:$E$130,5,0),0)</f>
        <v>0</v>
      </c>
      <c r="AI200" s="144" t="str">
        <f>IF(N($AH200)&gt;0,VLOOKUP($AH200,Body!$A$4:$F$259,5,0),"")</f>
        <v/>
      </c>
      <c r="AJ200" s="145" t="str">
        <f>IF(N($AH200)&gt;0,VLOOKUP($AH200,Body!$A$4:$F$259,6,0),"")</f>
        <v/>
      </c>
      <c r="AK200" s="144" t="str">
        <f>IF(N($AH200)&gt;0,VLOOKUP($AH200,Body!$A$4:$F$259,2,0),"")</f>
        <v/>
      </c>
      <c r="AL200" s="146" t="str">
        <f t="shared" si="8"/>
        <v/>
      </c>
      <c r="AM200" s="142">
        <f t="shared" si="9"/>
        <v>0</v>
      </c>
      <c r="AN200" s="17">
        <f t="shared" si="15"/>
        <v>0</v>
      </c>
      <c r="AO200" s="17">
        <f t="shared" si="16"/>
        <v>0</v>
      </c>
      <c r="AP200" s="17">
        <f t="shared" si="17"/>
        <v>0</v>
      </c>
      <c r="AQ200" s="17">
        <f t="shared" si="18"/>
        <v>0</v>
      </c>
      <c r="AR200" s="17">
        <f t="shared" si="14"/>
        <v>0</v>
      </c>
    </row>
    <row r="201" spans="1:44" ht="12.75" customHeight="1">
      <c r="A201" s="69">
        <f t="shared" si="0"/>
        <v>0</v>
      </c>
      <c r="B201" s="69">
        <f t="shared" si="1"/>
        <v>0</v>
      </c>
      <c r="C201" s="147">
        <f t="shared" si="2"/>
        <v>0</v>
      </c>
      <c r="D201" s="69">
        <f t="shared" si="3"/>
        <v>99999</v>
      </c>
      <c r="E201" s="69">
        <f t="shared" si="4"/>
        <v>9999</v>
      </c>
      <c r="F201" s="98" t="str">
        <f t="shared" ca="1" si="5"/>
        <v>00000000000000000000338013</v>
      </c>
      <c r="G201" s="139" t="b">
        <f t="shared" si="6"/>
        <v>1</v>
      </c>
      <c r="H201" s="140">
        <f t="shared" si="7"/>
        <v>191</v>
      </c>
      <c r="I201" s="130" t="s">
        <v>1750</v>
      </c>
      <c r="J201" s="141" t="s">
        <v>1690</v>
      </c>
      <c r="K201" s="17" t="s">
        <v>1690</v>
      </c>
      <c r="L201" s="17" t="s">
        <v>1690</v>
      </c>
      <c r="M201" s="17">
        <v>9999</v>
      </c>
      <c r="N201" s="142">
        <v>0</v>
      </c>
      <c r="O201" s="130" t="s">
        <v>1750</v>
      </c>
      <c r="P201" s="141" t="s">
        <v>1690</v>
      </c>
      <c r="Q201" s="17" t="s">
        <v>1690</v>
      </c>
      <c r="R201" s="17" t="s">
        <v>1690</v>
      </c>
      <c r="S201" s="17">
        <v>9999</v>
      </c>
      <c r="T201" s="142">
        <v>0</v>
      </c>
      <c r="U201" s="130" t="s">
        <v>1750</v>
      </c>
      <c r="V201" s="141" t="s">
        <v>1690</v>
      </c>
      <c r="W201" s="17" t="s">
        <v>1690</v>
      </c>
      <c r="X201" s="17" t="s">
        <v>1690</v>
      </c>
      <c r="Y201" s="17">
        <v>9999</v>
      </c>
      <c r="Z201" s="142">
        <v>0</v>
      </c>
      <c r="AA201" s="130" t="s">
        <v>1750</v>
      </c>
      <c r="AB201" s="141" t="s">
        <v>1690</v>
      </c>
      <c r="AC201" s="17" t="s">
        <v>1690</v>
      </c>
      <c r="AD201" s="17" t="s">
        <v>1690</v>
      </c>
      <c r="AE201" s="17">
        <v>9999</v>
      </c>
      <c r="AF201" s="142">
        <v>0</v>
      </c>
      <c r="AG201" s="130"/>
      <c r="AH201" s="143">
        <f>IF(TYPE(VLOOKUP(H201,Nasazení!$A$3:$E$130,5,0))&lt;4,VLOOKUP(H201,Nasazení!$A$3:$E$130,5,0),0)</f>
        <v>0</v>
      </c>
      <c r="AI201" s="144" t="str">
        <f>IF(N($AH201)&gt;0,VLOOKUP($AH201,Body!$A$4:$F$259,5,0),"")</f>
        <v/>
      </c>
      <c r="AJ201" s="145" t="str">
        <f>IF(N($AH201)&gt;0,VLOOKUP($AH201,Body!$A$4:$F$259,6,0),"")</f>
        <v/>
      </c>
      <c r="AK201" s="144" t="str">
        <f>IF(N($AH201)&gt;0,VLOOKUP($AH201,Body!$A$4:$F$259,2,0),"")</f>
        <v/>
      </c>
      <c r="AL201" s="146" t="str">
        <f t="shared" si="8"/>
        <v/>
      </c>
      <c r="AM201" s="142">
        <f t="shared" si="9"/>
        <v>0</v>
      </c>
      <c r="AN201" s="17">
        <f t="shared" si="15"/>
        <v>0</v>
      </c>
      <c r="AO201" s="17">
        <f t="shared" si="16"/>
        <v>0</v>
      </c>
      <c r="AP201" s="17">
        <f t="shared" si="17"/>
        <v>0</v>
      </c>
      <c r="AQ201" s="17">
        <f t="shared" si="18"/>
        <v>0</v>
      </c>
      <c r="AR201" s="17">
        <f t="shared" si="14"/>
        <v>0</v>
      </c>
    </row>
    <row r="202" spans="1:44" ht="12.75" customHeight="1">
      <c r="A202" s="69">
        <f t="shared" si="0"/>
        <v>0</v>
      </c>
      <c r="B202" s="69">
        <f t="shared" si="1"/>
        <v>0</v>
      </c>
      <c r="C202" s="147">
        <f t="shared" si="2"/>
        <v>0</v>
      </c>
      <c r="D202" s="69">
        <f t="shared" si="3"/>
        <v>99999</v>
      </c>
      <c r="E202" s="69">
        <f t="shared" si="4"/>
        <v>9999</v>
      </c>
      <c r="F202" s="98" t="str">
        <f t="shared" ca="1" si="5"/>
        <v>00000000000000000000127842</v>
      </c>
      <c r="G202" s="139" t="b">
        <f t="shared" si="6"/>
        <v>1</v>
      </c>
      <c r="H202" s="140">
        <f t="shared" si="7"/>
        <v>192</v>
      </c>
      <c r="I202" s="130" t="s">
        <v>1750</v>
      </c>
      <c r="J202" s="141" t="s">
        <v>1690</v>
      </c>
      <c r="K202" s="17" t="s">
        <v>1690</v>
      </c>
      <c r="L202" s="17" t="s">
        <v>1690</v>
      </c>
      <c r="M202" s="17">
        <v>9999</v>
      </c>
      <c r="N202" s="142">
        <v>0</v>
      </c>
      <c r="O202" s="130" t="s">
        <v>1750</v>
      </c>
      <c r="P202" s="141" t="s">
        <v>1690</v>
      </c>
      <c r="Q202" s="17" t="s">
        <v>1690</v>
      </c>
      <c r="R202" s="17" t="s">
        <v>1690</v>
      </c>
      <c r="S202" s="17">
        <v>9999</v>
      </c>
      <c r="T202" s="142">
        <v>0</v>
      </c>
      <c r="U202" s="130" t="s">
        <v>1750</v>
      </c>
      <c r="V202" s="141" t="s">
        <v>1690</v>
      </c>
      <c r="W202" s="17" t="s">
        <v>1690</v>
      </c>
      <c r="X202" s="17" t="s">
        <v>1690</v>
      </c>
      <c r="Y202" s="17">
        <v>9999</v>
      </c>
      <c r="Z202" s="142">
        <v>0</v>
      </c>
      <c r="AA202" s="130" t="s">
        <v>1750</v>
      </c>
      <c r="AB202" s="141" t="s">
        <v>1690</v>
      </c>
      <c r="AC202" s="17" t="s">
        <v>1690</v>
      </c>
      <c r="AD202" s="17" t="s">
        <v>1690</v>
      </c>
      <c r="AE202" s="17">
        <v>9999</v>
      </c>
      <c r="AF202" s="142">
        <v>0</v>
      </c>
      <c r="AG202" s="130"/>
      <c r="AH202" s="143">
        <f>IF(TYPE(VLOOKUP(H202,Nasazení!$A$3:$E$130,5,0))&lt;4,VLOOKUP(H202,Nasazení!$A$3:$E$130,5,0),0)</f>
        <v>0</v>
      </c>
      <c r="AI202" s="144" t="str">
        <f>IF(N($AH202)&gt;0,VLOOKUP($AH202,Body!$A$4:$F$259,5,0),"")</f>
        <v/>
      </c>
      <c r="AJ202" s="145" t="str">
        <f>IF(N($AH202)&gt;0,VLOOKUP($AH202,Body!$A$4:$F$259,6,0),"")</f>
        <v/>
      </c>
      <c r="AK202" s="144" t="str">
        <f>IF(N($AH202)&gt;0,VLOOKUP($AH202,Body!$A$4:$F$259,2,0),"")</f>
        <v/>
      </c>
      <c r="AL202" s="146" t="str">
        <f t="shared" si="8"/>
        <v/>
      </c>
      <c r="AM202" s="142">
        <f t="shared" si="9"/>
        <v>0</v>
      </c>
      <c r="AN202" s="17">
        <f t="shared" si="15"/>
        <v>0</v>
      </c>
      <c r="AO202" s="17">
        <f t="shared" si="16"/>
        <v>0</v>
      </c>
      <c r="AP202" s="17">
        <f t="shared" si="17"/>
        <v>0</v>
      </c>
      <c r="AQ202" s="17">
        <f t="shared" si="18"/>
        <v>0</v>
      </c>
      <c r="AR202" s="17">
        <f t="shared" si="14"/>
        <v>0</v>
      </c>
    </row>
    <row r="203" spans="1:44" ht="12"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row>
    <row r="204" spans="1:44" ht="12"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row>
    <row r="205" spans="1:44" ht="12"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row>
    <row r="206" spans="1:44" ht="12"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row>
    <row r="207" spans="1:44" ht="12"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row>
    <row r="208" spans="1:44" ht="12"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row>
    <row r="209" spans="1:44" ht="12"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row>
    <row r="210" spans="1:44" ht="12"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row>
    <row r="211" spans="1:44" ht="12"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row>
    <row r="212" spans="1:44" ht="12"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row>
    <row r="213" spans="1:44" ht="12"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row>
    <row r="214" spans="1:44" ht="12"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row>
    <row r="215" spans="1:44" ht="12"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row>
    <row r="216" spans="1:44" ht="12"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row>
    <row r="217" spans="1:44" ht="12"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row>
    <row r="218" spans="1:44" ht="12"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row>
    <row r="219" spans="1:44" ht="12"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row>
    <row r="220" spans="1:44" ht="12"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row>
    <row r="221" spans="1:44" ht="12"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row>
    <row r="222" spans="1:44" ht="12"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row>
    <row r="223" spans="1:44" ht="12"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row>
    <row r="224" spans="1:44" ht="12"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row>
    <row r="225" spans="1:44" ht="12"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row>
    <row r="226" spans="1:44" ht="12"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row>
    <row r="227" spans="1:44" ht="12"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row>
    <row r="228" spans="1:44" ht="12"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row>
    <row r="229" spans="1:44" ht="12"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row>
    <row r="230" spans="1:44" ht="12"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row>
    <row r="231" spans="1:44" ht="12"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row>
    <row r="232" spans="1:44" ht="12"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row>
    <row r="233" spans="1:44" ht="12"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row>
    <row r="234" spans="1:44" ht="12"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row>
    <row r="235" spans="1:44" ht="12"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row>
    <row r="236" spans="1:44" ht="12"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row>
    <row r="237" spans="1:44" ht="12"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row>
    <row r="238" spans="1:44" ht="12"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row>
    <row r="239" spans="1:44" ht="12"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row>
    <row r="240" spans="1:44" ht="12"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row>
    <row r="241" spans="1:44" ht="12"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row>
    <row r="242" spans="1:44" ht="12"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row>
    <row r="243" spans="1:44" ht="12"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row>
    <row r="244" spans="1:44" ht="12"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row>
    <row r="245" spans="1:44" ht="12"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row>
    <row r="246" spans="1:44" ht="12"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row>
    <row r="247" spans="1:44" ht="12"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row>
    <row r="248" spans="1:44" ht="12"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row>
    <row r="249" spans="1:44" ht="12"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row>
    <row r="250" spans="1:44" ht="12"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row>
    <row r="251" spans="1:44" ht="12"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row>
    <row r="252" spans="1:44" ht="12"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row>
    <row r="253" spans="1:44" ht="12"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row>
    <row r="254" spans="1:44" ht="12"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row>
    <row r="255" spans="1:44" ht="12"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row>
    <row r="256" spans="1:44" ht="12"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row>
    <row r="257" spans="1:44" ht="12"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row>
    <row r="258" spans="1:44" ht="12"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row>
    <row r="259" spans="1:44" ht="12"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row>
    <row r="260" spans="1:44" ht="12"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row>
    <row r="261" spans="1:44" ht="12"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row>
    <row r="262" spans="1:44" ht="12"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row>
    <row r="263" spans="1:44" ht="12"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row>
    <row r="264" spans="1:44" ht="12"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row>
    <row r="265" spans="1:44" ht="12"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row>
    <row r="266" spans="1:44" ht="12"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row>
    <row r="267" spans="1:44" ht="12"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row>
    <row r="268" spans="1:44" ht="12"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row>
    <row r="269" spans="1:44" ht="12"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row>
    <row r="270" spans="1:44" ht="12"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row>
    <row r="271" spans="1:44" ht="12"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row>
    <row r="272" spans="1:44" ht="12"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row>
    <row r="273" spans="1:44" ht="12"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row>
    <row r="274" spans="1:44" ht="12"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row>
    <row r="275" spans="1:44" ht="12"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row>
    <row r="276" spans="1:44" ht="12"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row>
    <row r="277" spans="1:44" ht="12"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row>
    <row r="278" spans="1:44" ht="12"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row>
    <row r="279" spans="1:44" ht="12"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row>
    <row r="280" spans="1:44" ht="12"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row>
    <row r="281" spans="1:44" ht="12"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row>
    <row r="282" spans="1:44" ht="12"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row>
    <row r="283" spans="1:44" ht="12"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row>
    <row r="284" spans="1:44" ht="12"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row>
    <row r="285" spans="1:44" ht="12"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row>
    <row r="286" spans="1:44" ht="12"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row>
    <row r="287" spans="1:44" ht="12"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row>
    <row r="288" spans="1:44" ht="12"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row>
    <row r="289" spans="1:44" ht="12"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row>
    <row r="290" spans="1:44" ht="12"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row>
    <row r="291" spans="1:44" ht="12"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row>
    <row r="292" spans="1:44" ht="12"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row>
    <row r="293" spans="1:44" ht="12"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row>
    <row r="294" spans="1:44" ht="12"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row>
    <row r="295" spans="1:44" ht="12"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row>
    <row r="296" spans="1:44" ht="12"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row>
    <row r="297" spans="1:44" ht="12"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row>
    <row r="298" spans="1:44" ht="12"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row>
    <row r="299" spans="1:44" ht="12"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row>
    <row r="300" spans="1:44" ht="12"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row>
    <row r="301" spans="1:44" ht="12"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row>
    <row r="302" spans="1:44" ht="12"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row>
    <row r="303" spans="1:44" ht="12"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row>
    <row r="304" spans="1:44" ht="12"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row>
    <row r="305" spans="1:44" ht="12"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row>
    <row r="306" spans="1:44" ht="12"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row>
    <row r="307" spans="1:44" ht="12"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row>
    <row r="308" spans="1:44" ht="12"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row>
    <row r="309" spans="1:44" ht="12"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row>
    <row r="310" spans="1:44" ht="12"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row>
    <row r="311" spans="1:44" ht="12"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row>
    <row r="312" spans="1:44" ht="12"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row>
    <row r="313" spans="1:44" ht="12"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row>
    <row r="314" spans="1:44" ht="12"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row>
    <row r="315" spans="1:44" ht="12"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row>
    <row r="316" spans="1:44" ht="12"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row>
    <row r="317" spans="1:44" ht="12"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row>
    <row r="318" spans="1:44" ht="12"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row>
    <row r="319" spans="1:44" ht="12"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row>
    <row r="320" spans="1:44" ht="12"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row>
    <row r="321" spans="1:44" ht="12"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row>
    <row r="322" spans="1:44" ht="12"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row>
    <row r="323" spans="1:44" ht="12"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row>
    <row r="324" spans="1:44" ht="12"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row>
    <row r="325" spans="1:44" ht="12"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row>
    <row r="326" spans="1:44" ht="12"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row>
    <row r="327" spans="1:44" ht="12"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row>
    <row r="328" spans="1:44" ht="12"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row>
    <row r="329" spans="1:44" ht="12"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row>
    <row r="330" spans="1:44" ht="12"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row>
    <row r="331" spans="1:44" ht="12"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row>
    <row r="332" spans="1:44" ht="12"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row>
    <row r="333" spans="1:44" ht="12"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row>
    <row r="334" spans="1:44" ht="12"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row>
    <row r="335" spans="1:44" ht="12"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row>
    <row r="336" spans="1:44" ht="12"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row>
    <row r="337" spans="1:44" ht="12"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row>
    <row r="338" spans="1:44" ht="12"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row>
    <row r="339" spans="1:44" ht="12"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row>
    <row r="340" spans="1:44" ht="12"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row>
    <row r="341" spans="1:44" ht="12"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row>
    <row r="342" spans="1:44" ht="12"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row>
    <row r="343" spans="1:44" ht="12"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row>
    <row r="344" spans="1:44" ht="12"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row>
    <row r="345" spans="1:44" ht="12"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row>
    <row r="346" spans="1:44" ht="12"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row>
    <row r="347" spans="1:44" ht="12"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row>
    <row r="348" spans="1:44" ht="12"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row>
    <row r="349" spans="1:44" ht="12"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row>
    <row r="350" spans="1:44" ht="12"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row>
    <row r="351" spans="1:44" ht="12"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row>
    <row r="352" spans="1:44" ht="12"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row>
    <row r="353" spans="1:44" ht="12"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row>
    <row r="354" spans="1:44" ht="12"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row>
    <row r="355" spans="1:44" ht="12"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row>
    <row r="356" spans="1:44" ht="12"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row>
    <row r="357" spans="1:44" ht="12"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row>
    <row r="358" spans="1:44" ht="12"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row>
    <row r="359" spans="1:44" ht="12"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row>
    <row r="360" spans="1:44" ht="12"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row>
    <row r="361" spans="1:44" ht="12"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row>
    <row r="362" spans="1:44" ht="12"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row>
    <row r="363" spans="1:44" ht="12"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row>
    <row r="364" spans="1:44" ht="12"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row>
    <row r="365" spans="1:44" ht="12"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row>
    <row r="366" spans="1:44" ht="12"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row>
    <row r="367" spans="1:44" ht="12"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row>
    <row r="368" spans="1:44" ht="12"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row>
    <row r="369" spans="1:44" ht="12"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row>
    <row r="370" spans="1:44" ht="12"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row>
    <row r="371" spans="1:44" ht="12"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row>
    <row r="372" spans="1:44" ht="12"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row>
    <row r="373" spans="1:44" ht="12"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row>
    <row r="374" spans="1:44" ht="12"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row>
    <row r="375" spans="1:44" ht="12"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row>
    <row r="376" spans="1:44" ht="12"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row>
    <row r="377" spans="1:44" ht="12"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row>
    <row r="378" spans="1:44" ht="12"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row>
    <row r="379" spans="1:44" ht="12"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row>
    <row r="380" spans="1:44" ht="12"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row>
    <row r="381" spans="1:44" ht="12"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row>
    <row r="382" spans="1:44" ht="12"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row>
    <row r="383" spans="1:44" ht="12"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row>
    <row r="384" spans="1:44" ht="12"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row>
    <row r="385" spans="1:44" ht="12"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row>
    <row r="386" spans="1:44" ht="12"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row>
    <row r="387" spans="1:44" ht="12"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row>
    <row r="388" spans="1:44" ht="12"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row>
    <row r="389" spans="1:44" ht="12"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row>
    <row r="390" spans="1:44" ht="12"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row>
    <row r="391" spans="1:44" ht="12"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row>
    <row r="392" spans="1:44" ht="12"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row>
    <row r="393" spans="1:44" ht="12"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row>
    <row r="394" spans="1:44" ht="12"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row>
    <row r="395" spans="1:44" ht="12"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row>
    <row r="396" spans="1:44" ht="12"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row>
    <row r="397" spans="1:44" ht="12"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row>
    <row r="398" spans="1:44" ht="12"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row>
    <row r="399" spans="1:44" ht="12"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row>
    <row r="400" spans="1:44" ht="12"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row>
    <row r="401" spans="1:44" ht="12"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row>
    <row r="402" spans="1:44" ht="12"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row>
    <row r="403" spans="1:44" ht="12"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row>
    <row r="404" spans="1:44" ht="12"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row>
    <row r="405" spans="1:44" ht="12"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row>
    <row r="406" spans="1:44" ht="12"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row>
    <row r="407" spans="1:44" ht="12"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row>
    <row r="408" spans="1:44" ht="12"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row>
    <row r="409" spans="1:44" ht="12"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row>
    <row r="410" spans="1:44" ht="12"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row>
    <row r="411" spans="1:44" ht="12"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row>
    <row r="412" spans="1:44" ht="12"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row>
    <row r="413" spans="1:44" ht="12"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row>
    <row r="414" spans="1:44" ht="12"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row>
    <row r="415" spans="1:44" ht="12"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row>
    <row r="416" spans="1:44" ht="12"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row>
    <row r="417" spans="1:44" ht="12"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row>
    <row r="418" spans="1:44" ht="12"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row>
    <row r="419" spans="1:44" ht="12"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row>
    <row r="420" spans="1:44" ht="12"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row>
    <row r="421" spans="1:44" ht="12"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row>
    <row r="422" spans="1:44" ht="12"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row>
    <row r="423" spans="1:44" ht="12"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row>
    <row r="424" spans="1:44" ht="12"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row>
    <row r="425" spans="1:44" ht="12"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row>
    <row r="426" spans="1:44" ht="12"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row>
    <row r="427" spans="1:44" ht="12"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row>
    <row r="428" spans="1:44" ht="12"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row>
    <row r="429" spans="1:44" ht="12"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row>
    <row r="430" spans="1:44" ht="12"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row>
    <row r="431" spans="1:44" ht="12"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row>
    <row r="432" spans="1:44" ht="12"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row>
    <row r="433" spans="1:44" ht="12"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row>
    <row r="434" spans="1:44" ht="12"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row>
    <row r="435" spans="1:44" ht="12"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row>
    <row r="436" spans="1:44" ht="12"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row>
    <row r="437" spans="1:44" ht="12"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row>
    <row r="438" spans="1:44" ht="12"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row>
    <row r="439" spans="1:44" ht="12"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row>
    <row r="440" spans="1:44" ht="12"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row>
    <row r="441" spans="1:44" ht="12"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row>
    <row r="442" spans="1:44" ht="12"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row>
    <row r="443" spans="1:44" ht="12"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row>
    <row r="444" spans="1:44" ht="12"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row>
    <row r="445" spans="1:44" ht="12"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row>
    <row r="446" spans="1:44" ht="12"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row>
    <row r="447" spans="1:44" ht="12"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row>
    <row r="448" spans="1:44" ht="12"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row>
    <row r="449" spans="1:44" ht="12"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row>
    <row r="450" spans="1:44" ht="12"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row>
    <row r="451" spans="1:44" ht="12"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row>
    <row r="452" spans="1:44" ht="12"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row>
    <row r="453" spans="1:44" ht="12"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row>
    <row r="454" spans="1:44" ht="12"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row>
    <row r="455" spans="1:44" ht="12"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row>
    <row r="456" spans="1:44" ht="12"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row>
    <row r="457" spans="1:44" ht="12"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row>
    <row r="458" spans="1:44" ht="12"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row>
    <row r="459" spans="1:44" ht="12"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row>
    <row r="460" spans="1:44" ht="12"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row>
    <row r="461" spans="1:44" ht="12"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row>
    <row r="462" spans="1:44" ht="12"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row>
    <row r="463" spans="1:44" ht="12"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row>
    <row r="464" spans="1:44" ht="12"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row>
    <row r="465" spans="1:44" ht="12"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row>
    <row r="466" spans="1:44" ht="12"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row>
    <row r="467" spans="1:44" ht="12"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row>
    <row r="468" spans="1:44" ht="12"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row>
    <row r="469" spans="1:44" ht="12"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row>
    <row r="470" spans="1:44" ht="12"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row>
    <row r="471" spans="1:44" ht="12"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row>
    <row r="472" spans="1:44" ht="12"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row>
    <row r="473" spans="1:44" ht="12"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row>
    <row r="474" spans="1:44" ht="12"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row>
    <row r="475" spans="1:44" ht="12"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row>
    <row r="476" spans="1:44" ht="12"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row>
    <row r="477" spans="1:44" ht="12"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row>
    <row r="478" spans="1:44" ht="12"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row>
    <row r="479" spans="1:44" ht="12"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row>
    <row r="480" spans="1:44" ht="12"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row>
    <row r="481" spans="1:44" ht="12"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row>
    <row r="482" spans="1:44" ht="12"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row>
    <row r="483" spans="1:44" ht="12"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row>
    <row r="484" spans="1:44" ht="12"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row>
    <row r="485" spans="1:44" ht="12"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row>
    <row r="486" spans="1:44" ht="12"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row>
    <row r="487" spans="1:44" ht="12"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row>
    <row r="488" spans="1:44" ht="12"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row>
    <row r="489" spans="1:44" ht="12"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row>
    <row r="490" spans="1:44" ht="12"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row>
    <row r="491" spans="1:44" ht="12"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row>
    <row r="492" spans="1:44" ht="12"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row>
    <row r="493" spans="1:44" ht="12"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row>
    <row r="494" spans="1:44" ht="12"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row>
    <row r="495" spans="1:44" ht="12"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row>
    <row r="496" spans="1:44" ht="12"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row>
    <row r="497" spans="1:44" ht="12"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row>
    <row r="498" spans="1:44" ht="12"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row>
    <row r="499" spans="1:44" ht="12"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row>
    <row r="500" spans="1:44" ht="12"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row>
    <row r="501" spans="1:44" ht="12"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row>
    <row r="502" spans="1:44" ht="12"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row>
    <row r="503" spans="1:44" ht="12"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row>
    <row r="504" spans="1:44" ht="12"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row>
    <row r="505" spans="1:44" ht="12"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row>
    <row r="506" spans="1:44" ht="12"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row>
    <row r="507" spans="1:44" ht="12"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row>
    <row r="508" spans="1:44" ht="12"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row>
    <row r="509" spans="1:44" ht="12"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row>
    <row r="510" spans="1:44" ht="12"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row>
    <row r="511" spans="1:44" ht="12"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row>
    <row r="512" spans="1:44" ht="12"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row>
    <row r="513" spans="1:44" ht="12"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row>
    <row r="514" spans="1:44" ht="12"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row>
    <row r="515" spans="1:44" ht="12"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row>
    <row r="516" spans="1:44" ht="12"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row>
    <row r="517" spans="1:44" ht="12"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row>
    <row r="518" spans="1:44" ht="12"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row>
    <row r="519" spans="1:44" ht="12"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row>
    <row r="520" spans="1:44" ht="12"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row>
    <row r="521" spans="1:44" ht="12"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row>
    <row r="522" spans="1:44" ht="12"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row>
    <row r="523" spans="1:44" ht="12"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row>
    <row r="524" spans="1:44" ht="12"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row>
    <row r="525" spans="1:44" ht="12"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row>
    <row r="526" spans="1:44" ht="12"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row>
    <row r="527" spans="1:44" ht="12"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row>
    <row r="528" spans="1:44" ht="12"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row>
    <row r="529" spans="1:44" ht="12"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row>
    <row r="530" spans="1:44" ht="12"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row>
    <row r="531" spans="1:44" ht="12"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row>
    <row r="532" spans="1:44" ht="12"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row>
    <row r="533" spans="1:44" ht="12"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row>
    <row r="534" spans="1:44" ht="12"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row>
    <row r="535" spans="1:44" ht="12"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row>
    <row r="536" spans="1:44" ht="12"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row>
    <row r="537" spans="1:44" ht="12"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row>
    <row r="538" spans="1:44" ht="12"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row>
    <row r="539" spans="1:44" ht="12"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row>
    <row r="540" spans="1:44" ht="12"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row>
    <row r="541" spans="1:44" ht="12"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row>
    <row r="542" spans="1:44" ht="12"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row>
    <row r="543" spans="1:44" ht="12"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row>
    <row r="544" spans="1:44" ht="12"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row>
    <row r="545" spans="1:44" ht="12"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row>
    <row r="546" spans="1:44" ht="12"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row>
    <row r="547" spans="1:44" ht="12"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row>
    <row r="548" spans="1:44" ht="12"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row>
    <row r="549" spans="1:44" ht="12"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row>
    <row r="550" spans="1:44" ht="12"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row>
    <row r="551" spans="1:44" ht="12"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row>
    <row r="552" spans="1:44" ht="12"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row>
    <row r="553" spans="1:44" ht="12"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row>
    <row r="554" spans="1:44" ht="12"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row>
    <row r="555" spans="1:44" ht="12"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row>
    <row r="556" spans="1:44" ht="12"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row>
    <row r="557" spans="1:44" ht="12"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row>
    <row r="558" spans="1:44" ht="12"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row>
    <row r="559" spans="1:44" ht="12"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row>
    <row r="560" spans="1:44" ht="12"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row>
    <row r="561" spans="1:44" ht="12"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row>
    <row r="562" spans="1:44" ht="12"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row>
    <row r="563" spans="1:44" ht="12"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row>
    <row r="564" spans="1:44" ht="12"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row>
    <row r="565" spans="1:44" ht="12"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row>
    <row r="566" spans="1:44" ht="12"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row>
    <row r="567" spans="1:44" ht="12"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row>
    <row r="568" spans="1:44" ht="12"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row>
    <row r="569" spans="1:44" ht="12"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row>
    <row r="570" spans="1:44" ht="12"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row>
    <row r="571" spans="1:44" ht="12"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row>
    <row r="572" spans="1:44" ht="12"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row>
    <row r="573" spans="1:44" ht="12"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row>
    <row r="574" spans="1:44" ht="12"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row>
    <row r="575" spans="1:44" ht="12"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row>
    <row r="576" spans="1:44" ht="12"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row>
    <row r="577" spans="1:44" ht="12"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row>
    <row r="578" spans="1:44" ht="12"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row>
    <row r="579" spans="1:44" ht="12"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row>
    <row r="580" spans="1:44" ht="12"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row>
    <row r="581" spans="1:44" ht="12"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row>
    <row r="582" spans="1:44" ht="12"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row>
    <row r="583" spans="1:44" ht="12"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row>
    <row r="584" spans="1:44" ht="12"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row>
    <row r="585" spans="1:44" ht="12"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row>
    <row r="586" spans="1:44" ht="12"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row>
    <row r="587" spans="1:44" ht="12"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row>
    <row r="588" spans="1:44" ht="12"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row>
    <row r="589" spans="1:44" ht="12"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row>
    <row r="590" spans="1:44" ht="12"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row>
    <row r="591" spans="1:44" ht="12"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row>
    <row r="592" spans="1:44" ht="12"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row>
    <row r="593" spans="1:44" ht="12"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row>
    <row r="594" spans="1:44" ht="12"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row>
    <row r="595" spans="1:44" ht="12"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row>
    <row r="596" spans="1:44" ht="12"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row>
    <row r="597" spans="1:44" ht="12"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row>
    <row r="598" spans="1:44" ht="12"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row>
    <row r="599" spans="1:44" ht="12"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row>
    <row r="600" spans="1:44" ht="12"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row>
    <row r="601" spans="1:44" ht="12"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row>
    <row r="602" spans="1:44" ht="12"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row>
    <row r="603" spans="1:44" ht="12"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row>
    <row r="604" spans="1:44" ht="12"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row>
    <row r="605" spans="1:44" ht="12"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row>
    <row r="606" spans="1:44" ht="12"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row>
    <row r="607" spans="1:44" ht="12"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row>
    <row r="608" spans="1:44" ht="12"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row>
    <row r="609" spans="1:44" ht="12"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row>
    <row r="610" spans="1:44" ht="12"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row>
    <row r="611" spans="1:44" ht="12"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row>
    <row r="612" spans="1:44" ht="12"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row>
    <row r="613" spans="1:44" ht="12"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row>
    <row r="614" spans="1:44" ht="12"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row>
    <row r="615" spans="1:44" ht="12"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row>
    <row r="616" spans="1:44" ht="12"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row>
    <row r="617" spans="1:44" ht="12"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row>
    <row r="618" spans="1:44" ht="12"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row>
    <row r="619" spans="1:44" ht="12"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row>
    <row r="620" spans="1:44" ht="12"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row>
    <row r="621" spans="1:44" ht="12"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row>
    <row r="622" spans="1:44" ht="12"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row>
    <row r="623" spans="1:44" ht="12"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row>
    <row r="624" spans="1:44" ht="12"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row>
    <row r="625" spans="1:44" ht="12"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row>
    <row r="626" spans="1:44" ht="12"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row>
    <row r="627" spans="1:44" ht="12"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row>
    <row r="628" spans="1:44" ht="12"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row>
    <row r="629" spans="1:44" ht="12"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row>
    <row r="630" spans="1:44" ht="12"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row>
    <row r="631" spans="1:44" ht="12"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row>
    <row r="632" spans="1:44" ht="12"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row>
    <row r="633" spans="1:44" ht="12"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row>
    <row r="634" spans="1:44" ht="12"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row>
    <row r="635" spans="1:44" ht="12"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row>
    <row r="636" spans="1:44" ht="12"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row>
    <row r="637" spans="1:44" ht="12"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row>
    <row r="638" spans="1:44" ht="12"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row>
    <row r="639" spans="1:44" ht="12"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row>
    <row r="640" spans="1:44" ht="12"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row>
    <row r="641" spans="1:44" ht="12"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row>
    <row r="642" spans="1:44" ht="12"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row>
    <row r="643" spans="1:44" ht="12"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row>
    <row r="644" spans="1:44" ht="12"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row>
    <row r="645" spans="1:44" ht="12"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row>
    <row r="646" spans="1:44" ht="12"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row>
    <row r="647" spans="1:44" ht="12"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row>
    <row r="648" spans="1:44" ht="12"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row>
    <row r="649" spans="1:44" ht="12"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row>
    <row r="650" spans="1:44" ht="12"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row>
    <row r="651" spans="1:44" ht="12"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row>
    <row r="652" spans="1:44" ht="12"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row>
    <row r="653" spans="1:44" ht="12"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row>
    <row r="654" spans="1:44" ht="12"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row>
    <row r="655" spans="1:44" ht="12"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row>
    <row r="656" spans="1:44" ht="12"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row>
    <row r="657" spans="1:44" ht="12"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row>
    <row r="658" spans="1:44" ht="12"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row>
    <row r="659" spans="1:44" ht="12"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row>
    <row r="660" spans="1:44" ht="12"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row>
    <row r="661" spans="1:44" ht="12"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row>
    <row r="662" spans="1:44" ht="12"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row>
    <row r="663" spans="1:44" ht="12"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row>
    <row r="664" spans="1:44" ht="12"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row>
    <row r="665" spans="1:44" ht="12"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row>
    <row r="666" spans="1:44" ht="12"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row>
    <row r="667" spans="1:44" ht="12"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row>
    <row r="668" spans="1:44" ht="12"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row>
    <row r="669" spans="1:44" ht="12"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row>
    <row r="670" spans="1:44" ht="12"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row>
    <row r="671" spans="1:44" ht="12"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row>
    <row r="672" spans="1:44" ht="12"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row>
    <row r="673" spans="1:44" ht="12"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row>
    <row r="674" spans="1:44" ht="12"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row>
    <row r="675" spans="1:44" ht="12"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row>
    <row r="676" spans="1:44" ht="12"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row>
    <row r="677" spans="1:44" ht="12"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row>
    <row r="678" spans="1:44" ht="12"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row>
    <row r="679" spans="1:44" ht="12"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row>
    <row r="680" spans="1:44" ht="12"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row>
    <row r="681" spans="1:44" ht="12"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row>
    <row r="682" spans="1:44" ht="12"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row>
    <row r="683" spans="1:44" ht="12"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row>
    <row r="684" spans="1:44" ht="12"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row>
    <row r="685" spans="1:44" ht="12"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row>
    <row r="686" spans="1:44" ht="12"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row>
    <row r="687" spans="1:44" ht="12"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row>
    <row r="688" spans="1:44" ht="12"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row>
    <row r="689" spans="1:44" ht="12"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row>
    <row r="690" spans="1:44" ht="12"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row>
    <row r="691" spans="1:44" ht="12"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row>
    <row r="692" spans="1:44" ht="12"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row>
    <row r="693" spans="1:44" ht="12"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row>
    <row r="694" spans="1:44" ht="12"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row>
    <row r="695" spans="1:44" ht="12"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row>
    <row r="696" spans="1:44" ht="12"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row>
    <row r="697" spans="1:44" ht="12"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row>
    <row r="698" spans="1:44" ht="12"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row>
    <row r="699" spans="1:44" ht="12"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row>
    <row r="700" spans="1:44" ht="12"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row>
    <row r="701" spans="1:44" ht="12"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row>
    <row r="702" spans="1:44" ht="12"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row>
    <row r="703" spans="1:44" ht="12"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row>
    <row r="704" spans="1:44" ht="12"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row>
    <row r="705" spans="1:44" ht="12"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row>
    <row r="706" spans="1:44" ht="12"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row>
    <row r="707" spans="1:44" ht="12"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row>
    <row r="708" spans="1:44" ht="12"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row>
    <row r="709" spans="1:44" ht="12"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row>
    <row r="710" spans="1:44" ht="12"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row>
    <row r="711" spans="1:44" ht="12"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row>
    <row r="712" spans="1:44" ht="12"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row>
    <row r="713" spans="1:44" ht="12"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row>
    <row r="714" spans="1:44" ht="12"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row>
    <row r="715" spans="1:44" ht="12"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row>
    <row r="716" spans="1:44" ht="12"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row>
    <row r="717" spans="1:44" ht="12"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row>
    <row r="718" spans="1:44" ht="12"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row>
    <row r="719" spans="1:44" ht="12"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row>
    <row r="720" spans="1:44" ht="12"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row>
    <row r="721" spans="1:44" ht="12"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row>
    <row r="722" spans="1:44" ht="12"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row>
    <row r="723" spans="1:44" ht="12"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row>
    <row r="724" spans="1:44" ht="12"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row>
    <row r="725" spans="1:44" ht="12"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row>
    <row r="726" spans="1:44" ht="12"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row>
    <row r="727" spans="1:44" ht="12"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row>
    <row r="728" spans="1:44" ht="12"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row>
    <row r="729" spans="1:44" ht="12"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row>
    <row r="730" spans="1:44" ht="12"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row>
    <row r="731" spans="1:44" ht="12"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row>
    <row r="732" spans="1:44" ht="12"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row>
    <row r="733" spans="1:44" ht="12"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row>
    <row r="734" spans="1:44" ht="12"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row>
    <row r="735" spans="1:44" ht="12"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row>
    <row r="736" spans="1:44" ht="12"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row>
    <row r="737" spans="1:44" ht="12"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row>
    <row r="738" spans="1:44" ht="12"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row>
    <row r="739" spans="1:44" ht="12"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row>
    <row r="740" spans="1:44" ht="12"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row>
    <row r="741" spans="1:44" ht="12"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row>
    <row r="742" spans="1:44" ht="12"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row>
    <row r="743" spans="1:44" ht="12"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row>
    <row r="744" spans="1:44" ht="12"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row>
    <row r="745" spans="1:44" ht="12"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row>
    <row r="746" spans="1:44" ht="12"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row>
    <row r="747" spans="1:44" ht="12"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row>
    <row r="748" spans="1:44" ht="12"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row>
    <row r="749" spans="1:44" ht="12"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row>
    <row r="750" spans="1:44" ht="12"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row>
    <row r="751" spans="1:44" ht="12"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row>
    <row r="752" spans="1:44" ht="12"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row>
    <row r="753" spans="1:44" ht="12"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row>
    <row r="754" spans="1:44" ht="12"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row>
    <row r="755" spans="1:44" ht="12"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row>
    <row r="756" spans="1:44" ht="12"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row>
    <row r="757" spans="1:44" ht="12"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row>
    <row r="758" spans="1:44" ht="12"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row>
    <row r="759" spans="1:44" ht="12"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row>
    <row r="760" spans="1:44" ht="12"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row>
    <row r="761" spans="1:44" ht="12"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row>
    <row r="762" spans="1:44" ht="12"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row>
    <row r="763" spans="1:44" ht="12"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row>
    <row r="764" spans="1:44" ht="12"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row>
    <row r="765" spans="1:44" ht="12"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row>
    <row r="766" spans="1:44" ht="12"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row>
    <row r="767" spans="1:44" ht="12"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row>
    <row r="768" spans="1:44" ht="12"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row>
    <row r="769" spans="1:44" ht="12"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row>
    <row r="770" spans="1:44" ht="12"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row>
    <row r="771" spans="1:44" ht="12"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row>
    <row r="772" spans="1:44" ht="12"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row>
    <row r="773" spans="1:44" ht="12"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row>
    <row r="774" spans="1:44" ht="12"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row>
    <row r="775" spans="1:44" ht="12"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row>
    <row r="776" spans="1:44" ht="12"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row>
    <row r="777" spans="1:44" ht="12"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row>
    <row r="778" spans="1:44" ht="12"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row>
    <row r="779" spans="1:44" ht="12"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row>
    <row r="780" spans="1:44" ht="12"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row>
    <row r="781" spans="1:44" ht="12"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row>
    <row r="782" spans="1:44" ht="12"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row>
    <row r="783" spans="1:44" ht="12"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row>
    <row r="784" spans="1:44" ht="12"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row>
    <row r="785" spans="1:44" ht="12"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row>
    <row r="786" spans="1:44" ht="12"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row>
    <row r="787" spans="1:44" ht="12"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row>
    <row r="788" spans="1:44" ht="12"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row>
    <row r="789" spans="1:44" ht="12"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row>
    <row r="790" spans="1:44" ht="12"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row>
    <row r="791" spans="1:44" ht="12"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row>
    <row r="792" spans="1:44" ht="12"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row>
    <row r="793" spans="1:44" ht="12"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row>
    <row r="794" spans="1:44" ht="12"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row>
    <row r="795" spans="1:44" ht="12"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row>
    <row r="796" spans="1:44" ht="12"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row>
    <row r="797" spans="1:44" ht="12"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row>
    <row r="798" spans="1:44" ht="12"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row>
    <row r="799" spans="1:44" ht="12"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row>
    <row r="800" spans="1:44" ht="12"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row>
    <row r="801" spans="1:44" ht="12"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row>
    <row r="802" spans="1:44" ht="12"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row>
    <row r="803" spans="1:44" ht="12"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row>
    <row r="804" spans="1:44" ht="12"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row>
    <row r="805" spans="1:44" ht="12"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row>
    <row r="806" spans="1:44" ht="12"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row>
    <row r="807" spans="1:44" ht="12"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row>
    <row r="808" spans="1:44" ht="12"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row>
    <row r="809" spans="1:44" ht="12"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row>
    <row r="810" spans="1:44" ht="12"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row>
    <row r="811" spans="1:44" ht="12"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row>
    <row r="812" spans="1:44" ht="12"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row>
    <row r="813" spans="1:44" ht="12"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row>
    <row r="814" spans="1:44" ht="12"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row>
    <row r="815" spans="1:44" ht="12"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row>
    <row r="816" spans="1:44" ht="12"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row>
    <row r="817" spans="1:44" ht="12"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row>
    <row r="818" spans="1:44" ht="12"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row>
    <row r="819" spans="1:44" ht="12"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row>
    <row r="820" spans="1:44" ht="12"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row>
    <row r="821" spans="1:44" ht="12"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row>
    <row r="822" spans="1:44" ht="12"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row>
    <row r="823" spans="1:44" ht="12"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row>
    <row r="824" spans="1:44" ht="12"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row>
    <row r="825" spans="1:44" ht="12"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row>
    <row r="826" spans="1:44" ht="12"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row>
    <row r="827" spans="1:44" ht="12"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row>
    <row r="828" spans="1:44" ht="12"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row>
    <row r="829" spans="1:44" ht="12"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row>
    <row r="830" spans="1:44" ht="12"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row>
    <row r="831" spans="1:44" ht="12"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row>
    <row r="832" spans="1:44" ht="12"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row>
    <row r="833" spans="1:44" ht="12"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row>
    <row r="834" spans="1:44" ht="12"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row>
    <row r="835" spans="1:44" ht="12"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row>
    <row r="836" spans="1:44" ht="12"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row>
    <row r="837" spans="1:44" ht="12"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row>
    <row r="838" spans="1:44" ht="12"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row>
    <row r="839" spans="1:44" ht="12"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row>
    <row r="840" spans="1:44" ht="12"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row>
    <row r="841" spans="1:44" ht="12"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row>
    <row r="842" spans="1:44" ht="12"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row>
    <row r="843" spans="1:44" ht="12"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row>
    <row r="844" spans="1:44" ht="12"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row>
    <row r="845" spans="1:44" ht="12"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row>
    <row r="846" spans="1:44" ht="12"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row>
    <row r="847" spans="1:44" ht="12"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row>
    <row r="848" spans="1:44" ht="12"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row>
    <row r="849" spans="1:44" ht="12"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row>
    <row r="850" spans="1:44" ht="12"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row>
    <row r="851" spans="1:44" ht="12"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row>
    <row r="852" spans="1:44" ht="12"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row>
    <row r="853" spans="1:44" ht="12"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row>
    <row r="854" spans="1:44" ht="12"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row>
    <row r="855" spans="1:44" ht="12"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row>
    <row r="856" spans="1:44" ht="12"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row>
    <row r="857" spans="1:44" ht="12"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row>
    <row r="858" spans="1:44" ht="12"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row>
    <row r="859" spans="1:44" ht="12"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row>
    <row r="860" spans="1:44" ht="12"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row>
    <row r="861" spans="1:44" ht="12"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row>
    <row r="862" spans="1:44" ht="12"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row>
    <row r="863" spans="1:44" ht="12"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row>
    <row r="864" spans="1:44" ht="12"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row>
    <row r="865" spans="1:44" ht="12"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row>
    <row r="866" spans="1:44" ht="12"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row>
    <row r="867" spans="1:44" ht="12"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row>
    <row r="868" spans="1:44" ht="12"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row>
    <row r="869" spans="1:44" ht="12"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row>
    <row r="870" spans="1:44" ht="12"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row>
    <row r="871" spans="1:44" ht="12"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row>
    <row r="872" spans="1:44" ht="12"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row>
    <row r="873" spans="1:44" ht="12"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row>
    <row r="874" spans="1:44" ht="12"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row>
    <row r="875" spans="1:44" ht="12"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row>
    <row r="876" spans="1:44" ht="12"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row>
    <row r="877" spans="1:44" ht="12"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row>
    <row r="878" spans="1:44" ht="12"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row>
    <row r="879" spans="1:44" ht="12"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row>
    <row r="880" spans="1:44" ht="12"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row>
    <row r="881" spans="1:44" ht="12"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row>
    <row r="882" spans="1:44" ht="12"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row>
    <row r="883" spans="1:44" ht="12"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row>
    <row r="884" spans="1:44" ht="12"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row>
    <row r="885" spans="1:44" ht="12"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row>
    <row r="886" spans="1:44" ht="12"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row>
    <row r="887" spans="1:44" ht="12"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row>
    <row r="888" spans="1:44" ht="12"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row>
    <row r="889" spans="1:44" ht="12"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row>
    <row r="890" spans="1:44" ht="12"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row>
    <row r="891" spans="1:44" ht="12"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row>
    <row r="892" spans="1:44" ht="12"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row>
    <row r="893" spans="1:44" ht="12"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row>
    <row r="894" spans="1:44" ht="12"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row>
    <row r="895" spans="1:44" ht="12"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row>
    <row r="896" spans="1:44" ht="12"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row>
    <row r="897" spans="1:44" ht="12"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row>
    <row r="898" spans="1:44" ht="12"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row>
    <row r="899" spans="1:44" ht="12"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row>
    <row r="900" spans="1:44" ht="12"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row>
    <row r="901" spans="1:44" ht="12"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row>
    <row r="902" spans="1:44" ht="12"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row>
    <row r="903" spans="1:44" ht="12"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row>
    <row r="904" spans="1:44" ht="12"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row>
    <row r="905" spans="1:44" ht="12"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row>
    <row r="906" spans="1:44" ht="12"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row>
    <row r="907" spans="1:44" ht="12"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row>
    <row r="908" spans="1:44" ht="12"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row>
    <row r="909" spans="1:44" ht="12"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row>
    <row r="910" spans="1:44" ht="12"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row>
    <row r="911" spans="1:44" ht="12"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row>
    <row r="912" spans="1:44" ht="12"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row>
    <row r="913" spans="1:44" ht="12"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row>
    <row r="914" spans="1:44" ht="12"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row>
    <row r="915" spans="1:44" ht="12"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row>
    <row r="916" spans="1:44" ht="12"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row>
    <row r="917" spans="1:44" ht="12"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row>
    <row r="918" spans="1:44" ht="12"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row>
    <row r="919" spans="1:44" ht="12"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row>
    <row r="920" spans="1:44" ht="12"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row>
    <row r="921" spans="1:44" ht="12"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row>
    <row r="922" spans="1:44" ht="12"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row>
    <row r="923" spans="1:44" ht="12"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row>
    <row r="924" spans="1:44" ht="12"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row>
    <row r="925" spans="1:44" ht="12"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row>
    <row r="926" spans="1:44" ht="12"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row>
    <row r="927" spans="1:44" ht="12"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row>
    <row r="928" spans="1:44" ht="12"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row>
    <row r="929" spans="1:44" ht="12"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row>
    <row r="930" spans="1:44" ht="12"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row>
    <row r="931" spans="1:44" ht="12"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row>
    <row r="932" spans="1:44" ht="12"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row>
    <row r="933" spans="1:44" ht="12"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row>
    <row r="934" spans="1:44" ht="12"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row>
    <row r="935" spans="1:44" ht="12"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row>
    <row r="936" spans="1:44" ht="12"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row>
    <row r="937" spans="1:44" ht="12"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row>
    <row r="938" spans="1:44" ht="12"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row>
    <row r="939" spans="1:44" ht="12"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row>
    <row r="940" spans="1:44" ht="12"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row>
    <row r="941" spans="1:44" ht="12"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row>
    <row r="942" spans="1:44" ht="12"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row>
    <row r="943" spans="1:44" ht="12"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row>
    <row r="944" spans="1:44" ht="12"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row>
    <row r="945" spans="1:44" ht="12"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row>
    <row r="946" spans="1:44" ht="12"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row>
    <row r="947" spans="1:44" ht="12"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row>
    <row r="948" spans="1:44" ht="12"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row>
    <row r="949" spans="1:44" ht="12"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row>
    <row r="950" spans="1:44" ht="12"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row>
    <row r="951" spans="1:44" ht="12"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row>
    <row r="952" spans="1:44" ht="12"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row>
    <row r="953" spans="1:44" ht="12"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row>
    <row r="954" spans="1:44" ht="12"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row>
    <row r="955" spans="1:44" ht="12"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row>
    <row r="956" spans="1:44" ht="12"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row>
    <row r="957" spans="1:44" ht="12"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row>
    <row r="958" spans="1:44" ht="12"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row>
    <row r="959" spans="1:44" ht="12"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row>
    <row r="960" spans="1:44" ht="12"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row>
    <row r="961" spans="1:44" ht="12"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row>
    <row r="962" spans="1:44" ht="12"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row>
    <row r="963" spans="1:44" ht="12"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row>
    <row r="964" spans="1:44" ht="12"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row>
    <row r="965" spans="1:44" ht="12"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row>
    <row r="966" spans="1:44" ht="12"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row>
    <row r="967" spans="1:44" ht="12"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row>
    <row r="968" spans="1:44" ht="12"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row>
    <row r="969" spans="1:44" ht="12"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row>
    <row r="970" spans="1:44" ht="12"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row>
    <row r="971" spans="1:44" ht="12"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row>
    <row r="972" spans="1:44" ht="12"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row>
    <row r="973" spans="1:44" ht="12"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row>
    <row r="974" spans="1:44" ht="12"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row>
    <row r="975" spans="1:44" ht="12"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row>
    <row r="976" spans="1:44" ht="12"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row>
    <row r="977" spans="1:44" ht="12"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row>
    <row r="978" spans="1:44" ht="12"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row>
    <row r="979" spans="1:44" ht="12"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row>
    <row r="980" spans="1:44" ht="12"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row>
    <row r="981" spans="1:44" ht="12"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row>
    <row r="982" spans="1:44" ht="12"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row>
    <row r="983" spans="1:44" ht="12"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row>
    <row r="984" spans="1:44" ht="12"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row>
    <row r="985" spans="1:44" ht="12"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row>
    <row r="986" spans="1:44" ht="12"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row>
    <row r="987" spans="1:44" ht="12"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row>
    <row r="988" spans="1:44" ht="12"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row>
    <row r="989" spans="1:44" ht="12"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row>
    <row r="990" spans="1:44" ht="12"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row>
    <row r="991" spans="1:44" ht="12"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row>
    <row r="992" spans="1:44" ht="12"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row>
    <row r="993" spans="1:44" ht="12"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row>
    <row r="994" spans="1:44" ht="12"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row>
    <row r="995" spans="1:44" ht="12"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row>
    <row r="996" spans="1:44" ht="12"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row>
    <row r="997" spans="1:44" ht="12"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row>
    <row r="998" spans="1:44" ht="12"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row>
    <row r="999" spans="1:44" ht="12"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row>
    <row r="1000" spans="1:44" ht="12"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row>
  </sheetData>
  <conditionalFormatting sqref="G11:G202">
    <cfRule type="cellIs" dxfId="192" priority="1" operator="equal">
      <formula>"FALSE"</formula>
    </cfRule>
  </conditionalFormatting>
  <conditionalFormatting sqref="G11:G202">
    <cfRule type="cellIs" dxfId="191" priority="2" operator="notEqual">
      <formula>"FALSE"</formula>
    </cfRule>
  </conditionalFormatting>
  <conditionalFormatting sqref="G11:G202">
    <cfRule type="expression" dxfId="190" priority="3">
      <formula>IF(B11=0,TRUE,FALSE)</formula>
    </cfRule>
  </conditionalFormatting>
  <conditionalFormatting sqref="I11:I202">
    <cfRule type="expression" dxfId="189" priority="4">
      <formula>$AN11&gt;0</formula>
    </cfRule>
  </conditionalFormatting>
  <conditionalFormatting sqref="I11:I202">
    <cfRule type="expression" dxfId="188" priority="5">
      <formula>IF(OR(LEFT(J11,1)=" ",ISBLANK(J11)),TRUE,FALSE)</formula>
    </cfRule>
  </conditionalFormatting>
  <conditionalFormatting sqref="O11:O202">
    <cfRule type="expression" dxfId="187" priority="6">
      <formula>$AO11&gt;0</formula>
    </cfRule>
  </conditionalFormatting>
  <conditionalFormatting sqref="O11:O202">
    <cfRule type="expression" dxfId="186" priority="7">
      <formula>IF(OR(LEFT(P11,1)=" ",ISBLANK(P11)),TRUE,FALSE)</formula>
    </cfRule>
  </conditionalFormatting>
  <conditionalFormatting sqref="U11:U202">
    <cfRule type="expression" dxfId="185" priority="8">
      <formula>$AP11&gt;0</formula>
    </cfRule>
  </conditionalFormatting>
  <conditionalFormatting sqref="U11:U202">
    <cfRule type="expression" dxfId="184" priority="9">
      <formula>IF(OR(LEFT(V11,1)=" ",ISBLANK(V11)),TRUE,FALSE)</formula>
    </cfRule>
  </conditionalFormatting>
  <conditionalFormatting sqref="AA11:AA202 AG11:AG202">
    <cfRule type="expression" dxfId="183" priority="10">
      <formula>$AQ11&gt;0</formula>
    </cfRule>
  </conditionalFormatting>
  <conditionalFormatting sqref="AA11:AA202 AG11:AG202">
    <cfRule type="expression" dxfId="182" priority="11">
      <formula>IF(OR(LEFT(AB11,1)=" ",ISBLANK(AB11)),TRUE,FALSE)</formula>
    </cfRule>
  </conditionalFormatting>
  <conditionalFormatting sqref="J11:J202 P11:P202 V11:V202 AB11:AB202">
    <cfRule type="expression" dxfId="181" priority="12">
      <formula>IF(OR(LEFT(J11,1)=" ",ISBLANK(J11)),TRUE,FALSE)</formula>
    </cfRule>
  </conditionalFormatting>
  <pageMargins left="0.7" right="0.7" top="0.75" bottom="0.75" header="0" footer="0"/>
  <pageSetup orientation="landscape"/>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000"/>
  <sheetViews>
    <sheetView workbookViewId="0"/>
  </sheetViews>
  <sheetFormatPr defaultColWidth="14.375" defaultRowHeight="15" customHeight="1"/>
  <cols>
    <col min="1" max="1" width="8.125" customWidth="1"/>
    <col min="2" max="2" width="11" customWidth="1"/>
    <col min="3" max="4" width="8" customWidth="1"/>
    <col min="5" max="5" width="11.375" customWidth="1"/>
    <col min="6" max="26" width="8" customWidth="1"/>
  </cols>
  <sheetData>
    <row r="1" spans="1:9" ht="12" customHeight="1">
      <c r="A1" s="450" t="s">
        <v>1944</v>
      </c>
      <c r="B1" s="451"/>
      <c r="C1" s="451"/>
      <c r="D1" s="451"/>
      <c r="E1" s="451"/>
    </row>
    <row r="2" spans="1:9" ht="12" customHeight="1"/>
    <row r="3" spans="1:9" ht="30.75" customHeight="1">
      <c r="A3" s="460" t="s">
        <v>1945</v>
      </c>
      <c r="B3" s="453" t="s">
        <v>1946</v>
      </c>
      <c r="C3" s="461" t="s">
        <v>1947</v>
      </c>
      <c r="D3" s="462">
        <f>MAX(D4:D8)</f>
        <v>6</v>
      </c>
      <c r="E3" s="173" t="s">
        <v>1948</v>
      </c>
      <c r="F3" s="463">
        <f>Start.listina!$K$7</f>
        <v>45</v>
      </c>
      <c r="G3" s="463"/>
      <c r="I3" s="463"/>
    </row>
    <row r="4" spans="1:9" ht="12" customHeight="1">
      <c r="A4" s="6">
        <v>9</v>
      </c>
      <c r="B4" s="6">
        <v>16</v>
      </c>
      <c r="C4" s="6">
        <v>4</v>
      </c>
      <c r="D4" s="6">
        <f t="shared" ref="D4:D8" si="0">IF(AND($F$3&gt;=A4,$F$3&lt;=B4),C4,0)</f>
        <v>0</v>
      </c>
    </row>
    <row r="5" spans="1:9" ht="12" customHeight="1">
      <c r="A5" s="6">
        <v>17</v>
      </c>
      <c r="B5" s="6">
        <v>32</v>
      </c>
      <c r="C5" s="6">
        <v>5</v>
      </c>
      <c r="D5" s="6">
        <f t="shared" si="0"/>
        <v>0</v>
      </c>
    </row>
    <row r="6" spans="1:9" ht="12" customHeight="1">
      <c r="A6" s="6">
        <v>33</v>
      </c>
      <c r="B6" s="6">
        <v>64</v>
      </c>
      <c r="C6" s="6">
        <v>6</v>
      </c>
      <c r="D6" s="6">
        <f t="shared" si="0"/>
        <v>6</v>
      </c>
    </row>
    <row r="7" spans="1:9" ht="12" customHeight="1">
      <c r="A7" s="6">
        <v>65</v>
      </c>
      <c r="B7" s="6">
        <v>128</v>
      </c>
      <c r="C7" s="6">
        <v>7</v>
      </c>
      <c r="D7" s="6">
        <f t="shared" si="0"/>
        <v>0</v>
      </c>
    </row>
    <row r="8" spans="1:9" ht="12" customHeight="1">
      <c r="A8" s="6">
        <v>129</v>
      </c>
      <c r="B8" s="6">
        <v>256</v>
      </c>
      <c r="C8" s="6">
        <v>8</v>
      </c>
      <c r="D8" s="6">
        <f t="shared" si="0"/>
        <v>0</v>
      </c>
    </row>
    <row r="9" spans="1:9" ht="12" customHeight="1"/>
    <row r="10" spans="1:9" ht="12" customHeight="1"/>
    <row r="11" spans="1:9" ht="12" customHeight="1"/>
    <row r="12" spans="1:9" ht="12" customHeight="1"/>
    <row r="13" spans="1:9" ht="12" customHeight="1"/>
    <row r="14" spans="1:9" ht="12" customHeight="1"/>
    <row r="15" spans="1:9" ht="12" customHeight="1"/>
    <row r="16" spans="1:9"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conditionalFormatting sqref="D4:D8">
    <cfRule type="cellIs" dxfId="0" priority="1" operator="equal">
      <formula>0</formula>
    </cfRule>
  </conditionalFormatting>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028"/>
  <sheetViews>
    <sheetView workbookViewId="0">
      <pane ySplit="4" topLeftCell="A5" activePane="bottomLeft" state="frozen"/>
      <selection pane="bottomLeft" activeCell="B6" sqref="B6"/>
    </sheetView>
  </sheetViews>
  <sheetFormatPr defaultColWidth="14.375" defaultRowHeight="15" customHeight="1"/>
  <cols>
    <col min="1" max="1" width="8" customWidth="1"/>
    <col min="2" max="2" width="8.875" customWidth="1"/>
    <col min="3" max="3" width="14.375" customWidth="1"/>
    <col min="4" max="4" width="13.625" customWidth="1"/>
    <col min="5" max="5" width="25.375" customWidth="1"/>
    <col min="6" max="6" width="0.375" customWidth="1"/>
    <col min="7" max="7" width="10.875" customWidth="1"/>
    <col min="8" max="8" width="15.375" customWidth="1"/>
    <col min="9" max="9" width="10.375" customWidth="1"/>
    <col min="10" max="26" width="8" customWidth="1"/>
  </cols>
  <sheetData>
    <row r="1" spans="1:9" ht="29.25" customHeight="1">
      <c r="A1" s="71" t="s">
        <v>1949</v>
      </c>
      <c r="B1" s="72"/>
      <c r="C1" s="72"/>
      <c r="D1" s="464"/>
      <c r="E1" s="148"/>
      <c r="F1" s="69"/>
      <c r="G1" s="465" t="e">
        <f>'Kvalita turnaje'!#REF!</f>
        <v>#REF!</v>
      </c>
      <c r="H1" s="76" t="s">
        <v>1950</v>
      </c>
      <c r="I1" s="69"/>
    </row>
    <row r="2" spans="1:9" ht="27.75" customHeight="1">
      <c r="A2" s="466">
        <f>Start.listina!$K$2</f>
        <v>23014</v>
      </c>
      <c r="B2" s="467" t="str">
        <f>Start.listina!$K$4</f>
        <v>Prestige Litovel</v>
      </c>
      <c r="C2" s="28"/>
      <c r="D2" s="29"/>
      <c r="E2" s="84" t="str">
        <f>Start.listina!$K$3</f>
        <v>22.04.2023</v>
      </c>
      <c r="G2" s="468">
        <f>Start.listina!$K$7</f>
        <v>45</v>
      </c>
      <c r="H2" s="76" t="s">
        <v>1934</v>
      </c>
      <c r="I2" s="69"/>
    </row>
    <row r="3" spans="1:9" ht="21.75" customHeight="1">
      <c r="A3" s="69"/>
      <c r="B3" s="69"/>
      <c r="C3" s="69"/>
      <c r="D3" s="69"/>
      <c r="E3" s="69"/>
      <c r="F3" s="69"/>
      <c r="G3" s="69"/>
      <c r="H3" s="69"/>
      <c r="I3" s="69"/>
    </row>
    <row r="4" spans="1:9" ht="24.75" customHeight="1">
      <c r="A4" s="469" t="s">
        <v>1951</v>
      </c>
      <c r="B4" s="470" t="s">
        <v>1734</v>
      </c>
      <c r="C4" s="470" t="s">
        <v>1753</v>
      </c>
      <c r="D4" s="470" t="s">
        <v>1738</v>
      </c>
      <c r="E4" s="470" t="s">
        <v>1502</v>
      </c>
      <c r="F4" s="470"/>
      <c r="G4" s="470" t="s">
        <v>1740</v>
      </c>
      <c r="H4" s="470" t="s">
        <v>1741</v>
      </c>
      <c r="I4" s="471" t="s">
        <v>1742</v>
      </c>
    </row>
    <row r="5" spans="1:9" ht="12" customHeight="1">
      <c r="A5" s="17">
        <f ca="1">Start.listina!AH11</f>
        <v>1</v>
      </c>
      <c r="B5" s="17">
        <f>Start.listina!I11</f>
        <v>99532</v>
      </c>
      <c r="C5" s="141" t="str">
        <f>Start.listina!J11</f>
        <v>Michálek</v>
      </c>
      <c r="D5" s="17" t="str">
        <f>Start.listina!K11</f>
        <v>Ivo</v>
      </c>
      <c r="E5" s="17" t="str">
        <f>Start.listina!L11</f>
        <v>Carreau Brno</v>
      </c>
      <c r="F5" s="17"/>
      <c r="G5" s="142" t="e">
        <f ca="1">IF(N(A5)&gt;0,VLOOKUP(A5,Body!$A$4:$F$259,5,0),"")</f>
        <v>#REF!</v>
      </c>
      <c r="H5" s="69">
        <f ca="1">IF(N(A5)&gt;0,VLOOKUP(A5,Body!$A$4:$F$259,6,0),"")</f>
        <v>100</v>
      </c>
      <c r="I5" s="147">
        <f ca="1">IF(N(A5)&gt;0,VLOOKUP(A5,Body!$A$4:$F$259,2,0),"")</f>
        <v>6</v>
      </c>
    </row>
    <row r="6" spans="1:9" ht="12" customHeight="1">
      <c r="A6" s="17"/>
      <c r="B6" s="17">
        <f>Start.listina!O11</f>
        <v>21774</v>
      </c>
      <c r="C6" s="141" t="str">
        <f>Start.listina!P11</f>
        <v>Michálek</v>
      </c>
      <c r="D6" s="17" t="str">
        <f>Start.listina!Q11</f>
        <v>Tomáš</v>
      </c>
      <c r="E6" s="17" t="str">
        <f>Start.listina!R11</f>
        <v>Carreau Brno</v>
      </c>
      <c r="F6" s="17"/>
      <c r="G6" s="142"/>
      <c r="H6" s="69"/>
      <c r="I6" s="69"/>
    </row>
    <row r="7" spans="1:9" ht="12" customHeight="1">
      <c r="A7" s="17"/>
      <c r="B7" s="17">
        <f>Start.listina!U11</f>
        <v>21775</v>
      </c>
      <c r="C7" s="141" t="str">
        <f>Start.listina!V11</f>
        <v>Michálek</v>
      </c>
      <c r="D7" s="17" t="str">
        <f>Start.listina!W11</f>
        <v>Jan</v>
      </c>
      <c r="E7" s="17" t="str">
        <f>Start.listina!X11</f>
        <v>Carreau Brno</v>
      </c>
      <c r="F7" s="17"/>
      <c r="G7" s="142"/>
      <c r="H7" s="69"/>
      <c r="I7" s="69"/>
    </row>
    <row r="8" spans="1:9" ht="12" customHeight="1">
      <c r="A8" s="17"/>
      <c r="B8" s="17" t="str">
        <f>Start.listina!AA11</f>
        <v/>
      </c>
      <c r="C8" s="141" t="str">
        <f>Start.listina!AB11</f>
        <v xml:space="preserve"> </v>
      </c>
      <c r="D8" s="17" t="str">
        <f>Start.listina!AC11</f>
        <v xml:space="preserve"> </v>
      </c>
      <c r="E8" s="17" t="str">
        <f>Start.listina!AD11</f>
        <v xml:space="preserve"> </v>
      </c>
      <c r="F8" s="17"/>
      <c r="G8" s="142"/>
      <c r="H8" s="69"/>
      <c r="I8" s="69"/>
    </row>
    <row r="9" spans="1:9" ht="12" customHeight="1">
      <c r="A9" s="17">
        <f ca="1">Start.listina!AH12</f>
        <v>6</v>
      </c>
      <c r="B9" s="17">
        <f>Start.listina!I12</f>
        <v>11039</v>
      </c>
      <c r="C9" s="141" t="str">
        <f>Start.listina!J12</f>
        <v>Lukáš</v>
      </c>
      <c r="D9" s="17" t="str">
        <f>Start.listina!K12</f>
        <v>Vojtěch</v>
      </c>
      <c r="E9" s="17" t="str">
        <f>Start.listina!L12</f>
        <v>PLUK Jablonec</v>
      </c>
      <c r="F9" s="17"/>
      <c r="G9" s="142" t="e">
        <f ca="1">IF(N(A9)&gt;0,VLOOKUP(A9,Body!$A$4:$F$259,5,0),"")</f>
        <v>#REF!</v>
      </c>
      <c r="H9" s="69">
        <f ca="1">IF(N(A9)&gt;0,VLOOKUP(A9,Body!$A$4:$F$259,6,0),"")</f>
        <v>100</v>
      </c>
      <c r="I9" s="147">
        <f ca="1">IF(N(A9)&gt;0,VLOOKUP(A9,Body!$A$4:$F$259,2,0),"")</f>
        <v>3.5</v>
      </c>
    </row>
    <row r="10" spans="1:9" ht="12" customHeight="1">
      <c r="A10" s="17"/>
      <c r="B10" s="17">
        <f>Start.listina!O12</f>
        <v>28007</v>
      </c>
      <c r="C10" s="141" t="str">
        <f>Start.listina!P12</f>
        <v>Kaplánek</v>
      </c>
      <c r="D10" s="17" t="str">
        <f>Start.listina!Q12</f>
        <v>František</v>
      </c>
      <c r="E10" s="17" t="str">
        <f>Start.listina!R12</f>
        <v>HRODE KRUMSÍN</v>
      </c>
      <c r="F10" s="17"/>
      <c r="G10" s="142"/>
      <c r="H10" s="69"/>
      <c r="I10" s="69"/>
    </row>
    <row r="11" spans="1:9" ht="12" customHeight="1">
      <c r="A11" s="17"/>
      <c r="B11" s="17">
        <f>Start.listina!U12</f>
        <v>21912</v>
      </c>
      <c r="C11" s="141" t="str">
        <f>Start.listina!V12</f>
        <v>Koreš st.</v>
      </c>
      <c r="D11" s="17" t="str">
        <f>Start.listina!W12</f>
        <v>Jiří</v>
      </c>
      <c r="E11" s="17" t="str">
        <f>Start.listina!X12</f>
        <v>HAVAJ CB</v>
      </c>
      <c r="F11" s="17"/>
      <c r="G11" s="142"/>
      <c r="H11" s="69"/>
      <c r="I11" s="69"/>
    </row>
    <row r="12" spans="1:9" ht="12" customHeight="1">
      <c r="A12" s="17"/>
      <c r="B12" s="17" t="str">
        <f>Start.listina!AA12</f>
        <v/>
      </c>
      <c r="C12" s="141" t="str">
        <f>Start.listina!AB12</f>
        <v xml:space="preserve"> </v>
      </c>
      <c r="D12" s="17" t="str">
        <f>Start.listina!AC12</f>
        <v xml:space="preserve"> </v>
      </c>
      <c r="E12" s="17" t="str">
        <f>Start.listina!AD12</f>
        <v xml:space="preserve"> </v>
      </c>
      <c r="F12" s="17"/>
      <c r="G12" s="142"/>
      <c r="H12" s="69"/>
      <c r="I12" s="69"/>
    </row>
    <row r="13" spans="1:9" ht="12" customHeight="1">
      <c r="A13" s="17">
        <f ca="1">Start.listina!AH13</f>
        <v>4</v>
      </c>
      <c r="B13" s="17">
        <f>Start.listina!I13</f>
        <v>27030</v>
      </c>
      <c r="C13" s="141" t="str">
        <f>Start.listina!J13</f>
        <v>Kutá</v>
      </c>
      <c r="D13" s="17" t="str">
        <f>Start.listina!K13</f>
        <v>Miloslava</v>
      </c>
      <c r="E13" s="17" t="str">
        <f>Start.listina!L13</f>
        <v>SKP Hranice VI-Valšovice</v>
      </c>
      <c r="F13" s="17"/>
      <c r="G13" s="142" t="e">
        <f ca="1">IF(N(A13)&gt;0,VLOOKUP(A13,Body!$A$4:$F$259,5,0),"")</f>
        <v>#REF!</v>
      </c>
      <c r="H13" s="69">
        <f ca="1">IF(N(A13)&gt;0,VLOOKUP(A13,Body!$A$4:$F$259,6,0),"")</f>
        <v>100</v>
      </c>
      <c r="I13" s="147">
        <f ca="1">IF(N(A13)&gt;0,VLOOKUP(A13,Body!$A$4:$F$259,2,0),"")</f>
        <v>4</v>
      </c>
    </row>
    <row r="14" spans="1:9" ht="12" customHeight="1">
      <c r="A14" s="17"/>
      <c r="B14" s="17">
        <f>Start.listina!O13</f>
        <v>28004</v>
      </c>
      <c r="C14" s="141" t="str">
        <f>Start.listina!P13</f>
        <v>Tománek</v>
      </c>
      <c r="D14" s="17" t="str">
        <f>Start.listina!Q13</f>
        <v>Petr</v>
      </c>
      <c r="E14" s="17" t="str">
        <f>Start.listina!R13</f>
        <v>SKP Hranice VI-Valšovice</v>
      </c>
      <c r="F14" s="17"/>
      <c r="G14" s="142"/>
      <c r="H14" s="69"/>
      <c r="I14" s="69"/>
    </row>
    <row r="15" spans="1:9" ht="12" customHeight="1">
      <c r="A15" s="17"/>
      <c r="B15" s="17">
        <f>Start.listina!U13</f>
        <v>15001</v>
      </c>
      <c r="C15" s="141" t="str">
        <f>Start.listina!V13</f>
        <v>Ulmann</v>
      </c>
      <c r="D15" s="17" t="str">
        <f>Start.listina!W13</f>
        <v>Jiří</v>
      </c>
      <c r="E15" s="17" t="str">
        <f>Start.listina!X13</f>
        <v>TOP - ORLOVÁ</v>
      </c>
      <c r="F15" s="17"/>
      <c r="G15" s="142"/>
      <c r="H15" s="69"/>
      <c r="I15" s="69"/>
    </row>
    <row r="16" spans="1:9" ht="12" customHeight="1">
      <c r="A16" s="17"/>
      <c r="B16" s="17" t="str">
        <f>Start.listina!AA13</f>
        <v/>
      </c>
      <c r="C16" s="141" t="str">
        <f>Start.listina!AB13</f>
        <v xml:space="preserve"> </v>
      </c>
      <c r="D16" s="17" t="str">
        <f>Start.listina!AC13</f>
        <v xml:space="preserve"> </v>
      </c>
      <c r="E16" s="17" t="str">
        <f>Start.listina!AD13</f>
        <v xml:space="preserve"> </v>
      </c>
      <c r="F16" s="17"/>
      <c r="G16" s="142"/>
      <c r="H16" s="69"/>
      <c r="I16" s="69"/>
    </row>
    <row r="17" spans="1:9" ht="12" customHeight="1">
      <c r="A17" s="17">
        <f ca="1">Start.listina!AH14</f>
        <v>16</v>
      </c>
      <c r="B17" s="17">
        <f>Start.listina!I14</f>
        <v>10048</v>
      </c>
      <c r="C17" s="141" t="str">
        <f>Start.listina!J14</f>
        <v>Valík</v>
      </c>
      <c r="D17" s="17" t="str">
        <f>Start.listina!K14</f>
        <v>Václav</v>
      </c>
      <c r="E17" s="17" t="str">
        <f>Start.listina!L14</f>
        <v>PAK Albrechtice</v>
      </c>
      <c r="F17" s="17"/>
      <c r="G17" s="142" t="e">
        <f ca="1">IF(N(A17)&gt;0,VLOOKUP(A17,Body!$A$4:$F$259,5,0),"")</f>
        <v>#REF!</v>
      </c>
      <c r="H17" s="69">
        <f ca="1">IF(N(A17)&gt;0,VLOOKUP(A17,Body!$A$4:$F$259,6,0),"")</f>
        <v>100</v>
      </c>
      <c r="I17" s="147">
        <f ca="1">IF(N(A17)&gt;0,VLOOKUP(A17,Body!$A$4:$F$259,2,0),"")</f>
        <v>2</v>
      </c>
    </row>
    <row r="18" spans="1:9" ht="12" customHeight="1">
      <c r="A18" s="17"/>
      <c r="B18" s="17">
        <f>Start.listina!O14</f>
        <v>10047</v>
      </c>
      <c r="C18" s="141" t="str">
        <f>Start.listina!P14</f>
        <v>Žiak</v>
      </c>
      <c r="D18" s="17" t="str">
        <f>Start.listina!Q14</f>
        <v>Vojtěch</v>
      </c>
      <c r="E18" s="17" t="str">
        <f>Start.listina!R14</f>
        <v>PAK Albrechtice</v>
      </c>
      <c r="F18" s="17"/>
      <c r="G18" s="142"/>
      <c r="H18" s="69"/>
      <c r="I18" s="69"/>
    </row>
    <row r="19" spans="1:9" ht="12" customHeight="1">
      <c r="A19" s="17"/>
      <c r="B19" s="17">
        <f>Start.listina!U14</f>
        <v>99555</v>
      </c>
      <c r="C19" s="141" t="str">
        <f>Start.listina!V14</f>
        <v>Pírek</v>
      </c>
      <c r="D19" s="17" t="str">
        <f>Start.listina!W14</f>
        <v>Martin</v>
      </c>
      <c r="E19" s="17" t="str">
        <f>Start.listina!X14</f>
        <v>HRODE KRUMSÍN</v>
      </c>
      <c r="F19" s="17"/>
      <c r="G19" s="142"/>
      <c r="H19" s="69"/>
      <c r="I19" s="69"/>
    </row>
    <row r="20" spans="1:9" ht="12" customHeight="1">
      <c r="A20" s="17"/>
      <c r="B20" s="17" t="str">
        <f>Start.listina!AA14</f>
        <v/>
      </c>
      <c r="C20" s="141" t="str">
        <f>Start.listina!AB14</f>
        <v xml:space="preserve"> </v>
      </c>
      <c r="D20" s="17" t="str">
        <f>Start.listina!AC14</f>
        <v xml:space="preserve"> </v>
      </c>
      <c r="E20" s="17" t="str">
        <f>Start.listina!AD14</f>
        <v xml:space="preserve"> </v>
      </c>
      <c r="F20" s="17"/>
      <c r="G20" s="142"/>
      <c r="H20" s="69"/>
      <c r="I20" s="69"/>
    </row>
    <row r="21" spans="1:9" ht="12" customHeight="1">
      <c r="A21" s="17">
        <f ca="1">Start.listina!AH15</f>
        <v>7</v>
      </c>
      <c r="B21" s="17">
        <f>Start.listina!I15</f>
        <v>29040</v>
      </c>
      <c r="C21" s="141" t="str">
        <f>Start.listina!J15</f>
        <v>Krpec</v>
      </c>
      <c r="D21" s="17" t="str">
        <f>Start.listina!K15</f>
        <v>Miroslav</v>
      </c>
      <c r="E21" s="17" t="str">
        <f>Start.listina!L15</f>
        <v>HRODE KRUMSÍN</v>
      </c>
      <c r="F21" s="17"/>
      <c r="G21" s="142" t="e">
        <f ca="1">IF(N(A21)&gt;0,VLOOKUP(A21,Body!$A$4:$F$259,5,0),"")</f>
        <v>#REF!</v>
      </c>
      <c r="H21" s="69">
        <f ca="1">IF(N(A21)&gt;0,VLOOKUP(A21,Body!$A$4:$F$259,6,0),"")</f>
        <v>100</v>
      </c>
      <c r="I21" s="147">
        <f ca="1">IF(N(A21)&gt;0,VLOOKUP(A21,Body!$A$4:$F$259,2,0),"")</f>
        <v>3.25</v>
      </c>
    </row>
    <row r="22" spans="1:9" ht="12" customHeight="1">
      <c r="A22" s="17"/>
      <c r="B22" s="17">
        <f>Start.listina!O15</f>
        <v>16105</v>
      </c>
      <c r="C22" s="141" t="str">
        <f>Start.listina!P15</f>
        <v>Krpec</v>
      </c>
      <c r="D22" s="17" t="str">
        <f>Start.listina!Q15</f>
        <v>František</v>
      </c>
      <c r="E22" s="17" t="str">
        <f>Start.listina!R15</f>
        <v>HRODE KRUMSÍN</v>
      </c>
      <c r="F22" s="17"/>
      <c r="G22" s="142"/>
      <c r="H22" s="69"/>
      <c r="I22" s="69"/>
    </row>
    <row r="23" spans="1:9" ht="12" customHeight="1">
      <c r="A23" s="17"/>
      <c r="B23" s="17">
        <f>Start.listina!U15</f>
        <v>29039</v>
      </c>
      <c r="C23" s="141" t="str">
        <f>Start.listina!V15</f>
        <v>Krpcová</v>
      </c>
      <c r="D23" s="17" t="str">
        <f>Start.listina!W15</f>
        <v>Jana</v>
      </c>
      <c r="E23" s="17" t="str">
        <f>Start.listina!X15</f>
        <v>HRODE KRUMSÍN</v>
      </c>
      <c r="F23" s="17"/>
      <c r="G23" s="142"/>
      <c r="H23" s="69"/>
      <c r="I23" s="69"/>
    </row>
    <row r="24" spans="1:9" ht="12" customHeight="1">
      <c r="A24" s="17"/>
      <c r="B24" s="17" t="str">
        <f>Start.listina!AA15</f>
        <v/>
      </c>
      <c r="C24" s="141" t="str">
        <f>Start.listina!AB15</f>
        <v xml:space="preserve"> </v>
      </c>
      <c r="D24" s="17" t="str">
        <f>Start.listina!AC15</f>
        <v xml:space="preserve"> </v>
      </c>
      <c r="E24" s="17" t="str">
        <f>Start.listina!AD15</f>
        <v xml:space="preserve"> </v>
      </c>
      <c r="F24" s="17"/>
      <c r="G24" s="142"/>
      <c r="H24" s="69"/>
      <c r="I24" s="69"/>
    </row>
    <row r="25" spans="1:9" ht="12" customHeight="1">
      <c r="A25" s="17">
        <f ca="1">Start.listina!AH16</f>
        <v>10</v>
      </c>
      <c r="B25" s="17">
        <f>Start.listina!I16</f>
        <v>14008</v>
      </c>
      <c r="C25" s="141" t="str">
        <f>Start.listina!J16</f>
        <v>Bačo</v>
      </c>
      <c r="D25" s="17" t="str">
        <f>Start.listina!K16</f>
        <v>David</v>
      </c>
      <c r="E25" s="17" t="str">
        <f>Start.listina!L16</f>
        <v>TOP - ORLOVÁ</v>
      </c>
      <c r="F25" s="17"/>
      <c r="G25" s="142" t="e">
        <f ca="1">IF(N(A25)&gt;0,VLOOKUP(A25,Body!$A$4:$F$259,5,0),"")</f>
        <v>#REF!</v>
      </c>
      <c r="H25" s="69">
        <f ca="1">IF(N(A25)&gt;0,VLOOKUP(A25,Body!$A$4:$F$259,6,0),"")</f>
        <v>100</v>
      </c>
      <c r="I25" s="147">
        <f ca="1">IF(N(A25)&gt;0,VLOOKUP(A25,Body!$A$4:$F$259,2,0),"")</f>
        <v>2.75</v>
      </c>
    </row>
    <row r="26" spans="1:9" ht="12" customHeight="1">
      <c r="A26" s="17"/>
      <c r="B26" s="17">
        <f>Start.listina!O16</f>
        <v>98307</v>
      </c>
      <c r="C26" s="141" t="str">
        <f>Start.listina!P16</f>
        <v>Jurišta</v>
      </c>
      <c r="D26" s="17" t="str">
        <f>Start.listina!Q16</f>
        <v>Kamil</v>
      </c>
      <c r="E26" s="17" t="str">
        <f>Start.listina!R16</f>
        <v>TOP - ORLOVÁ</v>
      </c>
      <c r="F26" s="17"/>
      <c r="G26" s="142"/>
      <c r="H26" s="69"/>
      <c r="I26" s="69"/>
    </row>
    <row r="27" spans="1:9" ht="12" customHeight="1">
      <c r="A27" s="17"/>
      <c r="B27" s="17">
        <f>Start.listina!U16</f>
        <v>18001</v>
      </c>
      <c r="C27" s="141" t="str">
        <f>Start.listina!V16</f>
        <v>Matuška</v>
      </c>
      <c r="D27" s="17" t="str">
        <f>Start.listina!W16</f>
        <v>Vladimír</v>
      </c>
      <c r="E27" s="17" t="str">
        <f>Start.listina!X16</f>
        <v>Orel Řečkovice</v>
      </c>
      <c r="F27" s="17"/>
      <c r="G27" s="142"/>
      <c r="H27" s="69"/>
      <c r="I27" s="69"/>
    </row>
    <row r="28" spans="1:9" ht="12" customHeight="1">
      <c r="A28" s="17"/>
      <c r="B28" s="17" t="str">
        <f>Start.listina!AA16</f>
        <v/>
      </c>
      <c r="C28" s="141" t="str">
        <f>Start.listina!AB16</f>
        <v xml:space="preserve"> </v>
      </c>
      <c r="D28" s="17" t="str">
        <f>Start.listina!AC16</f>
        <v xml:space="preserve"> </v>
      </c>
      <c r="E28" s="17" t="str">
        <f>Start.listina!AD16</f>
        <v xml:space="preserve"> </v>
      </c>
      <c r="F28" s="17"/>
      <c r="G28" s="142"/>
      <c r="H28" s="69"/>
      <c r="I28" s="69"/>
    </row>
    <row r="29" spans="1:9" ht="12" customHeight="1">
      <c r="A29" s="17">
        <f>Start.listina!AH17</f>
        <v>20</v>
      </c>
      <c r="B29" s="17">
        <f>Start.listina!I17</f>
        <v>21053</v>
      </c>
      <c r="C29" s="141" t="str">
        <f>Start.listina!J17</f>
        <v>Ptáčková</v>
      </c>
      <c r="D29" s="17" t="str">
        <f>Start.listina!K17</f>
        <v>Eliška</v>
      </c>
      <c r="E29" s="17" t="str">
        <f>Start.listina!L17</f>
        <v>HRODE KRUMSÍN</v>
      </c>
      <c r="F29" s="17"/>
      <c r="G29" s="142" t="e">
        <f>IF(N(A29)&gt;0,VLOOKUP(A29,Body!$A$4:$F$259,5,0),"")</f>
        <v>#REF!</v>
      </c>
      <c r="H29" s="69">
        <f>IF(N(A29)&gt;0,VLOOKUP(A29,Body!$A$4:$F$259,6,0),"")</f>
        <v>100</v>
      </c>
      <c r="I29" s="147">
        <f>IF(N(A29)&gt;0,VLOOKUP(A29,Body!$A$4:$F$259,2,0),"")</f>
        <v>1.75</v>
      </c>
    </row>
    <row r="30" spans="1:9" ht="12" customHeight="1">
      <c r="A30" s="17"/>
      <c r="B30" s="17">
        <f>Start.listina!O17</f>
        <v>20554</v>
      </c>
      <c r="C30" s="141" t="str">
        <f>Start.listina!P17</f>
        <v>Ptáček</v>
      </c>
      <c r="D30" s="17" t="str">
        <f>Start.listina!Q17</f>
        <v>Luboš</v>
      </c>
      <c r="E30" s="17" t="str">
        <f>Start.listina!R17</f>
        <v>HRODE KRUMSÍN</v>
      </c>
      <c r="F30" s="17"/>
      <c r="G30" s="142"/>
      <c r="H30" s="69"/>
      <c r="I30" s="69"/>
    </row>
    <row r="31" spans="1:9" ht="12" customHeight="1">
      <c r="A31" s="17"/>
      <c r="B31" s="17">
        <f>Start.listina!U17</f>
        <v>11046</v>
      </c>
      <c r="C31" s="141" t="str">
        <f>Start.listina!V17</f>
        <v>Faltýnek</v>
      </c>
      <c r="D31" s="17" t="str">
        <f>Start.listina!W17</f>
        <v>David</v>
      </c>
      <c r="E31" s="17" t="str">
        <f>Start.listina!X17</f>
        <v>HRODE KRUMSÍN</v>
      </c>
      <c r="F31" s="17"/>
      <c r="G31" s="142"/>
      <c r="H31" s="69"/>
      <c r="I31" s="69"/>
    </row>
    <row r="32" spans="1:9" ht="12" customHeight="1">
      <c r="A32" s="17"/>
      <c r="B32" s="17" t="str">
        <f>Start.listina!AA17</f>
        <v/>
      </c>
      <c r="C32" s="141" t="str">
        <f>Start.listina!AB17</f>
        <v xml:space="preserve"> </v>
      </c>
      <c r="D32" s="17" t="str">
        <f>Start.listina!AC17</f>
        <v xml:space="preserve"> </v>
      </c>
      <c r="E32" s="17" t="str">
        <f>Start.listina!AD17</f>
        <v xml:space="preserve"> </v>
      </c>
      <c r="F32" s="17"/>
      <c r="G32" s="142"/>
      <c r="H32" s="69"/>
      <c r="I32" s="69"/>
    </row>
    <row r="33" spans="1:9" ht="12" customHeight="1">
      <c r="A33" s="17">
        <f ca="1">Start.listina!AH18</f>
        <v>8</v>
      </c>
      <c r="B33" s="17">
        <f>Start.listina!I18</f>
        <v>28006</v>
      </c>
      <c r="C33" s="141" t="str">
        <f>Start.listina!J18</f>
        <v>Grepl</v>
      </c>
      <c r="D33" s="17" t="str">
        <f>Start.listina!K18</f>
        <v>Jiří</v>
      </c>
      <c r="E33" s="17" t="str">
        <f>Start.listina!L18</f>
        <v>Carreau Brno</v>
      </c>
      <c r="F33" s="17"/>
      <c r="G33" s="142" t="e">
        <f ca="1">IF(N(A33)&gt;0,VLOOKUP(A33,Body!$A$4:$F$259,5,0),"")</f>
        <v>#REF!</v>
      </c>
      <c r="H33" s="69">
        <f ca="1">IF(N(A33)&gt;0,VLOOKUP(A33,Body!$A$4:$F$259,6,0),"")</f>
        <v>100</v>
      </c>
      <c r="I33" s="147">
        <f ca="1">IF(N(A33)&gt;0,VLOOKUP(A33,Body!$A$4:$F$259,2,0),"")</f>
        <v>3</v>
      </c>
    </row>
    <row r="34" spans="1:9" ht="12" customHeight="1">
      <c r="A34" s="17"/>
      <c r="B34" s="17">
        <f>Start.listina!O18</f>
        <v>15009</v>
      </c>
      <c r="C34" s="141" t="str">
        <f>Start.listina!P18</f>
        <v>Skopal</v>
      </c>
      <c r="D34" s="17" t="str">
        <f>Start.listina!Q18</f>
        <v>Martin</v>
      </c>
      <c r="E34" s="17" t="str">
        <f>Start.listina!R18</f>
        <v>Kulový blesk Olomouc</v>
      </c>
      <c r="F34" s="17"/>
      <c r="G34" s="142"/>
      <c r="H34" s="69"/>
      <c r="I34" s="69"/>
    </row>
    <row r="35" spans="1:9" ht="12" customHeight="1">
      <c r="A35" s="17"/>
      <c r="B35" s="17">
        <f>Start.listina!U18</f>
        <v>22017</v>
      </c>
      <c r="C35" s="141" t="str">
        <f>Start.listina!V18</f>
        <v>Ferlay</v>
      </c>
      <c r="D35" s="17" t="str">
        <f>Start.listina!W18</f>
        <v>Franck</v>
      </c>
      <c r="E35" s="17" t="str">
        <f>Start.listina!X18</f>
        <v>Carreau Brno</v>
      </c>
      <c r="F35" s="17"/>
      <c r="G35" s="142"/>
      <c r="H35" s="69"/>
      <c r="I35" s="69"/>
    </row>
    <row r="36" spans="1:9" ht="12" customHeight="1">
      <c r="A36" s="17"/>
      <c r="B36" s="17" t="str">
        <f>Start.listina!AA18</f>
        <v/>
      </c>
      <c r="C36" s="141" t="str">
        <f>Start.listina!AB18</f>
        <v xml:space="preserve"> </v>
      </c>
      <c r="D36" s="17" t="str">
        <f>Start.listina!AC18</f>
        <v xml:space="preserve"> </v>
      </c>
      <c r="E36" s="17" t="str">
        <f>Start.listina!AD18</f>
        <v xml:space="preserve"> </v>
      </c>
      <c r="F36" s="17"/>
      <c r="G36" s="142"/>
      <c r="H36" s="69"/>
      <c r="I36" s="69"/>
    </row>
    <row r="37" spans="1:9" ht="12" customHeight="1">
      <c r="A37" s="17">
        <f>Start.listina!AH19</f>
        <v>24</v>
      </c>
      <c r="B37" s="17">
        <f>Start.listina!I19</f>
        <v>98373</v>
      </c>
      <c r="C37" s="141" t="str">
        <f>Start.listina!J19</f>
        <v>Hodboďová</v>
      </c>
      <c r="D37" s="17" t="str">
        <f>Start.listina!K19</f>
        <v>Romana</v>
      </c>
      <c r="E37" s="17" t="str">
        <f>Start.listina!L19</f>
        <v>POP Praha</v>
      </c>
      <c r="F37" s="17"/>
      <c r="G37" s="142" t="e">
        <f>IF(N(A37)&gt;0,VLOOKUP(A37,Body!$A$4:$F$259,5,0),"")</f>
        <v>#REF!</v>
      </c>
      <c r="H37" s="69">
        <f>IF(N(A37)&gt;0,VLOOKUP(A37,Body!$A$4:$F$259,6,0),"")</f>
        <v>100</v>
      </c>
      <c r="I37" s="147">
        <f>IF(N(A37)&gt;0,VLOOKUP(A37,Body!$A$4:$F$259,2,0),"")</f>
        <v>1.5</v>
      </c>
    </row>
    <row r="38" spans="1:9" ht="12" customHeight="1">
      <c r="A38" s="17"/>
      <c r="B38" s="17">
        <f>Start.listina!O19</f>
        <v>14075</v>
      </c>
      <c r="C38" s="141" t="str">
        <f>Start.listina!P19</f>
        <v>Froňková</v>
      </c>
      <c r="D38" s="17" t="str">
        <f>Start.listina!Q19</f>
        <v>Kateřina</v>
      </c>
      <c r="E38" s="17" t="str">
        <f>Start.listina!R19</f>
        <v>PC Sokol Lipník</v>
      </c>
      <c r="F38" s="17"/>
      <c r="G38" s="142"/>
      <c r="H38" s="69"/>
      <c r="I38" s="69"/>
    </row>
    <row r="39" spans="1:9" ht="12" customHeight="1">
      <c r="A39" s="17"/>
      <c r="B39" s="17">
        <f>Start.listina!U19</f>
        <v>24235</v>
      </c>
      <c r="C39" s="141" t="str">
        <f>Start.listina!V19</f>
        <v>Michálková</v>
      </c>
      <c r="D39" s="17" t="str">
        <f>Start.listina!W19</f>
        <v>Jana</v>
      </c>
      <c r="E39" s="17" t="str">
        <f>Start.listina!X19</f>
        <v>Kulový blesk Olomouc</v>
      </c>
      <c r="F39" s="17"/>
      <c r="G39" s="142"/>
      <c r="H39" s="69"/>
      <c r="I39" s="69"/>
    </row>
    <row r="40" spans="1:9" ht="12" customHeight="1">
      <c r="A40" s="17"/>
      <c r="B40" s="17" t="str">
        <f>Start.listina!AA19</f>
        <v/>
      </c>
      <c r="C40" s="141" t="str">
        <f>Start.listina!AB19</f>
        <v xml:space="preserve"> </v>
      </c>
      <c r="D40" s="17" t="str">
        <f>Start.listina!AC19</f>
        <v xml:space="preserve"> </v>
      </c>
      <c r="E40" s="17" t="str">
        <f>Start.listina!AD19</f>
        <v xml:space="preserve"> </v>
      </c>
      <c r="F40" s="17"/>
      <c r="G40" s="142"/>
      <c r="H40" s="69"/>
      <c r="I40" s="69"/>
    </row>
    <row r="41" spans="1:9" ht="12" customHeight="1">
      <c r="A41" s="17">
        <f>Start.listina!AH20</f>
        <v>32</v>
      </c>
      <c r="B41" s="17">
        <f>Start.listina!I20</f>
        <v>16077</v>
      </c>
      <c r="C41" s="141" t="str">
        <f>Start.listina!J20</f>
        <v>Holoubek</v>
      </c>
      <c r="D41" s="17" t="str">
        <f>Start.listina!K20</f>
        <v>Pavel</v>
      </c>
      <c r="E41" s="17" t="str">
        <f>Start.listina!L20</f>
        <v>SK Pétanque Řepy</v>
      </c>
      <c r="F41" s="17"/>
      <c r="G41" s="142" t="e">
        <f>IF(N(A41)&gt;0,VLOOKUP(A41,Body!$A$4:$F$259,5,0),"")</f>
        <v>#REF!</v>
      </c>
      <c r="H41" s="69">
        <f>IF(N(A41)&gt;0,VLOOKUP(A41,Body!$A$4:$F$259,6,0),"")</f>
        <v>100</v>
      </c>
      <c r="I41" s="147">
        <f>IF(N(A41)&gt;0,VLOOKUP(A41,Body!$A$4:$F$259,2,0),"")</f>
        <v>1</v>
      </c>
    </row>
    <row r="42" spans="1:9" ht="12" customHeight="1">
      <c r="A42" s="17"/>
      <c r="B42" s="17">
        <f>Start.listina!O20</f>
        <v>99510</v>
      </c>
      <c r="C42" s="141" t="str">
        <f>Start.listina!P20</f>
        <v>Demčík</v>
      </c>
      <c r="D42" s="17" t="str">
        <f>Start.listina!Q20</f>
        <v>Milan</v>
      </c>
      <c r="E42" s="17" t="str">
        <f>Start.listina!R20</f>
        <v>SK Sahara Vědomice</v>
      </c>
      <c r="F42" s="17"/>
      <c r="G42" s="142"/>
      <c r="H42" s="69"/>
      <c r="I42" s="69"/>
    </row>
    <row r="43" spans="1:9" ht="12" customHeight="1">
      <c r="A43" s="17"/>
      <c r="B43" s="17">
        <f>Start.listina!U20</f>
        <v>99574</v>
      </c>
      <c r="C43" s="141" t="str">
        <f>Start.listina!V20</f>
        <v>Demčíková</v>
      </c>
      <c r="D43" s="17" t="str">
        <f>Start.listina!W20</f>
        <v>Jiřina</v>
      </c>
      <c r="E43" s="17" t="str">
        <f>Start.listina!X20</f>
        <v>SK Sahara Vědomice</v>
      </c>
      <c r="F43" s="17"/>
      <c r="G43" s="142"/>
      <c r="H43" s="69"/>
      <c r="I43" s="69"/>
    </row>
    <row r="44" spans="1:9" ht="12" customHeight="1">
      <c r="A44" s="17"/>
      <c r="B44" s="17" t="str">
        <f>Start.listina!AA20</f>
        <v/>
      </c>
      <c r="C44" s="141" t="str">
        <f>Start.listina!AB20</f>
        <v xml:space="preserve"> </v>
      </c>
      <c r="D44" s="17" t="str">
        <f>Start.listina!AC20</f>
        <v xml:space="preserve"> </v>
      </c>
      <c r="E44" s="17" t="str">
        <f>Start.listina!AD20</f>
        <v xml:space="preserve"> </v>
      </c>
      <c r="F44" s="17"/>
      <c r="G44" s="142"/>
      <c r="H44" s="69"/>
      <c r="I44" s="69"/>
    </row>
    <row r="45" spans="1:9" ht="12" customHeight="1">
      <c r="A45" s="17">
        <f ca="1">Start.listina!AH21</f>
        <v>5</v>
      </c>
      <c r="B45" s="17">
        <f>Start.listina!I21</f>
        <v>25055</v>
      </c>
      <c r="C45" s="141" t="str">
        <f>Start.listina!J21</f>
        <v>Jakeš</v>
      </c>
      <c r="D45" s="17" t="str">
        <f>Start.listina!K21</f>
        <v>Zbyněk</v>
      </c>
      <c r="E45" s="17" t="str">
        <f>Start.listina!L21</f>
        <v>SKP Hranice VI-Valšovice</v>
      </c>
      <c r="F45" s="17"/>
      <c r="G45" s="142" t="e">
        <f ca="1">IF(N(A45)&gt;0,VLOOKUP(A45,Body!$A$4:$F$259,5,0),"")</f>
        <v>#REF!</v>
      </c>
      <c r="H45" s="69">
        <f ca="1">IF(N(A45)&gt;0,VLOOKUP(A45,Body!$A$4:$F$259,6,0),"")</f>
        <v>100</v>
      </c>
      <c r="I45" s="147">
        <f ca="1">IF(N(A45)&gt;0,VLOOKUP(A45,Body!$A$4:$F$259,2,0),"")</f>
        <v>3.75</v>
      </c>
    </row>
    <row r="46" spans="1:9" ht="12" customHeight="1">
      <c r="A46" s="17"/>
      <c r="B46" s="17">
        <f>Start.listina!O21</f>
        <v>25054</v>
      </c>
      <c r="C46" s="141" t="str">
        <f>Start.listina!P21</f>
        <v>Gratcl</v>
      </c>
      <c r="D46" s="17" t="str">
        <f>Start.listina!Q21</f>
        <v>Jiří</v>
      </c>
      <c r="E46" s="17" t="str">
        <f>Start.listina!R21</f>
        <v>SKP Hranice VI-Valšovice</v>
      </c>
      <c r="F46" s="17"/>
      <c r="G46" s="142"/>
      <c r="H46" s="69"/>
      <c r="I46" s="69"/>
    </row>
    <row r="47" spans="1:9" ht="12" customHeight="1">
      <c r="A47" s="17"/>
      <c r="B47" s="17">
        <f>Start.listina!U21</f>
        <v>28055</v>
      </c>
      <c r="C47" s="141" t="str">
        <f>Start.listina!V21</f>
        <v>Svobodová</v>
      </c>
      <c r="D47" s="17" t="str">
        <f>Start.listina!W21</f>
        <v>Lenka</v>
      </c>
      <c r="E47" s="17" t="str">
        <f>Start.listina!X21</f>
        <v>SKP Hranice VI-Valšovice</v>
      </c>
      <c r="F47" s="17"/>
      <c r="G47" s="142"/>
      <c r="H47" s="69"/>
      <c r="I47" s="69"/>
    </row>
    <row r="48" spans="1:9" ht="12" customHeight="1">
      <c r="A48" s="17"/>
      <c r="B48" s="17" t="str">
        <f>Start.listina!AA21</f>
        <v/>
      </c>
      <c r="C48" s="141" t="str">
        <f>Start.listina!AB21</f>
        <v xml:space="preserve"> </v>
      </c>
      <c r="D48" s="17" t="str">
        <f>Start.listina!AC21</f>
        <v xml:space="preserve"> </v>
      </c>
      <c r="E48" s="17" t="str">
        <f>Start.listina!AD21</f>
        <v xml:space="preserve"> </v>
      </c>
      <c r="F48" s="17"/>
      <c r="G48" s="142"/>
      <c r="H48" s="69"/>
      <c r="I48" s="69"/>
    </row>
    <row r="49" spans="1:9" ht="12" customHeight="1">
      <c r="A49" s="17">
        <f ca="1">Start.listina!AH22</f>
        <v>9</v>
      </c>
      <c r="B49" s="17">
        <f>Start.listina!I22</f>
        <v>12038</v>
      </c>
      <c r="C49" s="141" t="str">
        <f>Start.listina!J22</f>
        <v>Krejčín</v>
      </c>
      <c r="D49" s="17" t="str">
        <f>Start.listina!K22</f>
        <v>Leoš</v>
      </c>
      <c r="E49" s="17" t="str">
        <f>Start.listina!L22</f>
        <v>SKP Kulová osma</v>
      </c>
      <c r="F49" s="17"/>
      <c r="G49" s="142" t="e">
        <f ca="1">IF(N(A49)&gt;0,VLOOKUP(A49,Body!$A$4:$F$259,5,0),"")</f>
        <v>#REF!</v>
      </c>
      <c r="H49" s="69">
        <f ca="1">IF(N(A49)&gt;0,VLOOKUP(A49,Body!$A$4:$F$259,6,0),"")</f>
        <v>100</v>
      </c>
      <c r="I49" s="147">
        <f ca="1">IF(N(A49)&gt;0,VLOOKUP(A49,Body!$A$4:$F$259,2,0),"")</f>
        <v>2.875</v>
      </c>
    </row>
    <row r="50" spans="1:9" ht="12" customHeight="1">
      <c r="A50" s="17"/>
      <c r="B50" s="17">
        <f>Start.listina!O22</f>
        <v>11031</v>
      </c>
      <c r="C50" s="141" t="str">
        <f>Start.listina!P22</f>
        <v>Šipr</v>
      </c>
      <c r="D50" s="17" t="str">
        <f>Start.listina!Q22</f>
        <v>Jiří</v>
      </c>
      <c r="E50" s="17" t="str">
        <f>Start.listina!R22</f>
        <v>1. Starobrněnský PK</v>
      </c>
      <c r="F50" s="17"/>
      <c r="G50" s="142"/>
      <c r="H50" s="69"/>
      <c r="I50" s="69"/>
    </row>
    <row r="51" spans="1:9" ht="12" customHeight="1">
      <c r="A51" s="17"/>
      <c r="B51" s="17">
        <f>Start.listina!U22</f>
        <v>12037</v>
      </c>
      <c r="C51" s="141" t="str">
        <f>Start.listina!V22</f>
        <v>Krejčínová</v>
      </c>
      <c r="D51" s="17" t="str">
        <f>Start.listina!W22</f>
        <v>Milena</v>
      </c>
      <c r="E51" s="17" t="str">
        <f>Start.listina!X22</f>
        <v>SKP Kulová osma</v>
      </c>
      <c r="F51" s="17"/>
      <c r="G51" s="142"/>
      <c r="H51" s="69"/>
      <c r="I51" s="69"/>
    </row>
    <row r="52" spans="1:9" ht="12" customHeight="1">
      <c r="A52" s="17"/>
      <c r="B52" s="17" t="str">
        <f>Start.listina!AA22</f>
        <v/>
      </c>
      <c r="C52" s="141" t="str">
        <f>Start.listina!AB22</f>
        <v xml:space="preserve"> </v>
      </c>
      <c r="D52" s="17" t="str">
        <f>Start.listina!AC22</f>
        <v xml:space="preserve"> </v>
      </c>
      <c r="E52" s="17" t="str">
        <f>Start.listina!AD22</f>
        <v xml:space="preserve"> </v>
      </c>
      <c r="F52" s="17"/>
      <c r="G52" s="142"/>
      <c r="H52" s="69"/>
      <c r="I52" s="69"/>
    </row>
    <row r="53" spans="1:9" ht="12" customHeight="1">
      <c r="A53" s="17">
        <f>Start.listina!AH23</f>
        <v>32</v>
      </c>
      <c r="B53" s="17">
        <f>Start.listina!I23</f>
        <v>18124</v>
      </c>
      <c r="C53" s="141" t="str">
        <f>Start.listina!J23</f>
        <v>Valošková</v>
      </c>
      <c r="D53" s="17" t="str">
        <f>Start.listina!K23</f>
        <v>Sára</v>
      </c>
      <c r="E53" s="17" t="str">
        <f>Start.listina!L23</f>
        <v>PK Polouvsí</v>
      </c>
      <c r="F53" s="17"/>
      <c r="G53" s="142" t="e">
        <f>IF(N(A53)&gt;0,VLOOKUP(A53,Body!$A$4:$F$259,5,0),"")</f>
        <v>#REF!</v>
      </c>
      <c r="H53" s="69">
        <f>IF(N(A53)&gt;0,VLOOKUP(A53,Body!$A$4:$F$259,6,0),"")</f>
        <v>100</v>
      </c>
      <c r="I53" s="147">
        <f>IF(N(A53)&gt;0,VLOOKUP(A53,Body!$A$4:$F$259,2,0),"")</f>
        <v>1</v>
      </c>
    </row>
    <row r="54" spans="1:9" ht="12" customHeight="1">
      <c r="A54" s="17"/>
      <c r="B54" s="17">
        <f>Start.listina!O23</f>
        <v>16106</v>
      </c>
      <c r="C54" s="141" t="str">
        <f>Start.listina!P23</f>
        <v>Konšel</v>
      </c>
      <c r="D54" s="17" t="str">
        <f>Start.listina!Q23</f>
        <v>Robin</v>
      </c>
      <c r="E54" s="17" t="str">
        <f>Start.listina!R23</f>
        <v>HRODE KRUMSÍN</v>
      </c>
      <c r="F54" s="17"/>
      <c r="G54" s="142"/>
      <c r="H54" s="69"/>
      <c r="I54" s="69"/>
    </row>
    <row r="55" spans="1:9" ht="12" customHeight="1">
      <c r="A55" s="17"/>
      <c r="B55" s="17">
        <f>Start.listina!U23</f>
        <v>18132</v>
      </c>
      <c r="C55" s="141" t="str">
        <f>Start.listina!V23</f>
        <v>Vašíček</v>
      </c>
      <c r="D55" s="17" t="str">
        <f>Start.listina!W23</f>
        <v>Vladimír</v>
      </c>
      <c r="E55" s="17" t="str">
        <f>Start.listina!X23</f>
        <v>PK Polouvsí</v>
      </c>
      <c r="F55" s="17"/>
      <c r="G55" s="142"/>
      <c r="H55" s="69"/>
      <c r="I55" s="69"/>
    </row>
    <row r="56" spans="1:9" ht="12" customHeight="1">
      <c r="A56" s="17"/>
      <c r="B56" s="17" t="str">
        <f>Start.listina!AA23</f>
        <v/>
      </c>
      <c r="C56" s="141" t="str">
        <f>Start.listina!AB23</f>
        <v xml:space="preserve"> </v>
      </c>
      <c r="D56" s="17" t="str">
        <f>Start.listina!AC23</f>
        <v xml:space="preserve"> </v>
      </c>
      <c r="E56" s="17" t="str">
        <f>Start.listina!AD23</f>
        <v xml:space="preserve"> </v>
      </c>
      <c r="F56" s="17"/>
      <c r="G56" s="142"/>
      <c r="H56" s="69"/>
      <c r="I56" s="69"/>
    </row>
    <row r="57" spans="1:9" ht="12" customHeight="1">
      <c r="A57" s="17">
        <f>Start.listina!AH24</f>
        <v>32</v>
      </c>
      <c r="B57" s="17">
        <f>Start.listina!I24</f>
        <v>96005</v>
      </c>
      <c r="C57" s="141" t="str">
        <f>Start.listina!J24</f>
        <v>Bukovčík</v>
      </c>
      <c r="D57" s="17" t="str">
        <f>Start.listina!K24</f>
        <v>Jan</v>
      </c>
      <c r="E57" s="17" t="str">
        <f>Start.listina!L24</f>
        <v>PAK Albrechtice</v>
      </c>
      <c r="F57" s="17"/>
      <c r="G57" s="142" t="e">
        <f>IF(N(A57)&gt;0,VLOOKUP(A57,Body!$A$4:$F$259,5,0),"")</f>
        <v>#REF!</v>
      </c>
      <c r="H57" s="69">
        <f>IF(N(A57)&gt;0,VLOOKUP(A57,Body!$A$4:$F$259,6,0),"")</f>
        <v>100</v>
      </c>
      <c r="I57" s="147">
        <f>IF(N(A57)&gt;0,VLOOKUP(A57,Body!$A$4:$F$259,2,0),"")</f>
        <v>1</v>
      </c>
    </row>
    <row r="58" spans="1:9" ht="12" customHeight="1">
      <c r="A58" s="17"/>
      <c r="B58" s="17">
        <f>Start.listina!O24</f>
        <v>23060</v>
      </c>
      <c r="C58" s="141" t="str">
        <f>Start.listina!P24</f>
        <v>Ševčík</v>
      </c>
      <c r="D58" s="17" t="str">
        <f>Start.listina!Q24</f>
        <v>Jaroslav</v>
      </c>
      <c r="E58" s="17" t="str">
        <f>Start.listina!R24</f>
        <v>PAK Albrechtice</v>
      </c>
      <c r="F58" s="17"/>
      <c r="G58" s="142"/>
      <c r="H58" s="69"/>
      <c r="I58" s="69"/>
    </row>
    <row r="59" spans="1:9" ht="12" customHeight="1">
      <c r="A59" s="17"/>
      <c r="B59" s="17">
        <f>Start.listina!U24</f>
        <v>17093</v>
      </c>
      <c r="C59" s="141" t="str">
        <f>Start.listina!V24</f>
        <v>Žiak</v>
      </c>
      <c r="D59" s="17" t="str">
        <f>Start.listina!W24</f>
        <v>Radomír</v>
      </c>
      <c r="E59" s="17" t="str">
        <f>Start.listina!X24</f>
        <v>PAK Albrechtice</v>
      </c>
      <c r="F59" s="17"/>
      <c r="G59" s="142"/>
      <c r="H59" s="69"/>
      <c r="I59" s="69"/>
    </row>
    <row r="60" spans="1:9" ht="12" customHeight="1">
      <c r="A60" s="17"/>
      <c r="B60" s="17" t="str">
        <f>Start.listina!AA24</f>
        <v/>
      </c>
      <c r="C60" s="141" t="str">
        <f>Start.listina!AB24</f>
        <v xml:space="preserve"> </v>
      </c>
      <c r="D60" s="17" t="str">
        <f>Start.listina!AC24</f>
        <v xml:space="preserve"> </v>
      </c>
      <c r="E60" s="17" t="str">
        <f>Start.listina!AD24</f>
        <v xml:space="preserve"> </v>
      </c>
      <c r="F60" s="17"/>
      <c r="G60" s="142"/>
      <c r="H60" s="69"/>
      <c r="I60" s="69"/>
    </row>
    <row r="61" spans="1:9" ht="12" customHeight="1">
      <c r="A61" s="17">
        <f>Start.listina!AH25</f>
        <v>40</v>
      </c>
      <c r="B61" s="17">
        <f>Start.listina!I25</f>
        <v>26043</v>
      </c>
      <c r="C61" s="141" t="str">
        <f>Start.listina!J25</f>
        <v>Král</v>
      </c>
      <c r="D61" s="17" t="str">
        <f>Start.listina!K25</f>
        <v>Pavel</v>
      </c>
      <c r="E61" s="17" t="str">
        <f>Start.listina!L25</f>
        <v>FENYX Adamov</v>
      </c>
      <c r="F61" s="17"/>
      <c r="G61" s="142" t="e">
        <f>IF(N(A61)&gt;0,VLOOKUP(A61,Body!$A$4:$F$259,5,0),"")</f>
        <v>#REF!</v>
      </c>
      <c r="H61" s="69">
        <f>IF(N(A61)&gt;0,VLOOKUP(A61,Body!$A$4:$F$259,6,0),"")</f>
        <v>100</v>
      </c>
      <c r="I61" s="147">
        <f>IF(N(A61)&gt;0,VLOOKUP(A61,Body!$A$4:$F$259,2,0),"")</f>
        <v>0.75</v>
      </c>
    </row>
    <row r="62" spans="1:9" ht="12" customHeight="1">
      <c r="A62" s="17"/>
      <c r="B62" s="17">
        <f>Start.listina!O25</f>
        <v>18136</v>
      </c>
      <c r="C62" s="141" t="str">
        <f>Start.listina!P25</f>
        <v>Hanák</v>
      </c>
      <c r="D62" s="17" t="str">
        <f>Start.listina!Q25</f>
        <v>Pavel</v>
      </c>
      <c r="E62" s="17" t="str">
        <f>Start.listina!R25</f>
        <v>Orel Řečkovice</v>
      </c>
      <c r="F62" s="17"/>
      <c r="G62" s="142"/>
      <c r="H62" s="69"/>
      <c r="I62" s="69"/>
    </row>
    <row r="63" spans="1:9" ht="12" customHeight="1">
      <c r="A63" s="17"/>
      <c r="B63" s="17">
        <f>Start.listina!U25</f>
        <v>16020</v>
      </c>
      <c r="C63" s="141" t="str">
        <f>Start.listina!V25</f>
        <v>Handl</v>
      </c>
      <c r="D63" s="17" t="str">
        <f>Start.listina!W25</f>
        <v>Zdeněk</v>
      </c>
      <c r="E63" s="17" t="str">
        <f>Start.listina!X25</f>
        <v>FENYX Adamov</v>
      </c>
      <c r="F63" s="17"/>
      <c r="G63" s="142"/>
      <c r="H63" s="69"/>
      <c r="I63" s="69"/>
    </row>
    <row r="64" spans="1:9" ht="12" customHeight="1">
      <c r="A64" s="17"/>
      <c r="B64" s="17" t="str">
        <f>Start.listina!AA25</f>
        <v/>
      </c>
      <c r="C64" s="141" t="str">
        <f>Start.listina!AB25</f>
        <v xml:space="preserve"> </v>
      </c>
      <c r="D64" s="17" t="str">
        <f>Start.listina!AC25</f>
        <v xml:space="preserve"> </v>
      </c>
      <c r="E64" s="17" t="str">
        <f>Start.listina!AD25</f>
        <v xml:space="preserve"> </v>
      </c>
      <c r="F64" s="17"/>
      <c r="G64" s="142"/>
      <c r="H64" s="69"/>
      <c r="I64" s="69"/>
    </row>
    <row r="65" spans="1:9" ht="12" customHeight="1">
      <c r="A65" s="17">
        <f ca="1">Start.listina!AH26</f>
        <v>11</v>
      </c>
      <c r="B65" s="17">
        <f>Start.listina!I26</f>
        <v>16133</v>
      </c>
      <c r="C65" s="141" t="str">
        <f>Start.listina!J26</f>
        <v>Strouhalová</v>
      </c>
      <c r="D65" s="17" t="str">
        <f>Start.listina!K26</f>
        <v>Terezie</v>
      </c>
      <c r="E65" s="17" t="str">
        <f>Start.listina!L26</f>
        <v>1. Starobrněnský PK</v>
      </c>
      <c r="F65" s="17"/>
      <c r="G65" s="142" t="e">
        <f ca="1">IF(N(A65)&gt;0,VLOOKUP(A65,Body!$A$4:$F$259,5,0),"")</f>
        <v>#REF!</v>
      </c>
      <c r="H65" s="69">
        <f ca="1">IF(N(A65)&gt;0,VLOOKUP(A65,Body!$A$4:$F$259,6,0),"")</f>
        <v>100</v>
      </c>
      <c r="I65" s="147">
        <f ca="1">IF(N(A65)&gt;0,VLOOKUP(A65,Body!$A$4:$F$259,2,0),"")</f>
        <v>2.625</v>
      </c>
    </row>
    <row r="66" spans="1:9" ht="12" customHeight="1">
      <c r="A66" s="17"/>
      <c r="B66" s="17">
        <f>Start.listina!O26</f>
        <v>18099</v>
      </c>
      <c r="C66" s="141" t="str">
        <f>Start.listina!P26</f>
        <v>Merta</v>
      </c>
      <c r="D66" s="17" t="str">
        <f>Start.listina!Q26</f>
        <v>Lukáš</v>
      </c>
      <c r="E66" s="17" t="str">
        <f>Start.listina!R26</f>
        <v>1. Starobrněnský PK</v>
      </c>
      <c r="F66" s="17"/>
      <c r="G66" s="142"/>
      <c r="H66" s="69"/>
      <c r="I66" s="69"/>
    </row>
    <row r="67" spans="1:9" ht="12" customHeight="1">
      <c r="A67" s="17"/>
      <c r="B67" s="17">
        <f>Start.listina!U26</f>
        <v>15008</v>
      </c>
      <c r="C67" s="141" t="str">
        <f>Start.listina!V26</f>
        <v>Skopal</v>
      </c>
      <c r="D67" s="17" t="str">
        <f>Start.listina!W26</f>
        <v>Radek</v>
      </c>
      <c r="E67" s="17" t="str">
        <f>Start.listina!X26</f>
        <v>Kulový blesk Olomouc</v>
      </c>
      <c r="F67" s="17"/>
      <c r="G67" s="142"/>
      <c r="H67" s="69"/>
      <c r="I67" s="69"/>
    </row>
    <row r="68" spans="1:9" ht="12" customHeight="1">
      <c r="A68" s="17"/>
      <c r="B68" s="17" t="str">
        <f>Start.listina!AA26</f>
        <v/>
      </c>
      <c r="C68" s="141" t="str">
        <f>Start.listina!AB26</f>
        <v xml:space="preserve"> </v>
      </c>
      <c r="D68" s="17" t="str">
        <f>Start.listina!AC26</f>
        <v xml:space="preserve"> </v>
      </c>
      <c r="E68" s="17" t="str">
        <f>Start.listina!AD26</f>
        <v xml:space="preserve"> </v>
      </c>
      <c r="F68" s="17"/>
      <c r="G68" s="142"/>
      <c r="H68" s="69"/>
      <c r="I68" s="69"/>
    </row>
    <row r="69" spans="1:9" ht="12" customHeight="1">
      <c r="A69" s="17">
        <f>Start.listina!AH27</f>
        <v>32</v>
      </c>
      <c r="B69" s="17">
        <f>Start.listina!I27</f>
        <v>18131</v>
      </c>
      <c r="C69" s="141" t="str">
        <f>Start.listina!J27</f>
        <v>Marečková</v>
      </c>
      <c r="D69" s="17" t="str">
        <f>Start.listina!K27</f>
        <v>Yvonne</v>
      </c>
      <c r="E69" s="17" t="str">
        <f>Start.listina!L27</f>
        <v>Orel Řečkovice</v>
      </c>
      <c r="F69" s="17"/>
      <c r="G69" s="142" t="e">
        <f>IF(N(A69)&gt;0,VLOOKUP(A69,Body!$A$4:$F$259,5,0),"")</f>
        <v>#REF!</v>
      </c>
      <c r="H69" s="69">
        <f>IF(N(A69)&gt;0,VLOOKUP(A69,Body!$A$4:$F$259,6,0),"")</f>
        <v>100</v>
      </c>
      <c r="I69" s="147">
        <f>IF(N(A69)&gt;0,VLOOKUP(A69,Body!$A$4:$F$259,2,0),"")</f>
        <v>1</v>
      </c>
    </row>
    <row r="70" spans="1:9" ht="12" customHeight="1">
      <c r="A70" s="17"/>
      <c r="B70" s="17">
        <f>Start.listina!O27</f>
        <v>20503</v>
      </c>
      <c r="C70" s="141" t="str">
        <f>Start.listina!P27</f>
        <v>Pokorná</v>
      </c>
      <c r="D70" s="17" t="str">
        <f>Start.listina!Q27</f>
        <v>Lucie</v>
      </c>
      <c r="E70" s="17" t="str">
        <f>Start.listina!R27</f>
        <v>Carreau Brno</v>
      </c>
      <c r="F70" s="17"/>
      <c r="G70" s="142"/>
      <c r="H70" s="69"/>
      <c r="I70" s="69"/>
    </row>
    <row r="71" spans="1:9" ht="12" customHeight="1">
      <c r="A71" s="17"/>
      <c r="B71" s="17">
        <f>Start.listina!U27</f>
        <v>21004</v>
      </c>
      <c r="C71" s="141" t="str">
        <f>Start.listina!V27</f>
        <v>Janíčková</v>
      </c>
      <c r="D71" s="17" t="str">
        <f>Start.listina!W27</f>
        <v>Kamila</v>
      </c>
      <c r="E71" s="17" t="str">
        <f>Start.listina!X27</f>
        <v>Carreau Brno</v>
      </c>
      <c r="F71" s="17"/>
      <c r="G71" s="142"/>
      <c r="H71" s="69"/>
      <c r="I71" s="69"/>
    </row>
    <row r="72" spans="1:9" ht="12" customHeight="1">
      <c r="A72" s="17"/>
      <c r="B72" s="17" t="str">
        <f>Start.listina!AA27</f>
        <v/>
      </c>
      <c r="C72" s="141" t="str">
        <f>Start.listina!AB27</f>
        <v xml:space="preserve"> </v>
      </c>
      <c r="D72" s="17" t="str">
        <f>Start.listina!AC27</f>
        <v xml:space="preserve"> </v>
      </c>
      <c r="E72" s="17" t="str">
        <f>Start.listina!AD27</f>
        <v xml:space="preserve"> </v>
      </c>
      <c r="F72" s="17"/>
      <c r="G72" s="142"/>
      <c r="H72" s="69"/>
      <c r="I72" s="69"/>
    </row>
    <row r="73" spans="1:9" ht="12" customHeight="1">
      <c r="A73" s="17">
        <f ca="1">Start.listina!AH28</f>
        <v>12</v>
      </c>
      <c r="B73" s="17">
        <f>Start.listina!I28</f>
        <v>13077</v>
      </c>
      <c r="C73" s="141" t="str">
        <f>Start.listina!J28</f>
        <v>Kot</v>
      </c>
      <c r="D73" s="17" t="str">
        <f>Start.listina!K28</f>
        <v>Pavel</v>
      </c>
      <c r="E73" s="17" t="str">
        <f>Start.listina!L28</f>
        <v>UBU Únětice</v>
      </c>
      <c r="F73" s="17"/>
      <c r="G73" s="142" t="e">
        <f ca="1">IF(N(A73)&gt;0,VLOOKUP(A73,Body!$A$4:$F$259,5,0),"")</f>
        <v>#REF!</v>
      </c>
      <c r="H73" s="69">
        <f ca="1">IF(N(A73)&gt;0,VLOOKUP(A73,Body!$A$4:$F$259,6,0),"")</f>
        <v>100</v>
      </c>
      <c r="I73" s="147">
        <f ca="1">IF(N(A73)&gt;0,VLOOKUP(A73,Body!$A$4:$F$259,2,0),"")</f>
        <v>2.5</v>
      </c>
    </row>
    <row r="74" spans="1:9" ht="12" customHeight="1">
      <c r="A74" s="17"/>
      <c r="B74" s="17">
        <f>Start.listina!O28</f>
        <v>13078</v>
      </c>
      <c r="C74" s="141" t="str">
        <f>Start.listina!P28</f>
        <v>Kotová</v>
      </c>
      <c r="D74" s="17" t="str">
        <f>Start.listina!Q28</f>
        <v>Jiřina</v>
      </c>
      <c r="E74" s="17" t="str">
        <f>Start.listina!R28</f>
        <v>UBU Únětice</v>
      </c>
      <c r="F74" s="17"/>
      <c r="G74" s="142"/>
      <c r="H74" s="69"/>
      <c r="I74" s="69"/>
    </row>
    <row r="75" spans="1:9" ht="12" customHeight="1">
      <c r="A75" s="17"/>
      <c r="B75" s="17">
        <f>Start.listina!U28</f>
        <v>21021</v>
      </c>
      <c r="C75" s="141" t="str">
        <f>Start.listina!V28</f>
        <v>Sekerešová</v>
      </c>
      <c r="D75" s="17" t="str">
        <f>Start.listina!W28</f>
        <v>Jindřiška</v>
      </c>
      <c r="E75" s="17" t="str">
        <f>Start.listina!X28</f>
        <v>SK Sahara Vědomice</v>
      </c>
      <c r="F75" s="17"/>
      <c r="G75" s="142"/>
      <c r="H75" s="69"/>
      <c r="I75" s="69"/>
    </row>
    <row r="76" spans="1:9" ht="12" customHeight="1">
      <c r="A76" s="17"/>
      <c r="B76" s="17" t="str">
        <f>Start.listina!AA28</f>
        <v/>
      </c>
      <c r="C76" s="141" t="str">
        <f>Start.listina!AB28</f>
        <v xml:space="preserve"> </v>
      </c>
      <c r="D76" s="17" t="str">
        <f>Start.listina!AC28</f>
        <v xml:space="preserve"> </v>
      </c>
      <c r="E76" s="17" t="str">
        <f>Start.listina!AD28</f>
        <v xml:space="preserve"> </v>
      </c>
      <c r="F76" s="17"/>
      <c r="G76" s="142"/>
      <c r="H76" s="69"/>
      <c r="I76" s="69"/>
    </row>
    <row r="77" spans="1:9" ht="12" customHeight="1">
      <c r="A77" s="17">
        <f>Start.listina!AH29</f>
        <v>16</v>
      </c>
      <c r="B77" s="17">
        <f>Start.listina!I29</f>
        <v>13054</v>
      </c>
      <c r="C77" s="141" t="str">
        <f>Start.listina!J29</f>
        <v>Hildenbrand</v>
      </c>
      <c r="D77" s="17" t="str">
        <f>Start.listina!K29</f>
        <v>Benjamin</v>
      </c>
      <c r="E77" s="17" t="str">
        <f>Start.listina!L29</f>
        <v>Kulový blesk Olomouc</v>
      </c>
      <c r="F77" s="17"/>
      <c r="G77" s="142" t="e">
        <f>IF(N(A77)&gt;0,VLOOKUP(A77,Body!$A$4:$F$259,5,0),"")</f>
        <v>#REF!</v>
      </c>
      <c r="H77" s="69">
        <f>IF(N(A77)&gt;0,VLOOKUP(A77,Body!$A$4:$F$259,6,0),"")</f>
        <v>100</v>
      </c>
      <c r="I77" s="147">
        <f>IF(N(A77)&gt;0,VLOOKUP(A77,Body!$A$4:$F$259,2,0),"")</f>
        <v>2</v>
      </c>
    </row>
    <row r="78" spans="1:9" ht="12" customHeight="1">
      <c r="A78" s="17"/>
      <c r="B78" s="17">
        <f>Start.listina!O29</f>
        <v>98312</v>
      </c>
      <c r="C78" s="141" t="str">
        <f>Start.listina!P29</f>
        <v>Konečná</v>
      </c>
      <c r="D78" s="17" t="str">
        <f>Start.listina!Q29</f>
        <v>Mariana</v>
      </c>
      <c r="E78" s="17" t="str">
        <f>Start.listina!R29</f>
        <v>Kulový blesk Olomouc</v>
      </c>
      <c r="F78" s="17"/>
      <c r="G78" s="142"/>
      <c r="H78" s="69"/>
      <c r="I78" s="69"/>
    </row>
    <row r="79" spans="1:9" ht="12" customHeight="1">
      <c r="A79" s="17"/>
      <c r="B79" s="17">
        <f>Start.listina!U29</f>
        <v>98311</v>
      </c>
      <c r="C79" s="141" t="str">
        <f>Start.listina!V29</f>
        <v>Konečný</v>
      </c>
      <c r="D79" s="17" t="str">
        <f>Start.listina!W29</f>
        <v>Pavel</v>
      </c>
      <c r="E79" s="17" t="str">
        <f>Start.listina!X29</f>
        <v>Kulový blesk Olomouc</v>
      </c>
      <c r="F79" s="17"/>
      <c r="G79" s="142"/>
      <c r="H79" s="69"/>
      <c r="I79" s="69"/>
    </row>
    <row r="80" spans="1:9" ht="12" customHeight="1">
      <c r="A80" s="17"/>
      <c r="B80" s="17" t="str">
        <f>Start.listina!AA29</f>
        <v/>
      </c>
      <c r="C80" s="141" t="str">
        <f>Start.listina!AB29</f>
        <v xml:space="preserve"> </v>
      </c>
      <c r="D80" s="17" t="str">
        <f>Start.listina!AC29</f>
        <v xml:space="preserve"> </v>
      </c>
      <c r="E80" s="17" t="str">
        <f>Start.listina!AD29</f>
        <v xml:space="preserve"> </v>
      </c>
      <c r="F80" s="17"/>
      <c r="G80" s="142"/>
      <c r="H80" s="69"/>
      <c r="I80" s="69"/>
    </row>
    <row r="81" spans="1:9" ht="12" customHeight="1">
      <c r="A81" s="17">
        <f>Start.listina!AH30</f>
        <v>40</v>
      </c>
      <c r="B81" s="17">
        <f>Start.listina!I30</f>
        <v>19067</v>
      </c>
      <c r="C81" s="141" t="str">
        <f>Start.listina!J30</f>
        <v>Petrželka</v>
      </c>
      <c r="D81" s="17" t="str">
        <f>Start.listina!K30</f>
        <v>Josef</v>
      </c>
      <c r="E81" s="17" t="str">
        <f>Start.listina!L30</f>
        <v>1. Starobrněnský PK</v>
      </c>
      <c r="F81" s="17"/>
      <c r="G81" s="142" t="e">
        <f>IF(N(A81)&gt;0,VLOOKUP(A81,Body!$A$4:$F$259,5,0),"")</f>
        <v>#REF!</v>
      </c>
      <c r="H81" s="69">
        <f>IF(N(A81)&gt;0,VLOOKUP(A81,Body!$A$4:$F$259,6,0),"")</f>
        <v>100</v>
      </c>
      <c r="I81" s="147">
        <f>IF(N(A81)&gt;0,VLOOKUP(A81,Body!$A$4:$F$259,2,0),"")</f>
        <v>0.75</v>
      </c>
    </row>
    <row r="82" spans="1:9" ht="12" customHeight="1">
      <c r="A82" s="17"/>
      <c r="B82" s="17">
        <f>Start.listina!O30</f>
        <v>20565</v>
      </c>
      <c r="C82" s="141" t="str">
        <f>Start.listina!P30</f>
        <v>Manka</v>
      </c>
      <c r="D82" s="17" t="str">
        <f>Start.listina!Q30</f>
        <v>Heinz</v>
      </c>
      <c r="E82" s="17" t="str">
        <f>Start.listina!R30</f>
        <v>1. Starobrněnský PK</v>
      </c>
      <c r="F82" s="17"/>
      <c r="G82" s="142"/>
      <c r="H82" s="69"/>
      <c r="I82" s="69"/>
    </row>
    <row r="83" spans="1:9" ht="12" customHeight="1">
      <c r="A83" s="17"/>
      <c r="B83" s="17">
        <f>Start.listina!U30</f>
        <v>15083</v>
      </c>
      <c r="C83" s="141" t="str">
        <f>Start.listina!V30</f>
        <v>Dřevojan</v>
      </c>
      <c r="D83" s="17" t="str">
        <f>Start.listina!W30</f>
        <v>Milan</v>
      </c>
      <c r="E83" s="17" t="str">
        <f>Start.listina!X30</f>
        <v>1. Starobrněnský PK</v>
      </c>
      <c r="F83" s="17"/>
      <c r="G83" s="142"/>
      <c r="H83" s="69"/>
      <c r="I83" s="69"/>
    </row>
    <row r="84" spans="1:9" ht="12" customHeight="1">
      <c r="A84" s="17"/>
      <c r="B84" s="17" t="str">
        <f>Start.listina!AA30</f>
        <v/>
      </c>
      <c r="C84" s="141" t="str">
        <f>Start.listina!AB30</f>
        <v xml:space="preserve"> </v>
      </c>
      <c r="D84" s="17" t="str">
        <f>Start.listina!AC30</f>
        <v xml:space="preserve"> </v>
      </c>
      <c r="E84" s="17" t="str">
        <f>Start.listina!AD30</f>
        <v xml:space="preserve"> </v>
      </c>
      <c r="F84" s="17"/>
      <c r="G84" s="142"/>
      <c r="H84" s="69"/>
      <c r="I84" s="69"/>
    </row>
    <row r="85" spans="1:9" ht="12" customHeight="1">
      <c r="A85" s="17">
        <f>Start.listina!AH31</f>
        <v>32</v>
      </c>
      <c r="B85" s="17">
        <f>Start.listina!I31</f>
        <v>22148</v>
      </c>
      <c r="C85" s="141" t="str">
        <f>Start.listina!J31</f>
        <v>Holba</v>
      </c>
      <c r="D85" s="17" t="str">
        <f>Start.listina!K31</f>
        <v>Daniel</v>
      </c>
      <c r="E85" s="17" t="str">
        <f>Start.listina!L31</f>
        <v>PC Hrabyně</v>
      </c>
      <c r="F85" s="17"/>
      <c r="G85" s="142" t="e">
        <f>IF(N(A85)&gt;0,VLOOKUP(A85,Body!$A$4:$F$259,5,0),"")</f>
        <v>#REF!</v>
      </c>
      <c r="H85" s="69">
        <f>IF(N(A85)&gt;0,VLOOKUP(A85,Body!$A$4:$F$259,6,0),"")</f>
        <v>100</v>
      </c>
      <c r="I85" s="147">
        <f>IF(N(A85)&gt;0,VLOOKUP(A85,Body!$A$4:$F$259,2,0),"")</f>
        <v>1</v>
      </c>
    </row>
    <row r="86" spans="1:9" ht="12" customHeight="1">
      <c r="A86" s="17"/>
      <c r="B86" s="17">
        <f>Start.listina!O31</f>
        <v>22149</v>
      </c>
      <c r="C86" s="141" t="str">
        <f>Start.listina!P31</f>
        <v>Židková</v>
      </c>
      <c r="D86" s="17" t="str">
        <f>Start.listina!Q31</f>
        <v>Dana</v>
      </c>
      <c r="E86" s="17" t="str">
        <f>Start.listina!R31</f>
        <v>PC Hrabyně</v>
      </c>
      <c r="F86" s="17"/>
      <c r="G86" s="142"/>
      <c r="H86" s="69"/>
      <c r="I86" s="69"/>
    </row>
    <row r="87" spans="1:9" ht="12" customHeight="1">
      <c r="A87" s="17"/>
      <c r="B87" s="17">
        <f>Start.listina!U31</f>
        <v>22151</v>
      </c>
      <c r="C87" s="141" t="str">
        <f>Start.listina!V31</f>
        <v>Kozaková</v>
      </c>
      <c r="D87" s="17" t="str">
        <f>Start.listina!W31</f>
        <v>Blanka</v>
      </c>
      <c r="E87" s="17" t="str">
        <f>Start.listina!X31</f>
        <v>PC Hrabyně</v>
      </c>
      <c r="F87" s="17"/>
      <c r="G87" s="142"/>
      <c r="H87" s="69"/>
      <c r="I87" s="69"/>
    </row>
    <row r="88" spans="1:9" ht="12" customHeight="1">
      <c r="A88" s="17"/>
      <c r="B88" s="17" t="str">
        <f>Start.listina!AA31</f>
        <v/>
      </c>
      <c r="C88" s="141" t="str">
        <f>Start.listina!AB31</f>
        <v xml:space="preserve"> </v>
      </c>
      <c r="D88" s="17" t="str">
        <f>Start.listina!AC31</f>
        <v xml:space="preserve"> </v>
      </c>
      <c r="E88" s="17" t="str">
        <f>Start.listina!AD31</f>
        <v xml:space="preserve"> </v>
      </c>
      <c r="F88" s="17"/>
      <c r="G88" s="142"/>
      <c r="H88" s="69"/>
      <c r="I88" s="69"/>
    </row>
    <row r="89" spans="1:9" ht="12" customHeight="1">
      <c r="A89" s="17">
        <f>Start.listina!AH32</f>
        <v>24</v>
      </c>
      <c r="B89" s="17">
        <f>Start.listina!I32</f>
        <v>20617</v>
      </c>
      <c r="C89" s="141" t="str">
        <f>Start.listina!J32</f>
        <v>Rendla</v>
      </c>
      <c r="D89" s="17" t="str">
        <f>Start.listina!K32</f>
        <v>Jakub</v>
      </c>
      <c r="E89" s="17" t="str">
        <f>Start.listina!L32</f>
        <v>Carreau Brno</v>
      </c>
      <c r="F89" s="17"/>
      <c r="G89" s="142" t="e">
        <f>IF(N(A89)&gt;0,VLOOKUP(A89,Body!$A$4:$F$259,5,0),"")</f>
        <v>#REF!</v>
      </c>
      <c r="H89" s="69">
        <f>IF(N(A89)&gt;0,VLOOKUP(A89,Body!$A$4:$F$259,6,0),"")</f>
        <v>100</v>
      </c>
      <c r="I89" s="147">
        <f>IF(N(A89)&gt;0,VLOOKUP(A89,Body!$A$4:$F$259,2,0),"")</f>
        <v>1.5</v>
      </c>
    </row>
    <row r="90" spans="1:9" ht="12" customHeight="1">
      <c r="A90" s="17"/>
      <c r="B90" s="17">
        <f>Start.listina!O32</f>
        <v>20504</v>
      </c>
      <c r="C90" s="141" t="str">
        <f>Start.listina!P32</f>
        <v>Bytešník</v>
      </c>
      <c r="D90" s="17" t="str">
        <f>Start.listina!Q32</f>
        <v>Roman</v>
      </c>
      <c r="E90" s="17" t="str">
        <f>Start.listina!R32</f>
        <v>Carreau Brno</v>
      </c>
      <c r="F90" s="17"/>
      <c r="G90" s="142"/>
      <c r="H90" s="69"/>
      <c r="I90" s="69"/>
    </row>
    <row r="91" spans="1:9" ht="12" customHeight="1">
      <c r="A91" s="17"/>
      <c r="B91" s="17">
        <f>Start.listina!U32</f>
        <v>23236</v>
      </c>
      <c r="C91" s="141" t="str">
        <f>Start.listina!V32</f>
        <v>Pellizon</v>
      </c>
      <c r="D91" s="17" t="str">
        <f>Start.listina!W32</f>
        <v>Boris Alfred</v>
      </c>
      <c r="E91" s="17" t="str">
        <f>Start.listina!X32</f>
        <v>Carreau Brno</v>
      </c>
      <c r="F91" s="17"/>
      <c r="G91" s="142"/>
      <c r="H91" s="69"/>
      <c r="I91" s="69"/>
    </row>
    <row r="92" spans="1:9" ht="12" customHeight="1">
      <c r="A92" s="17"/>
      <c r="B92" s="17" t="str">
        <f>Start.listina!AA32</f>
        <v/>
      </c>
      <c r="C92" s="141" t="str">
        <f>Start.listina!AB32</f>
        <v xml:space="preserve"> </v>
      </c>
      <c r="D92" s="17" t="str">
        <f>Start.listina!AC32</f>
        <v xml:space="preserve"> </v>
      </c>
      <c r="E92" s="17" t="str">
        <f>Start.listina!AD32</f>
        <v xml:space="preserve"> </v>
      </c>
      <c r="F92" s="17"/>
      <c r="G92" s="142"/>
      <c r="H92" s="69"/>
      <c r="I92" s="69"/>
    </row>
    <row r="93" spans="1:9" ht="12" customHeight="1">
      <c r="A93" s="17">
        <f ca="1">Start.listina!AH33</f>
        <v>45</v>
      </c>
      <c r="B93" s="17">
        <f>Start.listina!I33</f>
        <v>18109</v>
      </c>
      <c r="C93" s="141" t="str">
        <f>Start.listina!J33</f>
        <v>Šternberg</v>
      </c>
      <c r="D93" s="17" t="str">
        <f>Start.listina!K33</f>
        <v>Martin</v>
      </c>
      <c r="E93" s="17" t="str">
        <f>Start.listina!L33</f>
        <v>SPORT Kolín</v>
      </c>
      <c r="F93" s="17"/>
      <c r="G93" s="142" t="e">
        <f ca="1">IF(N(A93)&gt;0,VLOOKUP(A93,Body!$A$4:$F$259,5,0),"")</f>
        <v>#REF!</v>
      </c>
      <c r="H93" s="69">
        <f ca="1">IF(N(A93)&gt;0,VLOOKUP(A93,Body!$A$4:$F$259,6,0),"")</f>
        <v>0</v>
      </c>
      <c r="I93" s="147">
        <f ca="1">IF(N(A93)&gt;0,VLOOKUP(A93,Body!$A$4:$F$259,2,0),"")</f>
        <v>0</v>
      </c>
    </row>
    <row r="94" spans="1:9" ht="12" customHeight="1">
      <c r="A94" s="17"/>
      <c r="B94" s="17">
        <f>Start.listina!O33</f>
        <v>16124</v>
      </c>
      <c r="C94" s="141" t="str">
        <f>Start.listina!P33</f>
        <v>Malá</v>
      </c>
      <c r="D94" s="17" t="str">
        <f>Start.listina!Q33</f>
        <v>Zuzana</v>
      </c>
      <c r="E94" s="17" t="str">
        <f>Start.listina!R33</f>
        <v>SPORT Kolín</v>
      </c>
      <c r="F94" s="17"/>
      <c r="G94" s="142"/>
      <c r="H94" s="69"/>
      <c r="I94" s="69"/>
    </row>
    <row r="95" spans="1:9" ht="12" customHeight="1">
      <c r="A95" s="17"/>
      <c r="B95" s="17">
        <f>Start.listina!U33</f>
        <v>19058</v>
      </c>
      <c r="C95" s="141" t="str">
        <f>Start.listina!V33</f>
        <v>Šternbergová</v>
      </c>
      <c r="D95" s="17" t="str">
        <f>Start.listina!W33</f>
        <v>Nikola</v>
      </c>
      <c r="E95" s="17" t="str">
        <f>Start.listina!X33</f>
        <v>SPORT Kolín</v>
      </c>
      <c r="F95" s="17"/>
      <c r="G95" s="142"/>
      <c r="H95" s="69"/>
      <c r="I95" s="69"/>
    </row>
    <row r="96" spans="1:9" ht="12" customHeight="1">
      <c r="A96" s="17"/>
      <c r="B96" s="17" t="str">
        <f>Start.listina!AA33</f>
        <v/>
      </c>
      <c r="C96" s="141" t="str">
        <f>Start.listina!AB33</f>
        <v xml:space="preserve"> </v>
      </c>
      <c r="D96" s="17" t="str">
        <f>Start.listina!AC33</f>
        <v xml:space="preserve"> </v>
      </c>
      <c r="E96" s="17" t="str">
        <f>Start.listina!AD33</f>
        <v xml:space="preserve"> </v>
      </c>
      <c r="F96" s="17"/>
      <c r="G96" s="142"/>
      <c r="H96" s="69"/>
      <c r="I96" s="69"/>
    </row>
    <row r="97" spans="1:9" ht="12" customHeight="1">
      <c r="A97" s="17">
        <f>Start.listina!AH34</f>
        <v>40</v>
      </c>
      <c r="B97" s="17">
        <f>Start.listina!I34</f>
        <v>99496</v>
      </c>
      <c r="C97" s="141" t="str">
        <f>Start.listina!J34</f>
        <v>Drmola</v>
      </c>
      <c r="D97" s="17" t="str">
        <f>Start.listina!K34</f>
        <v>Michal</v>
      </c>
      <c r="E97" s="17" t="str">
        <f>Start.listina!L34</f>
        <v>HRODE KRUMSÍN</v>
      </c>
      <c r="F97" s="17"/>
      <c r="G97" s="142" t="e">
        <f>IF(N(A97)&gt;0,VLOOKUP(A97,Body!$A$4:$F$259,5,0),"")</f>
        <v>#REF!</v>
      </c>
      <c r="H97" s="69">
        <f>IF(N(A97)&gt;0,VLOOKUP(A97,Body!$A$4:$F$259,6,0),"")</f>
        <v>100</v>
      </c>
      <c r="I97" s="147">
        <f>IF(N(A97)&gt;0,VLOOKUP(A97,Body!$A$4:$F$259,2,0),"")</f>
        <v>0.75</v>
      </c>
    </row>
    <row r="98" spans="1:9" ht="12" customHeight="1">
      <c r="A98" s="17"/>
      <c r="B98" s="17">
        <f>Start.listina!O34</f>
        <v>22953</v>
      </c>
      <c r="C98" s="141" t="str">
        <f>Start.listina!P34</f>
        <v>Drmola</v>
      </c>
      <c r="D98" s="17" t="str">
        <f>Start.listina!Q34</f>
        <v>David</v>
      </c>
      <c r="E98" s="17" t="str">
        <f>Start.listina!R34</f>
        <v>HRODE KRUMSÍN</v>
      </c>
      <c r="F98" s="17"/>
      <c r="G98" s="142"/>
      <c r="H98" s="69"/>
      <c r="I98" s="69"/>
    </row>
    <row r="99" spans="1:9" ht="12" customHeight="1">
      <c r="A99" s="17"/>
      <c r="B99" s="17">
        <f>Start.listina!U34</f>
        <v>24272</v>
      </c>
      <c r="C99" s="141" t="str">
        <f>Start.listina!V34</f>
        <v>Drmola</v>
      </c>
      <c r="D99" s="17" t="str">
        <f>Start.listina!W34</f>
        <v>Miroslav</v>
      </c>
      <c r="E99" s="17" t="str">
        <f>Start.listina!X34</f>
        <v>HRODE KRUMSÍN</v>
      </c>
      <c r="F99" s="17"/>
      <c r="G99" s="142"/>
      <c r="H99" s="69"/>
      <c r="I99" s="69"/>
    </row>
    <row r="100" spans="1:9" ht="12" customHeight="1">
      <c r="A100" s="17"/>
      <c r="B100" s="17" t="str">
        <f>Start.listina!AA34</f>
        <v/>
      </c>
      <c r="C100" s="141" t="str">
        <f>Start.listina!AB34</f>
        <v xml:space="preserve"> </v>
      </c>
      <c r="D100" s="17" t="str">
        <f>Start.listina!AC34</f>
        <v xml:space="preserve"> </v>
      </c>
      <c r="E100" s="17" t="str">
        <f>Start.listina!AD34</f>
        <v xml:space="preserve"> </v>
      </c>
      <c r="F100" s="17"/>
      <c r="G100" s="142"/>
      <c r="H100" s="69"/>
      <c r="I100" s="69"/>
    </row>
    <row r="101" spans="1:9" ht="12" customHeight="1">
      <c r="A101" s="17">
        <f ca="1">Start.listina!AH35</f>
        <v>13</v>
      </c>
      <c r="B101" s="17">
        <f>Start.listina!I35</f>
        <v>13047</v>
      </c>
      <c r="C101" s="141" t="str">
        <f>Start.listina!J35</f>
        <v>Šimíček</v>
      </c>
      <c r="D101" s="17" t="str">
        <f>Start.listina!K35</f>
        <v>Ladislav</v>
      </c>
      <c r="E101" s="17" t="str">
        <f>Start.listina!L35</f>
        <v>SOKOL Staříč</v>
      </c>
      <c r="F101" s="17"/>
      <c r="G101" s="142" t="e">
        <f ca="1">IF(N(A101)&gt;0,VLOOKUP(A101,Body!$A$4:$F$259,5,0),"")</f>
        <v>#REF!</v>
      </c>
      <c r="H101" s="69">
        <f ca="1">IF(N(A101)&gt;0,VLOOKUP(A101,Body!$A$4:$F$259,6,0),"")</f>
        <v>100</v>
      </c>
      <c r="I101" s="147">
        <f ca="1">IF(N(A101)&gt;0,VLOOKUP(A101,Body!$A$4:$F$259,2,0),"")</f>
        <v>2.375</v>
      </c>
    </row>
    <row r="102" spans="1:9" ht="12" customHeight="1">
      <c r="A102" s="17"/>
      <c r="B102" s="17">
        <f>Start.listina!O35</f>
        <v>97262</v>
      </c>
      <c r="C102" s="141" t="str">
        <f>Start.listina!P35</f>
        <v>Žídková</v>
      </c>
      <c r="D102" s="17" t="str">
        <f>Start.listina!Q35</f>
        <v>Lenka</v>
      </c>
      <c r="E102" s="17" t="str">
        <f>Start.listina!R35</f>
        <v>SOKOL Staříč</v>
      </c>
      <c r="F102" s="17"/>
      <c r="G102" s="142"/>
      <c r="H102" s="69"/>
      <c r="I102" s="69"/>
    </row>
    <row r="103" spans="1:9" ht="12" customHeight="1">
      <c r="A103" s="17"/>
      <c r="B103" s="17">
        <f>Start.listina!U35</f>
        <v>16018</v>
      </c>
      <c r="C103" s="141" t="str">
        <f>Start.listina!V35</f>
        <v>Csibrei</v>
      </c>
      <c r="D103" s="17" t="str">
        <f>Start.listina!W35</f>
        <v>Jan</v>
      </c>
      <c r="E103" s="17" t="str">
        <f>Start.listina!X35</f>
        <v>SOKOL Staříč</v>
      </c>
      <c r="F103" s="17"/>
      <c r="G103" s="142"/>
      <c r="H103" s="69"/>
      <c r="I103" s="69"/>
    </row>
    <row r="104" spans="1:9" ht="12" customHeight="1">
      <c r="A104" s="17"/>
      <c r="B104" s="17" t="str">
        <f>Start.listina!AA35</f>
        <v/>
      </c>
      <c r="C104" s="141" t="str">
        <f>Start.listina!AB35</f>
        <v xml:space="preserve"> </v>
      </c>
      <c r="D104" s="17" t="str">
        <f>Start.listina!AC35</f>
        <v xml:space="preserve"> </v>
      </c>
      <c r="E104" s="17" t="str">
        <f>Start.listina!AD35</f>
        <v xml:space="preserve"> </v>
      </c>
      <c r="F104" s="17"/>
      <c r="G104" s="142"/>
      <c r="H104" s="69"/>
      <c r="I104" s="69"/>
    </row>
    <row r="105" spans="1:9" ht="12" customHeight="1">
      <c r="A105" s="17">
        <f ca="1">Start.listina!AH36</f>
        <v>2</v>
      </c>
      <c r="B105" s="17">
        <f>Start.listina!I36</f>
        <v>24240</v>
      </c>
      <c r="C105" s="141" t="str">
        <f>Start.listina!J36</f>
        <v>Hodboď</v>
      </c>
      <c r="D105" s="17" t="str">
        <f>Start.listina!K36</f>
        <v>Pavel</v>
      </c>
      <c r="E105" s="17" t="str">
        <f>Start.listina!L36</f>
        <v>Carreau Brno</v>
      </c>
      <c r="F105" s="17"/>
      <c r="G105" s="142" t="e">
        <f ca="1">IF(N(A105)&gt;0,VLOOKUP(A105,Body!$A$4:$F$259,5,0),"")</f>
        <v>#REF!</v>
      </c>
      <c r="H105" s="69">
        <f ca="1">IF(N(A105)&gt;0,VLOOKUP(A105,Body!$A$4:$F$259,6,0),"")</f>
        <v>100</v>
      </c>
      <c r="I105" s="147">
        <f ca="1">IF(N(A105)&gt;0,VLOOKUP(A105,Body!$A$4:$F$259,2,0),"")</f>
        <v>5</v>
      </c>
    </row>
    <row r="106" spans="1:9" ht="12" customHeight="1">
      <c r="A106" s="17"/>
      <c r="B106" s="17">
        <f>Start.listina!O36</f>
        <v>11011</v>
      </c>
      <c r="C106" s="141" t="str">
        <f>Start.listina!P36</f>
        <v>Juráň</v>
      </c>
      <c r="D106" s="17" t="str">
        <f>Start.listina!Q36</f>
        <v>Petr</v>
      </c>
      <c r="E106" s="17" t="str">
        <f>Start.listina!R36</f>
        <v>HRODE KRUMSÍN</v>
      </c>
      <c r="F106" s="17"/>
      <c r="G106" s="142"/>
      <c r="H106" s="69"/>
      <c r="I106" s="69"/>
    </row>
    <row r="107" spans="1:9" ht="12" customHeight="1">
      <c r="A107" s="17"/>
      <c r="B107" s="17">
        <f>Start.listina!U36</f>
        <v>16107</v>
      </c>
      <c r="C107" s="141" t="str">
        <f>Start.listina!V36</f>
        <v>Janeček</v>
      </c>
      <c r="D107" s="17" t="str">
        <f>Start.listina!W36</f>
        <v>Robert</v>
      </c>
      <c r="E107" s="17" t="str">
        <f>Start.listina!X36</f>
        <v>HRODE KRUMSÍN</v>
      </c>
      <c r="F107" s="17"/>
      <c r="G107" s="142"/>
      <c r="H107" s="69"/>
      <c r="I107" s="69"/>
    </row>
    <row r="108" spans="1:9" ht="12" customHeight="1">
      <c r="A108" s="17"/>
      <c r="B108" s="17" t="str">
        <f>Start.listina!AA36</f>
        <v/>
      </c>
      <c r="C108" s="141" t="str">
        <f>Start.listina!AB36</f>
        <v xml:space="preserve"> </v>
      </c>
      <c r="D108" s="17" t="str">
        <f>Start.listina!AC36</f>
        <v xml:space="preserve"> </v>
      </c>
      <c r="E108" s="17" t="str">
        <f>Start.listina!AD36</f>
        <v xml:space="preserve"> </v>
      </c>
      <c r="F108" s="17"/>
      <c r="G108" s="142"/>
      <c r="H108" s="69"/>
      <c r="I108" s="69"/>
    </row>
    <row r="109" spans="1:9" ht="12" customHeight="1">
      <c r="A109" s="17">
        <f>Start.listina!AH37</f>
        <v>40</v>
      </c>
      <c r="B109" s="17">
        <f>Start.listina!I37</f>
        <v>27062</v>
      </c>
      <c r="C109" s="141" t="str">
        <f>Start.listina!J37</f>
        <v>Mrlina</v>
      </c>
      <c r="D109" s="17" t="str">
        <f>Start.listina!K37</f>
        <v>Karel</v>
      </c>
      <c r="E109" s="17" t="str">
        <f>Start.listina!L37</f>
        <v>FENYX Adamov</v>
      </c>
      <c r="F109" s="17"/>
      <c r="G109" s="142" t="e">
        <f>IF(N(A109)&gt;0,VLOOKUP(A109,Body!$A$4:$F$259,5,0),"")</f>
        <v>#REF!</v>
      </c>
      <c r="H109" s="69">
        <f>IF(N(A109)&gt;0,VLOOKUP(A109,Body!$A$4:$F$259,6,0),"")</f>
        <v>100</v>
      </c>
      <c r="I109" s="147">
        <f>IF(N(A109)&gt;0,VLOOKUP(A109,Body!$A$4:$F$259,2,0),"")</f>
        <v>0.75</v>
      </c>
    </row>
    <row r="110" spans="1:9" ht="12" customHeight="1">
      <c r="A110" s="17"/>
      <c r="B110" s="17">
        <f>Start.listina!O37</f>
        <v>21007</v>
      </c>
      <c r="C110" s="141" t="str">
        <f>Start.listina!P37</f>
        <v>Seredová</v>
      </c>
      <c r="D110" s="17" t="str">
        <f>Start.listina!Q37</f>
        <v>Lucie</v>
      </c>
      <c r="E110" s="17" t="str">
        <f>Start.listina!R37</f>
        <v>FENYX Adamov</v>
      </c>
      <c r="F110" s="17"/>
      <c r="G110" s="142"/>
      <c r="H110" s="69"/>
      <c r="I110" s="69"/>
    </row>
    <row r="111" spans="1:9" ht="12" customHeight="1">
      <c r="A111" s="17"/>
      <c r="B111" s="17">
        <f>Start.listina!U37</f>
        <v>98304</v>
      </c>
      <c r="C111" s="141" t="str">
        <f>Start.listina!V37</f>
        <v>Urbanová</v>
      </c>
      <c r="D111" s="17" t="str">
        <f>Start.listina!W37</f>
        <v>Bronislava</v>
      </c>
      <c r="E111" s="17" t="str">
        <f>Start.listina!X37</f>
        <v>1. Starobrněnský PK</v>
      </c>
      <c r="F111" s="17"/>
      <c r="G111" s="142"/>
      <c r="H111" s="69"/>
      <c r="I111" s="69"/>
    </row>
    <row r="112" spans="1:9" ht="12" customHeight="1">
      <c r="A112" s="17"/>
      <c r="B112" s="17" t="str">
        <f>Start.listina!AA37</f>
        <v/>
      </c>
      <c r="C112" s="141" t="str">
        <f>Start.listina!AB37</f>
        <v xml:space="preserve"> </v>
      </c>
      <c r="D112" s="17" t="str">
        <f>Start.listina!AC37</f>
        <v xml:space="preserve"> </v>
      </c>
      <c r="E112" s="17" t="str">
        <f>Start.listina!AD37</f>
        <v xml:space="preserve"> </v>
      </c>
      <c r="F112" s="17"/>
      <c r="G112" s="142"/>
      <c r="H112" s="69"/>
      <c r="I112" s="69"/>
    </row>
    <row r="113" spans="1:9" ht="12" customHeight="1">
      <c r="A113" s="17">
        <f ca="1">Start.listina!AH38</f>
        <v>45</v>
      </c>
      <c r="B113" s="17">
        <f>Start.listina!I38</f>
        <v>15051</v>
      </c>
      <c r="C113" s="141" t="str">
        <f>Start.listina!J38</f>
        <v>Hudos</v>
      </c>
      <c r="D113" s="17" t="str">
        <f>Start.listina!K38</f>
        <v>Oldřich</v>
      </c>
      <c r="E113" s="17" t="str">
        <f>Start.listina!L38</f>
        <v>KLIP Litovel</v>
      </c>
      <c r="F113" s="17"/>
      <c r="G113" s="142" t="e">
        <f ca="1">IF(N(A113)&gt;0,VLOOKUP(A113,Body!$A$4:$F$259,5,0),"")</f>
        <v>#REF!</v>
      </c>
      <c r="H113" s="69">
        <f ca="1">IF(N(A113)&gt;0,VLOOKUP(A113,Body!$A$4:$F$259,6,0),"")</f>
        <v>0</v>
      </c>
      <c r="I113" s="147">
        <f ca="1">IF(N(A113)&gt;0,VLOOKUP(A113,Body!$A$4:$F$259,2,0),"")</f>
        <v>0</v>
      </c>
    </row>
    <row r="114" spans="1:9" ht="12" customHeight="1">
      <c r="A114" s="17"/>
      <c r="B114" s="17">
        <f>Start.listina!O38</f>
        <v>24317</v>
      </c>
      <c r="C114" s="141" t="str">
        <f>Start.listina!P38</f>
        <v>Anton</v>
      </c>
      <c r="D114" s="17" t="str">
        <f>Start.listina!Q38</f>
        <v>Lubomír</v>
      </c>
      <c r="E114" s="17" t="str">
        <f>Start.listina!R38</f>
        <v>KLIP Litovel</v>
      </c>
      <c r="F114" s="17"/>
      <c r="G114" s="142"/>
      <c r="H114" s="69"/>
      <c r="I114" s="69"/>
    </row>
    <row r="115" spans="1:9" ht="12" customHeight="1">
      <c r="A115" s="17"/>
      <c r="B115" s="17">
        <f>Start.listina!U38</f>
        <v>15050</v>
      </c>
      <c r="C115" s="141" t="str">
        <f>Start.listina!V38</f>
        <v>Krystková</v>
      </c>
      <c r="D115" s="17" t="str">
        <f>Start.listina!W38</f>
        <v>Alena</v>
      </c>
      <c r="E115" s="17" t="str">
        <f>Start.listina!X38</f>
        <v>KLIP Litovel</v>
      </c>
      <c r="F115" s="17"/>
      <c r="G115" s="142"/>
      <c r="H115" s="69"/>
      <c r="I115" s="69"/>
    </row>
    <row r="116" spans="1:9" ht="12" customHeight="1">
      <c r="A116" s="17"/>
      <c r="B116" s="17" t="str">
        <f>Start.listina!AA38</f>
        <v/>
      </c>
      <c r="C116" s="141" t="str">
        <f>Start.listina!AB38</f>
        <v xml:space="preserve"> </v>
      </c>
      <c r="D116" s="17" t="str">
        <f>Start.listina!AC38</f>
        <v xml:space="preserve"> </v>
      </c>
      <c r="E116" s="17" t="str">
        <f>Start.listina!AD38</f>
        <v xml:space="preserve"> </v>
      </c>
      <c r="F116" s="17"/>
      <c r="G116" s="142"/>
      <c r="H116" s="69"/>
      <c r="I116" s="69"/>
    </row>
    <row r="117" spans="1:9" ht="12" customHeight="1">
      <c r="A117" s="17">
        <f ca="1">Start.listina!AH39</f>
        <v>45</v>
      </c>
      <c r="B117" s="17">
        <f>Start.listina!I39</f>
        <v>11044</v>
      </c>
      <c r="C117" s="141" t="str">
        <f>Start.listina!J39</f>
        <v>Ilgner</v>
      </c>
      <c r="D117" s="17" t="str">
        <f>Start.listina!K39</f>
        <v>Vladimír</v>
      </c>
      <c r="E117" s="17" t="str">
        <f>Start.listina!L39</f>
        <v>1. Starobrněnský PK</v>
      </c>
      <c r="F117" s="17"/>
      <c r="G117" s="142" t="e">
        <f ca="1">IF(N(A117)&gt;0,VLOOKUP(A117,Body!$A$4:$F$259,5,0),"")</f>
        <v>#REF!</v>
      </c>
      <c r="H117" s="69">
        <f ca="1">IF(N(A117)&gt;0,VLOOKUP(A117,Body!$A$4:$F$259,6,0),"")</f>
        <v>0</v>
      </c>
      <c r="I117" s="147">
        <f ca="1">IF(N(A117)&gt;0,VLOOKUP(A117,Body!$A$4:$F$259,2,0),"")</f>
        <v>0</v>
      </c>
    </row>
    <row r="118" spans="1:9" ht="12" customHeight="1">
      <c r="A118" s="17"/>
      <c r="B118" s="17">
        <f>Start.listina!O39</f>
        <v>11045</v>
      </c>
      <c r="C118" s="141" t="str">
        <f>Start.listina!P39</f>
        <v>Krtička</v>
      </c>
      <c r="D118" s="17" t="str">
        <f>Start.listina!Q39</f>
        <v>Jiří</v>
      </c>
      <c r="E118" s="17" t="str">
        <f>Start.listina!R39</f>
        <v>1. Starobrněnský PK</v>
      </c>
      <c r="F118" s="17"/>
      <c r="G118" s="142"/>
      <c r="H118" s="69"/>
      <c r="I118" s="69"/>
    </row>
    <row r="119" spans="1:9" ht="12" customHeight="1">
      <c r="A119" s="17"/>
      <c r="B119" s="17">
        <f>Start.listina!U39</f>
        <v>18098</v>
      </c>
      <c r="C119" s="141" t="str">
        <f>Start.listina!V39</f>
        <v>Strouhal</v>
      </c>
      <c r="D119" s="17" t="str">
        <f>Start.listina!W39</f>
        <v>Pavel</v>
      </c>
      <c r="E119" s="17" t="str">
        <f>Start.listina!X39</f>
        <v>1. Starobrněnský PK</v>
      </c>
      <c r="F119" s="17"/>
      <c r="G119" s="142"/>
      <c r="H119" s="69"/>
      <c r="I119" s="69"/>
    </row>
    <row r="120" spans="1:9" ht="12" customHeight="1">
      <c r="A120" s="17"/>
      <c r="B120" s="17" t="str">
        <f>Start.listina!AA39</f>
        <v/>
      </c>
      <c r="C120" s="141" t="str">
        <f>Start.listina!AB39</f>
        <v xml:space="preserve"> </v>
      </c>
      <c r="D120" s="17" t="str">
        <f>Start.listina!AC39</f>
        <v xml:space="preserve"> </v>
      </c>
      <c r="E120" s="17" t="str">
        <f>Start.listina!AD39</f>
        <v xml:space="preserve"> </v>
      </c>
      <c r="F120" s="17"/>
      <c r="G120" s="142"/>
      <c r="H120" s="69"/>
      <c r="I120" s="69"/>
    </row>
    <row r="121" spans="1:9" ht="12" customHeight="1">
      <c r="A121" s="17">
        <f>Start.listina!AH40</f>
        <v>17</v>
      </c>
      <c r="B121" s="17">
        <f>Start.listina!I40</f>
        <v>21072</v>
      </c>
      <c r="C121" s="141" t="str">
        <f>Start.listina!J40</f>
        <v>Kutra</v>
      </c>
      <c r="D121" s="17" t="str">
        <f>Start.listina!K40</f>
        <v>Oldřích</v>
      </c>
      <c r="E121" s="17" t="str">
        <f>Start.listina!L40</f>
        <v>1. Starobrněnský PK</v>
      </c>
      <c r="F121" s="17"/>
      <c r="G121" s="142" t="e">
        <f>IF(N(A121)&gt;0,VLOOKUP(A121,Body!$A$4:$F$259,5,0),"")</f>
        <v>#REF!</v>
      </c>
      <c r="H121" s="69">
        <f>IF(N(A121)&gt;0,VLOOKUP(A121,Body!$A$4:$F$259,6,0),"")</f>
        <v>100</v>
      </c>
      <c r="I121" s="147">
        <f>IF(N(A121)&gt;0,VLOOKUP(A121,Body!$A$4:$F$259,2,0),"")</f>
        <v>1.9375</v>
      </c>
    </row>
    <row r="122" spans="1:9" ht="12" customHeight="1">
      <c r="A122" s="17"/>
      <c r="B122" s="17">
        <f>Start.listina!O40</f>
        <v>22180</v>
      </c>
      <c r="C122" s="141" t="str">
        <f>Start.listina!P40</f>
        <v>Čiviš</v>
      </c>
      <c r="D122" s="17" t="str">
        <f>Start.listina!Q40</f>
        <v>Antonín</v>
      </c>
      <c r="E122" s="17" t="str">
        <f>Start.listina!R40</f>
        <v>P.C.B.D.</v>
      </c>
      <c r="F122" s="17"/>
      <c r="G122" s="142"/>
      <c r="H122" s="69"/>
      <c r="I122" s="69"/>
    </row>
    <row r="123" spans="1:9" ht="12" customHeight="1">
      <c r="A123" s="17"/>
      <c r="B123" s="17">
        <f>Start.listina!U40</f>
        <v>21061</v>
      </c>
      <c r="C123" s="141" t="str">
        <f>Start.listina!V40</f>
        <v>Dušáková</v>
      </c>
      <c r="D123" s="17" t="str">
        <f>Start.listina!W40</f>
        <v>Veronika</v>
      </c>
      <c r="E123" s="17" t="str">
        <f>Start.listina!X40</f>
        <v>P.C.B.D.</v>
      </c>
      <c r="F123" s="17"/>
      <c r="G123" s="142"/>
      <c r="H123" s="69"/>
      <c r="I123" s="69"/>
    </row>
    <row r="124" spans="1:9" ht="12" customHeight="1">
      <c r="A124" s="17"/>
      <c r="B124" s="17" t="str">
        <f>Start.listina!AA40</f>
        <v/>
      </c>
      <c r="C124" s="141" t="str">
        <f>Start.listina!AB40</f>
        <v xml:space="preserve"> </v>
      </c>
      <c r="D124" s="17" t="str">
        <f>Start.listina!AC40</f>
        <v xml:space="preserve"> </v>
      </c>
      <c r="E124" s="17" t="str">
        <f>Start.listina!AD40</f>
        <v xml:space="preserve"> </v>
      </c>
      <c r="F124" s="17"/>
      <c r="G124" s="142"/>
      <c r="H124" s="69"/>
      <c r="I124" s="69"/>
    </row>
    <row r="125" spans="1:9" ht="12" customHeight="1">
      <c r="A125" s="17">
        <f>Start.listina!AH41</f>
        <v>32</v>
      </c>
      <c r="B125" s="17">
        <f>Start.listina!I41</f>
        <v>96229</v>
      </c>
      <c r="C125" s="141" t="str">
        <f>Start.listina!J41</f>
        <v>Plesník</v>
      </c>
      <c r="D125" s="17" t="str">
        <f>Start.listina!K41</f>
        <v>Vladimír</v>
      </c>
      <c r="E125" s="17" t="str">
        <f>Start.listina!L41</f>
        <v>SOKOL Staříč</v>
      </c>
      <c r="F125" s="17"/>
      <c r="G125" s="142" t="e">
        <f>IF(N(A125)&gt;0,VLOOKUP(A125,Body!$A$4:$F$259,5,0),"")</f>
        <v>#REF!</v>
      </c>
      <c r="H125" s="69">
        <f>IF(N(A125)&gt;0,VLOOKUP(A125,Body!$A$4:$F$259,6,0),"")</f>
        <v>100</v>
      </c>
      <c r="I125" s="147">
        <f>IF(N(A125)&gt;0,VLOOKUP(A125,Body!$A$4:$F$259,2,0),"")</f>
        <v>1</v>
      </c>
    </row>
    <row r="126" spans="1:9" ht="12" customHeight="1">
      <c r="A126" s="17"/>
      <c r="B126" s="17">
        <f>Start.listina!O41</f>
        <v>96225</v>
      </c>
      <c r="C126" s="141" t="str">
        <f>Start.listina!P41</f>
        <v>Brož</v>
      </c>
      <c r="D126" s="17" t="str">
        <f>Start.listina!Q41</f>
        <v>Karel</v>
      </c>
      <c r="E126" s="17" t="str">
        <f>Start.listina!R41</f>
        <v>SOKOL Staříč</v>
      </c>
      <c r="F126" s="17"/>
      <c r="G126" s="142"/>
      <c r="H126" s="69"/>
      <c r="I126" s="69"/>
    </row>
    <row r="127" spans="1:9" ht="12" customHeight="1">
      <c r="A127" s="17"/>
      <c r="B127" s="17">
        <f>Start.listina!U41</f>
        <v>26039</v>
      </c>
      <c r="C127" s="141" t="str">
        <f>Start.listina!V41</f>
        <v>Kozelský</v>
      </c>
      <c r="D127" s="17" t="str">
        <f>Start.listina!W41</f>
        <v>Martin</v>
      </c>
      <c r="E127" s="17" t="str">
        <f>Start.listina!X41</f>
        <v>SOKOL Staříč</v>
      </c>
      <c r="F127" s="17"/>
      <c r="G127" s="142"/>
      <c r="H127" s="69"/>
      <c r="I127" s="69"/>
    </row>
    <row r="128" spans="1:9" ht="12" customHeight="1">
      <c r="A128" s="17"/>
      <c r="B128" s="17" t="str">
        <f>Start.listina!AA41</f>
        <v/>
      </c>
      <c r="C128" s="141" t="str">
        <f>Start.listina!AB41</f>
        <v xml:space="preserve"> </v>
      </c>
      <c r="D128" s="17" t="str">
        <f>Start.listina!AC41</f>
        <v xml:space="preserve"> </v>
      </c>
      <c r="E128" s="17" t="str">
        <f>Start.listina!AD41</f>
        <v xml:space="preserve"> </v>
      </c>
      <c r="F128" s="17"/>
      <c r="G128" s="142"/>
      <c r="H128" s="69"/>
      <c r="I128" s="69"/>
    </row>
    <row r="129" spans="1:9" ht="12" customHeight="1">
      <c r="A129" s="17">
        <f>Start.listina!AH42</f>
        <v>18</v>
      </c>
      <c r="B129" s="17">
        <f>Start.listina!I42</f>
        <v>19034</v>
      </c>
      <c r="C129" s="141" t="str">
        <f>Start.listina!J42</f>
        <v>Valošek</v>
      </c>
      <c r="D129" s="17" t="str">
        <f>Start.listina!K42</f>
        <v>Hugo</v>
      </c>
      <c r="E129" s="17" t="str">
        <f>Start.listina!L42</f>
        <v>PK Polouvsí</v>
      </c>
      <c r="F129" s="17"/>
      <c r="G129" s="142" t="e">
        <f>IF(N(A129)&gt;0,VLOOKUP(A129,Body!$A$4:$F$259,5,0),"")</f>
        <v>#REF!</v>
      </c>
      <c r="H129" s="69">
        <f>IF(N(A129)&gt;0,VLOOKUP(A129,Body!$A$4:$F$259,6,0),"")</f>
        <v>100</v>
      </c>
      <c r="I129" s="147">
        <f>IF(N(A129)&gt;0,VLOOKUP(A129,Body!$A$4:$F$259,2,0),"")</f>
        <v>1.875</v>
      </c>
    </row>
    <row r="130" spans="1:9" ht="12" customHeight="1">
      <c r="A130" s="17"/>
      <c r="B130" s="17">
        <f>Start.listina!O42</f>
        <v>18065</v>
      </c>
      <c r="C130" s="141" t="str">
        <f>Start.listina!P42</f>
        <v>Valošek</v>
      </c>
      <c r="D130" s="17" t="str">
        <f>Start.listina!Q42</f>
        <v>Radim</v>
      </c>
      <c r="E130" s="17" t="str">
        <f>Start.listina!R42</f>
        <v>PK Polouvsí</v>
      </c>
      <c r="F130" s="17"/>
      <c r="G130" s="142"/>
      <c r="H130" s="69"/>
      <c r="I130" s="69"/>
    </row>
    <row r="131" spans="1:9" ht="12" customHeight="1">
      <c r="A131" s="17"/>
      <c r="B131" s="17">
        <f>Start.listina!U42</f>
        <v>22150</v>
      </c>
      <c r="C131" s="141" t="str">
        <f>Start.listina!V42</f>
        <v>Kozak</v>
      </c>
      <c r="D131" s="17" t="str">
        <f>Start.listina!W42</f>
        <v>Petr</v>
      </c>
      <c r="E131" s="17" t="str">
        <f>Start.listina!X42</f>
        <v>PC Hrabyně</v>
      </c>
      <c r="F131" s="17"/>
      <c r="G131" s="142"/>
      <c r="H131" s="69"/>
      <c r="I131" s="69"/>
    </row>
    <row r="132" spans="1:9" ht="12" customHeight="1">
      <c r="A132" s="17"/>
      <c r="B132" s="17" t="str">
        <f>Start.listina!AA42</f>
        <v/>
      </c>
      <c r="C132" s="141" t="str">
        <f>Start.listina!AB42</f>
        <v xml:space="preserve"> </v>
      </c>
      <c r="D132" s="17" t="str">
        <f>Start.listina!AC42</f>
        <v xml:space="preserve"> </v>
      </c>
      <c r="E132" s="17" t="str">
        <f>Start.listina!AD42</f>
        <v xml:space="preserve"> </v>
      </c>
      <c r="F132" s="17"/>
      <c r="G132" s="142"/>
      <c r="H132" s="69"/>
      <c r="I132" s="69"/>
    </row>
    <row r="133" spans="1:9" ht="12" customHeight="1">
      <c r="A133" s="17">
        <f>Start.listina!AH43</f>
        <v>40</v>
      </c>
      <c r="B133" s="17">
        <f>Start.listina!I43</f>
        <v>22106</v>
      </c>
      <c r="C133" s="141" t="str">
        <f>Start.listina!J43</f>
        <v>Daněk</v>
      </c>
      <c r="D133" s="17" t="str">
        <f>Start.listina!K43</f>
        <v>Patrik</v>
      </c>
      <c r="E133" s="17" t="str">
        <f>Start.listina!L43</f>
        <v>SLOPE Brno</v>
      </c>
      <c r="F133" s="17"/>
      <c r="G133" s="142" t="e">
        <f>IF(N(A133)&gt;0,VLOOKUP(A133,Body!$A$4:$F$259,5,0),"")</f>
        <v>#REF!</v>
      </c>
      <c r="H133" s="69">
        <f>IF(N(A133)&gt;0,VLOOKUP(A133,Body!$A$4:$F$259,6,0),"")</f>
        <v>100</v>
      </c>
      <c r="I133" s="147">
        <f>IF(N(A133)&gt;0,VLOOKUP(A133,Body!$A$4:$F$259,2,0),"")</f>
        <v>0.75</v>
      </c>
    </row>
    <row r="134" spans="1:9" ht="12" customHeight="1">
      <c r="A134" s="17"/>
      <c r="B134" s="17">
        <f>Start.listina!O43</f>
        <v>21050</v>
      </c>
      <c r="C134" s="141" t="str">
        <f>Start.listina!P43</f>
        <v>Štěpánek</v>
      </c>
      <c r="D134" s="17" t="str">
        <f>Start.listina!Q43</f>
        <v>Michal</v>
      </c>
      <c r="E134" s="17" t="str">
        <f>Start.listina!R43</f>
        <v>SLOPE Brno</v>
      </c>
      <c r="F134" s="17"/>
      <c r="G134" s="142"/>
      <c r="H134" s="69"/>
      <c r="I134" s="69"/>
    </row>
    <row r="135" spans="1:9" ht="12" customHeight="1">
      <c r="A135" s="17"/>
      <c r="B135" s="17">
        <f>Start.listina!U43</f>
        <v>21049</v>
      </c>
      <c r="C135" s="141" t="str">
        <f>Start.listina!V43</f>
        <v>Paulík</v>
      </c>
      <c r="D135" s="17" t="str">
        <f>Start.listina!W43</f>
        <v>Robert</v>
      </c>
      <c r="E135" s="17" t="str">
        <f>Start.listina!X43</f>
        <v>SLOPE Brno</v>
      </c>
      <c r="F135" s="17"/>
      <c r="G135" s="142"/>
      <c r="H135" s="69"/>
      <c r="I135" s="69"/>
    </row>
    <row r="136" spans="1:9" ht="12" customHeight="1">
      <c r="A136" s="17"/>
      <c r="B136" s="17" t="str">
        <f>Start.listina!AA43</f>
        <v/>
      </c>
      <c r="C136" s="141" t="str">
        <f>Start.listina!AB43</f>
        <v xml:space="preserve"> </v>
      </c>
      <c r="D136" s="17" t="str">
        <f>Start.listina!AC43</f>
        <v xml:space="preserve"> </v>
      </c>
      <c r="E136" s="17" t="str">
        <f>Start.listina!AD43</f>
        <v xml:space="preserve"> </v>
      </c>
      <c r="F136" s="17"/>
      <c r="G136" s="142"/>
      <c r="H136" s="69"/>
      <c r="I136" s="69"/>
    </row>
    <row r="137" spans="1:9" ht="12" customHeight="1">
      <c r="A137" s="17">
        <f>Start.listina!AH44</f>
        <v>21</v>
      </c>
      <c r="B137" s="17">
        <f>Start.listina!I44</f>
        <v>21036</v>
      </c>
      <c r="C137" s="141" t="str">
        <f>Start.listina!J44</f>
        <v>Vrzal</v>
      </c>
      <c r="D137" s="17" t="str">
        <f>Start.listina!K44</f>
        <v>Martin</v>
      </c>
      <c r="E137" s="17" t="str">
        <f>Start.listina!L44</f>
        <v>PK Polouvsí</v>
      </c>
      <c r="F137" s="17"/>
      <c r="G137" s="142" t="e">
        <f>IF(N(A137)&gt;0,VLOOKUP(A137,Body!$A$4:$F$259,5,0),"")</f>
        <v>#REF!</v>
      </c>
      <c r="H137" s="69">
        <f>IF(N(A137)&gt;0,VLOOKUP(A137,Body!$A$4:$F$259,6,0),"")</f>
        <v>100</v>
      </c>
      <c r="I137" s="147">
        <f>IF(N(A137)&gt;0,VLOOKUP(A137,Body!$A$4:$F$259,2,0),"")</f>
        <v>1.6875</v>
      </c>
    </row>
    <row r="138" spans="1:9" ht="12" customHeight="1">
      <c r="A138" s="17"/>
      <c r="B138" s="17">
        <f>Start.listina!O44</f>
        <v>14021</v>
      </c>
      <c r="C138" s="141" t="str">
        <f>Start.listina!P44</f>
        <v>Grepl</v>
      </c>
      <c r="D138" s="17" t="str">
        <f>Start.listina!Q44</f>
        <v>Zbyněk</v>
      </c>
      <c r="E138" s="17" t="str">
        <f>Start.listina!R44</f>
        <v>PK Polouvsí</v>
      </c>
      <c r="F138" s="17"/>
      <c r="G138" s="142"/>
      <c r="H138" s="69"/>
      <c r="I138" s="69"/>
    </row>
    <row r="139" spans="1:9" ht="12" customHeight="1">
      <c r="A139" s="17"/>
      <c r="B139" s="17">
        <f>Start.listina!U44</f>
        <v>20578</v>
      </c>
      <c r="C139" s="141" t="str">
        <f>Start.listina!V44</f>
        <v>Knápek</v>
      </c>
      <c r="D139" s="17" t="str">
        <f>Start.listina!W44</f>
        <v>Jaroslav</v>
      </c>
      <c r="E139" s="17" t="str">
        <f>Start.listina!X44</f>
        <v>PK Polouvsí</v>
      </c>
      <c r="F139" s="17"/>
      <c r="G139" s="142"/>
      <c r="H139" s="69"/>
      <c r="I139" s="69"/>
    </row>
    <row r="140" spans="1:9" ht="12" customHeight="1">
      <c r="A140" s="17"/>
      <c r="B140" s="17" t="str">
        <f>Start.listina!AA44</f>
        <v/>
      </c>
      <c r="C140" s="141" t="str">
        <f>Start.listina!AB44</f>
        <v xml:space="preserve"> </v>
      </c>
      <c r="D140" s="17" t="str">
        <f>Start.listina!AC44</f>
        <v xml:space="preserve"> </v>
      </c>
      <c r="E140" s="17" t="str">
        <f>Start.listina!AD44</f>
        <v xml:space="preserve"> </v>
      </c>
      <c r="F140" s="17"/>
      <c r="G140" s="142"/>
      <c r="H140" s="69"/>
      <c r="I140" s="69"/>
    </row>
    <row r="141" spans="1:9" ht="12" customHeight="1">
      <c r="A141" s="17">
        <f>Start.listina!AH45</f>
        <v>40</v>
      </c>
      <c r="B141" s="17">
        <f>Start.listina!I45</f>
        <v>11049</v>
      </c>
      <c r="C141" s="141" t="str">
        <f>Start.listina!J45</f>
        <v>Bucek</v>
      </c>
      <c r="D141" s="17" t="str">
        <f>Start.listina!K45</f>
        <v>Zdeněk</v>
      </c>
      <c r="E141" s="17" t="str">
        <f>Start.listina!L45</f>
        <v>1. KPK Vrchlabí</v>
      </c>
      <c r="F141" s="17"/>
      <c r="G141" s="142" t="e">
        <f>IF(N(A141)&gt;0,VLOOKUP(A141,Body!$A$4:$F$259,5,0),"")</f>
        <v>#REF!</v>
      </c>
      <c r="H141" s="69">
        <f>IF(N(A141)&gt;0,VLOOKUP(A141,Body!$A$4:$F$259,6,0),"")</f>
        <v>100</v>
      </c>
      <c r="I141" s="147">
        <f>IF(N(A141)&gt;0,VLOOKUP(A141,Body!$A$4:$F$259,2,0),"")</f>
        <v>0.75</v>
      </c>
    </row>
    <row r="142" spans="1:9" ht="12" customHeight="1">
      <c r="A142" s="17"/>
      <c r="B142" s="17">
        <f>Start.listina!O45</f>
        <v>18081</v>
      </c>
      <c r="C142" s="141" t="str">
        <f>Start.listina!P45</f>
        <v>Bartoš</v>
      </c>
      <c r="D142" s="17" t="str">
        <f>Start.listina!Q45</f>
        <v>Josef</v>
      </c>
      <c r="E142" s="17" t="str">
        <f>Start.listina!R45</f>
        <v>CHRUPEK Chrudim</v>
      </c>
      <c r="F142" s="17"/>
      <c r="G142" s="142"/>
      <c r="H142" s="69"/>
      <c r="I142" s="69"/>
    </row>
    <row r="143" spans="1:9" ht="12" customHeight="1">
      <c r="A143" s="17"/>
      <c r="B143" s="17">
        <f>Start.listina!U45</f>
        <v>18080</v>
      </c>
      <c r="C143" s="141" t="str">
        <f>Start.listina!V45</f>
        <v>Bartošová</v>
      </c>
      <c r="D143" s="17" t="str">
        <f>Start.listina!W45</f>
        <v>Helena</v>
      </c>
      <c r="E143" s="17" t="str">
        <f>Start.listina!X45</f>
        <v>CHRUPEK Chrudim</v>
      </c>
      <c r="F143" s="17"/>
      <c r="G143" s="142"/>
      <c r="H143" s="69"/>
      <c r="I143" s="69"/>
    </row>
    <row r="144" spans="1:9" ht="12" customHeight="1">
      <c r="A144" s="17"/>
      <c r="B144" s="17" t="str">
        <f>Start.listina!AA45</f>
        <v/>
      </c>
      <c r="C144" s="141" t="str">
        <f>Start.listina!AB45</f>
        <v xml:space="preserve"> </v>
      </c>
      <c r="D144" s="17" t="str">
        <f>Start.listina!AC45</f>
        <v xml:space="preserve"> </v>
      </c>
      <c r="E144" s="17" t="str">
        <f>Start.listina!AD45</f>
        <v xml:space="preserve"> </v>
      </c>
      <c r="F144" s="17"/>
      <c r="G144" s="142"/>
      <c r="H144" s="69"/>
      <c r="I144" s="69"/>
    </row>
    <row r="145" spans="1:9" ht="12" customHeight="1">
      <c r="A145" s="17">
        <f ca="1">Start.listina!AH46</f>
        <v>3</v>
      </c>
      <c r="B145" s="17">
        <f>Start.listina!I46</f>
        <v>98477</v>
      </c>
      <c r="C145" s="141" t="str">
        <f>Start.listina!J46</f>
        <v>Hejl ml.</v>
      </c>
      <c r="D145" s="17" t="str">
        <f>Start.listina!K46</f>
        <v>Pavel</v>
      </c>
      <c r="E145" s="17" t="str">
        <f>Start.listina!L46</f>
        <v>P.C.B.D.</v>
      </c>
      <c r="F145" s="17"/>
      <c r="G145" s="142" t="e">
        <f ca="1">IF(N(A145)&gt;0,VLOOKUP(A145,Body!$A$4:$F$259,5,0),"")</f>
        <v>#REF!</v>
      </c>
      <c r="H145" s="69">
        <f ca="1">IF(N(A145)&gt;0,VLOOKUP(A145,Body!$A$4:$F$259,6,0),"")</f>
        <v>100</v>
      </c>
      <c r="I145" s="147">
        <f ca="1">IF(N(A145)&gt;0,VLOOKUP(A145,Body!$A$4:$F$259,2,0),"")</f>
        <v>4.5</v>
      </c>
    </row>
    <row r="146" spans="1:9" ht="12" customHeight="1">
      <c r="A146" s="17"/>
      <c r="B146" s="17">
        <f>Start.listina!O46</f>
        <v>24310</v>
      </c>
      <c r="C146" s="141" t="str">
        <f>Start.listina!P46</f>
        <v>Netušil</v>
      </c>
      <c r="D146" s="17" t="str">
        <f>Start.listina!Q46</f>
        <v>Radek</v>
      </c>
      <c r="E146" s="17" t="str">
        <f>Start.listina!R46</f>
        <v>P.C.B.D.</v>
      </c>
      <c r="F146" s="17"/>
      <c r="G146" s="142"/>
      <c r="H146" s="69"/>
      <c r="I146" s="69"/>
    </row>
    <row r="147" spans="1:9" ht="12" customHeight="1">
      <c r="A147" s="17"/>
      <c r="B147" s="17">
        <f>Start.listina!U46</f>
        <v>96152</v>
      </c>
      <c r="C147" s="141" t="str">
        <f>Start.listina!V46</f>
        <v>Stoklásek</v>
      </c>
      <c r="D147" s="17" t="str">
        <f>Start.listina!W46</f>
        <v>Tomáš</v>
      </c>
      <c r="E147" s="17" t="str">
        <f>Start.listina!X46</f>
        <v>P.C.B.D.</v>
      </c>
      <c r="F147" s="17"/>
      <c r="G147" s="142"/>
      <c r="H147" s="69"/>
      <c r="I147" s="69"/>
    </row>
    <row r="148" spans="1:9" ht="12" customHeight="1">
      <c r="A148" s="17"/>
      <c r="B148" s="17" t="str">
        <f>Start.listina!AA46</f>
        <v/>
      </c>
      <c r="C148" s="141" t="str">
        <f>Start.listina!AB46</f>
        <v xml:space="preserve"> </v>
      </c>
      <c r="D148" s="17" t="str">
        <f>Start.listina!AC46</f>
        <v xml:space="preserve"> </v>
      </c>
      <c r="E148" s="17" t="str">
        <f>Start.listina!AD46</f>
        <v xml:space="preserve"> </v>
      </c>
      <c r="F148" s="17"/>
      <c r="G148" s="142"/>
      <c r="H148" s="69"/>
      <c r="I148" s="69"/>
    </row>
    <row r="149" spans="1:9" ht="12" customHeight="1">
      <c r="A149" s="17">
        <f>Start.listina!AH47</f>
        <v>22</v>
      </c>
      <c r="B149" s="17">
        <f>Start.listina!I47</f>
        <v>20506</v>
      </c>
      <c r="C149" s="141" t="str">
        <f>Start.listina!J47</f>
        <v>Potužák</v>
      </c>
      <c r="D149" s="17" t="str">
        <f>Start.listina!K47</f>
        <v>Zdeněk</v>
      </c>
      <c r="E149" s="17" t="str">
        <f>Start.listina!L47</f>
        <v>KLIP Litovel</v>
      </c>
      <c r="F149" s="17"/>
      <c r="G149" s="142" t="e">
        <f>IF(N(A149)&gt;0,VLOOKUP(A149,Body!$A$4:$F$259,5,0),"")</f>
        <v>#REF!</v>
      </c>
      <c r="H149" s="69">
        <f>IF(N(A149)&gt;0,VLOOKUP(A149,Body!$A$4:$F$259,6,0),"")</f>
        <v>100</v>
      </c>
      <c r="I149" s="147">
        <f>IF(N(A149)&gt;0,VLOOKUP(A149,Body!$A$4:$F$259,2,0),"")</f>
        <v>1.625</v>
      </c>
    </row>
    <row r="150" spans="1:9" ht="12" customHeight="1">
      <c r="A150" s="17"/>
      <c r="B150" s="17">
        <f>Start.listina!O47</f>
        <v>19021</v>
      </c>
      <c r="C150" s="141" t="str">
        <f>Start.listina!P47</f>
        <v>Chodúr</v>
      </c>
      <c r="D150" s="17" t="str">
        <f>Start.listina!Q47</f>
        <v>Peter</v>
      </c>
      <c r="E150" s="17" t="str">
        <f>Start.listina!R47</f>
        <v>HRODE KRUMSÍN</v>
      </c>
      <c r="F150" s="17"/>
      <c r="G150" s="142"/>
      <c r="H150" s="69"/>
      <c r="I150" s="69"/>
    </row>
    <row r="151" spans="1:9" ht="12" customHeight="1">
      <c r="A151" s="17"/>
      <c r="B151" s="17">
        <f>Start.listina!U47</f>
        <v>23244</v>
      </c>
      <c r="C151" s="141" t="str">
        <f>Start.listina!V47</f>
        <v>Škobrtal</v>
      </c>
      <c r="D151" s="17" t="str">
        <f>Start.listina!W47</f>
        <v>Petr</v>
      </c>
      <c r="E151" s="17" t="str">
        <f>Start.listina!X47</f>
        <v>KLIP Litovel</v>
      </c>
      <c r="F151" s="17"/>
      <c r="G151" s="142"/>
      <c r="H151" s="69"/>
      <c r="I151" s="69"/>
    </row>
    <row r="152" spans="1:9" ht="12" customHeight="1">
      <c r="A152" s="17"/>
      <c r="B152" s="17" t="str">
        <f>Start.listina!AA47</f>
        <v/>
      </c>
      <c r="C152" s="141" t="str">
        <f>Start.listina!AB47</f>
        <v xml:space="preserve"> </v>
      </c>
      <c r="D152" s="17" t="str">
        <f>Start.listina!AC47</f>
        <v xml:space="preserve"> </v>
      </c>
      <c r="E152" s="17" t="str">
        <f>Start.listina!AD47</f>
        <v xml:space="preserve"> </v>
      </c>
      <c r="F152" s="17"/>
      <c r="G152" s="142"/>
      <c r="H152" s="69"/>
      <c r="I152" s="69"/>
    </row>
    <row r="153" spans="1:9" ht="12" customHeight="1">
      <c r="A153" s="17">
        <f ca="1">Start.listina!AH48</f>
        <v>45</v>
      </c>
      <c r="B153" s="17">
        <f>Start.listina!I48</f>
        <v>21813</v>
      </c>
      <c r="C153" s="141" t="str">
        <f>Start.listina!J48</f>
        <v>Šrubařová</v>
      </c>
      <c r="D153" s="17" t="str">
        <f>Start.listina!K48</f>
        <v>Hana</v>
      </c>
      <c r="E153" s="17" t="str">
        <f>Start.listina!L48</f>
        <v>Carreau Brno</v>
      </c>
      <c r="F153" s="17"/>
      <c r="G153" s="142" t="e">
        <f ca="1">IF(N(A153)&gt;0,VLOOKUP(A153,Body!$A$4:$F$259,5,0),"")</f>
        <v>#REF!</v>
      </c>
      <c r="H153" s="69">
        <f ca="1">IF(N(A153)&gt;0,VLOOKUP(A153,Body!$A$4:$F$259,6,0),"")</f>
        <v>0</v>
      </c>
      <c r="I153" s="147">
        <f ca="1">IF(N(A153)&gt;0,VLOOKUP(A153,Body!$A$4:$F$259,2,0),"")</f>
        <v>0</v>
      </c>
    </row>
    <row r="154" spans="1:9" ht="12" customHeight="1">
      <c r="A154" s="17"/>
      <c r="B154" s="17">
        <f>Start.listina!O48</f>
        <v>15078</v>
      </c>
      <c r="C154" s="141" t="str">
        <f>Start.listina!P48</f>
        <v>Vérosta</v>
      </c>
      <c r="D154" s="17" t="str">
        <f>Start.listina!Q48</f>
        <v>David</v>
      </c>
      <c r="E154" s="17" t="str">
        <f>Start.listina!R48</f>
        <v>HP Třebíč</v>
      </c>
      <c r="F154" s="17"/>
      <c r="G154" s="142"/>
      <c r="H154" s="69"/>
      <c r="I154" s="69"/>
    </row>
    <row r="155" spans="1:9" ht="12" customHeight="1">
      <c r="A155" s="17"/>
      <c r="B155" s="17">
        <f>Start.listina!U48</f>
        <v>23029</v>
      </c>
      <c r="C155" s="141" t="str">
        <f>Start.listina!V48</f>
        <v>Kobza</v>
      </c>
      <c r="D155" s="17" t="str">
        <f>Start.listina!W48</f>
        <v>Ladislav</v>
      </c>
      <c r="E155" s="17" t="str">
        <f>Start.listina!X48</f>
        <v>HRODE KRUMSÍN</v>
      </c>
      <c r="F155" s="17"/>
      <c r="G155" s="142"/>
      <c r="H155" s="69"/>
      <c r="I155" s="69"/>
    </row>
    <row r="156" spans="1:9" ht="12" customHeight="1">
      <c r="A156" s="17"/>
      <c r="B156" s="17" t="str">
        <f>Start.listina!AA48</f>
        <v/>
      </c>
      <c r="C156" s="141" t="str">
        <f>Start.listina!AB48</f>
        <v xml:space="preserve"> </v>
      </c>
      <c r="D156" s="17" t="str">
        <f>Start.listina!AC48</f>
        <v xml:space="preserve"> </v>
      </c>
      <c r="E156" s="17" t="str">
        <f>Start.listina!AD48</f>
        <v xml:space="preserve"> </v>
      </c>
      <c r="F156" s="17"/>
      <c r="G156" s="142"/>
      <c r="H156" s="69"/>
      <c r="I156" s="69"/>
    </row>
    <row r="157" spans="1:9" ht="12" customHeight="1">
      <c r="A157" s="17">
        <f ca="1">Start.listina!AH49</f>
        <v>14</v>
      </c>
      <c r="B157" s="17">
        <f>Start.listina!I49</f>
        <v>19040</v>
      </c>
      <c r="C157" s="141" t="str">
        <f>Start.listina!J49</f>
        <v>Olbort</v>
      </c>
      <c r="D157" s="17" t="str">
        <f>Start.listina!K49</f>
        <v>Tomáš</v>
      </c>
      <c r="E157" s="17" t="str">
        <f>Start.listina!L49</f>
        <v>Orel Řečkovice</v>
      </c>
      <c r="F157" s="17"/>
      <c r="G157" s="142" t="e">
        <f ca="1">IF(N(A157)&gt;0,VLOOKUP(A157,Body!$A$4:$F$259,5,0),"")</f>
        <v>#REF!</v>
      </c>
      <c r="H157" s="69">
        <f ca="1">IF(N(A157)&gt;0,VLOOKUP(A157,Body!$A$4:$F$259,6,0),"")</f>
        <v>100</v>
      </c>
      <c r="I157" s="147">
        <f ca="1">IF(N(A157)&gt;0,VLOOKUP(A157,Body!$A$4:$F$259,2,0),"")</f>
        <v>2.25</v>
      </c>
    </row>
    <row r="158" spans="1:9" ht="12" customHeight="1">
      <c r="A158" s="17"/>
      <c r="B158" s="17">
        <f>Start.listina!O49</f>
        <v>18060</v>
      </c>
      <c r="C158" s="141" t="str">
        <f>Start.listina!P49</f>
        <v>Kvítek</v>
      </c>
      <c r="D158" s="17" t="str">
        <f>Start.listina!Q49</f>
        <v>Franjo</v>
      </c>
      <c r="E158" s="17" t="str">
        <f>Start.listina!R49</f>
        <v>Orel Řečkovice</v>
      </c>
      <c r="F158" s="17"/>
      <c r="G158" s="142"/>
      <c r="H158" s="69"/>
      <c r="I158" s="69"/>
    </row>
    <row r="159" spans="1:9" ht="12" customHeight="1">
      <c r="A159" s="17"/>
      <c r="B159" s="17">
        <f>Start.listina!U49</f>
        <v>13060</v>
      </c>
      <c r="C159" s="141" t="str">
        <f>Start.listina!V49</f>
        <v>Janík</v>
      </c>
      <c r="D159" s="17" t="str">
        <f>Start.listina!W49</f>
        <v>Petr</v>
      </c>
      <c r="E159" s="17" t="str">
        <f>Start.listina!X49</f>
        <v>P.C.B.D.</v>
      </c>
      <c r="F159" s="17"/>
      <c r="G159" s="142"/>
      <c r="H159" s="69"/>
      <c r="I159" s="69"/>
    </row>
    <row r="160" spans="1:9" ht="12" customHeight="1">
      <c r="A160" s="17"/>
      <c r="B160" s="17" t="str">
        <f>Start.listina!AA49</f>
        <v/>
      </c>
      <c r="C160" s="141" t="str">
        <f>Start.listina!AB49</f>
        <v xml:space="preserve"> </v>
      </c>
      <c r="D160" s="17" t="str">
        <f>Start.listina!AC49</f>
        <v xml:space="preserve"> </v>
      </c>
      <c r="E160" s="17" t="str">
        <f>Start.listina!AD49</f>
        <v xml:space="preserve"> </v>
      </c>
      <c r="F160" s="17"/>
      <c r="G160" s="142"/>
      <c r="H160" s="69"/>
      <c r="I160" s="69"/>
    </row>
    <row r="161" spans="1:9" ht="12" customHeight="1">
      <c r="A161" s="17">
        <f ca="1">Start.listina!AH50</f>
        <v>45</v>
      </c>
      <c r="B161" s="17">
        <f>Start.listina!I50</f>
        <v>18064</v>
      </c>
      <c r="C161" s="141" t="str">
        <f>Start.listina!J50</f>
        <v>Rusek</v>
      </c>
      <c r="D161" s="17" t="str">
        <f>Start.listina!K50</f>
        <v>Luboš</v>
      </c>
      <c r="E161" s="17" t="str">
        <f>Start.listina!L50</f>
        <v>PK Polouvsí</v>
      </c>
      <c r="F161" s="17"/>
      <c r="G161" s="142" t="e">
        <f ca="1">IF(N(A161)&gt;0,VLOOKUP(A161,Body!$A$4:$F$259,5,0),"")</f>
        <v>#REF!</v>
      </c>
      <c r="H161" s="69">
        <f ca="1">IF(N(A161)&gt;0,VLOOKUP(A161,Body!$A$4:$F$259,6,0),"")</f>
        <v>0</v>
      </c>
      <c r="I161" s="147">
        <f ca="1">IF(N(A161)&gt;0,VLOOKUP(A161,Body!$A$4:$F$259,2,0),"")</f>
        <v>0</v>
      </c>
    </row>
    <row r="162" spans="1:9" ht="12" customHeight="1">
      <c r="A162" s="17"/>
      <c r="B162" s="17">
        <f>Start.listina!O50</f>
        <v>22120</v>
      </c>
      <c r="C162" s="141" t="str">
        <f>Start.listina!P50</f>
        <v>Rusková</v>
      </c>
      <c r="D162" s="17" t="str">
        <f>Start.listina!Q50</f>
        <v>Kateřina</v>
      </c>
      <c r="E162" s="17" t="str">
        <f>Start.listina!R50</f>
        <v>PK Polouvsí</v>
      </c>
      <c r="F162" s="17"/>
      <c r="G162" s="142"/>
      <c r="H162" s="69"/>
      <c r="I162" s="69"/>
    </row>
    <row r="163" spans="1:9" ht="12" customHeight="1">
      <c r="A163" s="17"/>
      <c r="B163" s="17">
        <f>Start.listina!U50</f>
        <v>20579</v>
      </c>
      <c r="C163" s="141" t="str">
        <f>Start.listina!V50</f>
        <v>Rusková</v>
      </c>
      <c r="D163" s="17" t="str">
        <f>Start.listina!W50</f>
        <v>Rozálie</v>
      </c>
      <c r="E163" s="17" t="str">
        <f>Start.listina!X50</f>
        <v>PK Polouvsí</v>
      </c>
      <c r="F163" s="17"/>
      <c r="G163" s="142"/>
      <c r="H163" s="69"/>
      <c r="I163" s="69"/>
    </row>
    <row r="164" spans="1:9" ht="12" customHeight="1">
      <c r="A164" s="17"/>
      <c r="B164" s="17" t="str">
        <f>Start.listina!AA50</f>
        <v/>
      </c>
      <c r="C164" s="141" t="str">
        <f>Start.listina!AB50</f>
        <v xml:space="preserve"> </v>
      </c>
      <c r="D164" s="17" t="str">
        <f>Start.listina!AC50</f>
        <v xml:space="preserve"> </v>
      </c>
      <c r="E164" s="17" t="str">
        <f>Start.listina!AD50</f>
        <v xml:space="preserve"> </v>
      </c>
      <c r="F164" s="17"/>
      <c r="G164" s="142"/>
      <c r="H164" s="69"/>
      <c r="I164" s="69"/>
    </row>
    <row r="165" spans="1:9" ht="12" customHeight="1">
      <c r="A165" s="17">
        <f>Start.listina!AH51</f>
        <v>32</v>
      </c>
      <c r="B165" s="17">
        <f>Start.listina!I51</f>
        <v>28056</v>
      </c>
      <c r="C165" s="141" t="str">
        <f>Start.listina!J51</f>
        <v>Blažejová</v>
      </c>
      <c r="D165" s="17" t="str">
        <f>Start.listina!K51</f>
        <v>Eva</v>
      </c>
      <c r="E165" s="17" t="str">
        <f>Start.listina!L51</f>
        <v>1. Starobrněnský PK</v>
      </c>
      <c r="F165" s="17"/>
      <c r="G165" s="142" t="e">
        <f>IF(N(A165)&gt;0,VLOOKUP(A165,Body!$A$4:$F$259,5,0),"")</f>
        <v>#REF!</v>
      </c>
      <c r="H165" s="69">
        <f>IF(N(A165)&gt;0,VLOOKUP(A165,Body!$A$4:$F$259,6,0),"")</f>
        <v>100</v>
      </c>
      <c r="I165" s="147">
        <f>IF(N(A165)&gt;0,VLOOKUP(A165,Body!$A$4:$F$259,2,0),"")</f>
        <v>1</v>
      </c>
    </row>
    <row r="166" spans="1:9" ht="12" customHeight="1">
      <c r="A166" s="17"/>
      <c r="B166" s="17">
        <f>Start.listina!O51</f>
        <v>17038</v>
      </c>
      <c r="C166" s="141" t="str">
        <f>Start.listina!P51</f>
        <v>Šamšulová</v>
      </c>
      <c r="D166" s="17" t="str">
        <f>Start.listina!Q51</f>
        <v>Jana</v>
      </c>
      <c r="E166" s="17" t="str">
        <f>Start.listina!R51</f>
        <v>KLIP Litovel</v>
      </c>
      <c r="F166" s="17"/>
      <c r="G166" s="142"/>
      <c r="H166" s="69"/>
      <c r="I166" s="69"/>
    </row>
    <row r="167" spans="1:9" ht="12" customHeight="1">
      <c r="A167" s="17"/>
      <c r="B167" s="17">
        <f>Start.listina!U51</f>
        <v>23240</v>
      </c>
      <c r="C167" s="141" t="str">
        <f>Start.listina!V51</f>
        <v>Oujezdský</v>
      </c>
      <c r="D167" s="17" t="str">
        <f>Start.listina!W51</f>
        <v>Miroslav</v>
      </c>
      <c r="E167" s="17" t="str">
        <f>Start.listina!X51</f>
        <v>BePeC 2016</v>
      </c>
      <c r="F167" s="17"/>
      <c r="G167" s="142"/>
      <c r="H167" s="69"/>
      <c r="I167" s="69"/>
    </row>
    <row r="168" spans="1:9" ht="12" customHeight="1">
      <c r="A168" s="17"/>
      <c r="B168" s="17" t="str">
        <f>Start.listina!AA51</f>
        <v/>
      </c>
      <c r="C168" s="141" t="str">
        <f>Start.listina!AB51</f>
        <v xml:space="preserve"> </v>
      </c>
      <c r="D168" s="17" t="str">
        <f>Start.listina!AC51</f>
        <v xml:space="preserve"> </v>
      </c>
      <c r="E168" s="17" t="str">
        <f>Start.listina!AD51</f>
        <v xml:space="preserve"> </v>
      </c>
      <c r="F168" s="17"/>
      <c r="G168" s="142"/>
      <c r="H168" s="69"/>
      <c r="I168" s="69"/>
    </row>
    <row r="169" spans="1:9" ht="12" customHeight="1">
      <c r="A169" s="17">
        <f>Start.listina!AH52</f>
        <v>40</v>
      </c>
      <c r="B169" s="17">
        <f>Start.listina!I52</f>
        <v>18071</v>
      </c>
      <c r="C169" s="141" t="str">
        <f>Start.listina!J52</f>
        <v>Koudelka</v>
      </c>
      <c r="D169" s="17" t="str">
        <f>Start.listina!K52</f>
        <v>Josef</v>
      </c>
      <c r="E169" s="17" t="str">
        <f>Start.listina!L52</f>
        <v>PK Polouvsí</v>
      </c>
      <c r="F169" s="17"/>
      <c r="G169" s="142" t="e">
        <f>IF(N(A169)&gt;0,VLOOKUP(A169,Body!$A$4:$F$259,5,0),"")</f>
        <v>#REF!</v>
      </c>
      <c r="H169" s="69">
        <f>IF(N(A169)&gt;0,VLOOKUP(A169,Body!$A$4:$F$259,6,0),"")</f>
        <v>100</v>
      </c>
      <c r="I169" s="147">
        <f>IF(N(A169)&gt;0,VLOOKUP(A169,Body!$A$4:$F$259,2,0),"")</f>
        <v>0.75</v>
      </c>
    </row>
    <row r="170" spans="1:9" ht="12" customHeight="1">
      <c r="A170" s="17"/>
      <c r="B170" s="17">
        <f>Start.listina!O52</f>
        <v>18070</v>
      </c>
      <c r="C170" s="141" t="str">
        <f>Start.listina!P52</f>
        <v>Koudelková</v>
      </c>
      <c r="D170" s="17" t="str">
        <f>Start.listina!Q52</f>
        <v>Magdalena</v>
      </c>
      <c r="E170" s="17" t="str">
        <f>Start.listina!R52</f>
        <v>PK Polouvsí</v>
      </c>
      <c r="F170" s="17"/>
      <c r="G170" s="142"/>
      <c r="H170" s="69"/>
      <c r="I170" s="69"/>
    </row>
    <row r="171" spans="1:9" ht="12" customHeight="1">
      <c r="A171" s="17"/>
      <c r="B171" s="17">
        <f>Start.listina!U52</f>
        <v>22121</v>
      </c>
      <c r="C171" s="141" t="str">
        <f>Start.listina!V52</f>
        <v>Korčáková</v>
      </c>
      <c r="D171" s="17" t="str">
        <f>Start.listina!W52</f>
        <v>Helena</v>
      </c>
      <c r="E171" s="17" t="str">
        <f>Start.listina!X52</f>
        <v>PK Polouvsí</v>
      </c>
      <c r="F171" s="17"/>
      <c r="G171" s="142"/>
      <c r="H171" s="69"/>
      <c r="I171" s="69"/>
    </row>
    <row r="172" spans="1:9" ht="12" customHeight="1">
      <c r="A172" s="17"/>
      <c r="B172" s="17" t="str">
        <f>Start.listina!AA52</f>
        <v/>
      </c>
      <c r="C172" s="141" t="str">
        <f>Start.listina!AB52</f>
        <v xml:space="preserve"> </v>
      </c>
      <c r="D172" s="17" t="str">
        <f>Start.listina!AC52</f>
        <v xml:space="preserve"> </v>
      </c>
      <c r="E172" s="17" t="str">
        <f>Start.listina!AD52</f>
        <v xml:space="preserve"> </v>
      </c>
      <c r="F172" s="17"/>
      <c r="G172" s="142"/>
      <c r="H172" s="69"/>
      <c r="I172" s="69"/>
    </row>
    <row r="173" spans="1:9" ht="12" customHeight="1">
      <c r="A173" s="17">
        <f>Start.listina!AH53</f>
        <v>32</v>
      </c>
      <c r="B173" s="17">
        <f>Start.listina!I53</f>
        <v>21913</v>
      </c>
      <c r="C173" s="141" t="str">
        <f>Start.listina!J53</f>
        <v>Korešová</v>
      </c>
      <c r="D173" s="17" t="str">
        <f>Start.listina!K53</f>
        <v>Alena</v>
      </c>
      <c r="E173" s="17" t="str">
        <f>Start.listina!L53</f>
        <v>HAVAJ CB</v>
      </c>
      <c r="F173" s="17"/>
      <c r="G173" s="142" t="e">
        <f>IF(N(A173)&gt;0,VLOOKUP(A173,Body!$A$4:$F$259,5,0),"")</f>
        <v>#REF!</v>
      </c>
      <c r="H173" s="69">
        <f>IF(N(A173)&gt;0,VLOOKUP(A173,Body!$A$4:$F$259,6,0),"")</f>
        <v>100</v>
      </c>
      <c r="I173" s="147">
        <f>IF(N(A173)&gt;0,VLOOKUP(A173,Body!$A$4:$F$259,2,0),"")</f>
        <v>1</v>
      </c>
    </row>
    <row r="174" spans="1:9" ht="12" customHeight="1">
      <c r="A174" s="17"/>
      <c r="B174" s="17">
        <f>Start.listina!O53</f>
        <v>22183</v>
      </c>
      <c r="C174" s="141" t="str">
        <f>Start.listina!P53</f>
        <v>Brandes</v>
      </c>
      <c r="D174" s="17" t="str">
        <f>Start.listina!Q53</f>
        <v>Michael</v>
      </c>
      <c r="E174" s="17" t="str">
        <f>Start.listina!R53</f>
        <v>PC Damníkov</v>
      </c>
      <c r="F174" s="17"/>
      <c r="G174" s="142"/>
      <c r="H174" s="69"/>
      <c r="I174" s="69"/>
    </row>
    <row r="175" spans="1:9" ht="12" customHeight="1">
      <c r="A175" s="17"/>
      <c r="B175" s="17">
        <f>Start.listina!U53</f>
        <v>22181</v>
      </c>
      <c r="C175" s="141" t="str">
        <f>Start.listina!V53</f>
        <v>Brandes</v>
      </c>
      <c r="D175" s="17" t="str">
        <f>Start.listina!W53</f>
        <v>Valter</v>
      </c>
      <c r="E175" s="17" t="str">
        <f>Start.listina!X53</f>
        <v>PC Damníkov</v>
      </c>
      <c r="F175" s="17"/>
      <c r="G175" s="142"/>
      <c r="H175" s="69"/>
      <c r="I175" s="69"/>
    </row>
    <row r="176" spans="1:9" ht="12" customHeight="1">
      <c r="A176" s="17"/>
      <c r="B176" s="17" t="str">
        <f>Start.listina!AA53</f>
        <v/>
      </c>
      <c r="C176" s="141" t="str">
        <f>Start.listina!AB53</f>
        <v xml:space="preserve"> </v>
      </c>
      <c r="D176" s="17" t="str">
        <f>Start.listina!AC53</f>
        <v xml:space="preserve"> </v>
      </c>
      <c r="E176" s="17" t="str">
        <f>Start.listina!AD53</f>
        <v xml:space="preserve"> </v>
      </c>
      <c r="F176" s="17"/>
      <c r="G176" s="142"/>
      <c r="H176" s="69"/>
      <c r="I176" s="69"/>
    </row>
    <row r="177" spans="1:9" ht="12" customHeight="1">
      <c r="A177" s="17">
        <f>Start.listina!AH54</f>
        <v>40</v>
      </c>
      <c r="B177" s="17">
        <f>Start.listina!I54</f>
        <v>18053</v>
      </c>
      <c r="C177" s="141" t="str">
        <f>Start.listina!J54</f>
        <v>Němečková</v>
      </c>
      <c r="D177" s="17" t="str">
        <f>Start.listina!K54</f>
        <v>Radomíra</v>
      </c>
      <c r="E177" s="17" t="str">
        <f>Start.listina!L54</f>
        <v>SKP Hranice VI-Valšovice</v>
      </c>
      <c r="F177" s="17"/>
      <c r="G177" s="142" t="e">
        <f>IF(N(A177)&gt;0,VLOOKUP(A177,Body!$A$4:$F$259,5,0),"")</f>
        <v>#REF!</v>
      </c>
      <c r="H177" s="69">
        <f>IF(N(A177)&gt;0,VLOOKUP(A177,Body!$A$4:$F$259,6,0),"")</f>
        <v>100</v>
      </c>
      <c r="I177" s="147">
        <f>IF(N(A177)&gt;0,VLOOKUP(A177,Body!$A$4:$F$259,2,0),"")</f>
        <v>0.75</v>
      </c>
    </row>
    <row r="178" spans="1:9" ht="12" customHeight="1">
      <c r="A178" s="17"/>
      <c r="B178" s="17">
        <f>Start.listina!O54</f>
        <v>26022</v>
      </c>
      <c r="C178" s="141" t="str">
        <f>Start.listina!P54</f>
        <v>Gratcl</v>
      </c>
      <c r="D178" s="17" t="str">
        <f>Start.listina!Q54</f>
        <v>Martin</v>
      </c>
      <c r="E178" s="17" t="str">
        <f>Start.listina!R54</f>
        <v>SKP Hranice VI-Valšovice</v>
      </c>
      <c r="F178" s="17"/>
      <c r="G178" s="142"/>
      <c r="H178" s="69"/>
      <c r="I178" s="69"/>
    </row>
    <row r="179" spans="1:9" ht="12" customHeight="1">
      <c r="A179" s="17"/>
      <c r="B179" s="17">
        <f>Start.listina!U54</f>
        <v>18052</v>
      </c>
      <c r="C179" s="141" t="str">
        <f>Start.listina!V54</f>
        <v>Šugar</v>
      </c>
      <c r="D179" s="17" t="str">
        <f>Start.listina!W54</f>
        <v>Zdeněk</v>
      </c>
      <c r="E179" s="17" t="str">
        <f>Start.listina!X54</f>
        <v>SKP Hranice VI-Valšovice</v>
      </c>
      <c r="F179" s="17"/>
      <c r="G179" s="142"/>
      <c r="H179" s="69"/>
      <c r="I179" s="69"/>
    </row>
    <row r="180" spans="1:9" ht="12" customHeight="1">
      <c r="A180" s="17"/>
      <c r="B180" s="17" t="str">
        <f>Start.listina!AA54</f>
        <v/>
      </c>
      <c r="C180" s="141" t="str">
        <f>Start.listina!AB54</f>
        <v xml:space="preserve"> </v>
      </c>
      <c r="D180" s="17" t="str">
        <f>Start.listina!AC54</f>
        <v xml:space="preserve"> </v>
      </c>
      <c r="E180" s="17" t="str">
        <f>Start.listina!AD54</f>
        <v xml:space="preserve"> </v>
      </c>
      <c r="F180" s="17"/>
      <c r="G180" s="142"/>
      <c r="H180" s="69"/>
      <c r="I180" s="69"/>
    </row>
    <row r="181" spans="1:9" ht="12" customHeight="1">
      <c r="A181" s="17">
        <f>Start.listina!AH55</f>
        <v>19</v>
      </c>
      <c r="B181" s="17">
        <f>Start.listina!I55</f>
        <v>20573</v>
      </c>
      <c r="C181" s="141" t="str">
        <f>Start.listina!J55</f>
        <v>Vávrová</v>
      </c>
      <c r="D181" s="17" t="str">
        <f>Start.listina!K55</f>
        <v>Ivana</v>
      </c>
      <c r="E181" s="17" t="str">
        <f>Start.listina!L55</f>
        <v>PC Sokol PP Hr. Králové</v>
      </c>
      <c r="F181" s="17"/>
      <c r="G181" s="142" t="e">
        <f>IF(N(A181)&gt;0,VLOOKUP(A181,Body!$A$4:$F$259,5,0),"")</f>
        <v>#REF!</v>
      </c>
      <c r="H181" s="69">
        <f>IF(N(A181)&gt;0,VLOOKUP(A181,Body!$A$4:$F$259,6,0),"")</f>
        <v>100</v>
      </c>
      <c r="I181" s="147">
        <f>IF(N(A181)&gt;0,VLOOKUP(A181,Body!$A$4:$F$259,2,0),"")</f>
        <v>1.8125</v>
      </c>
    </row>
    <row r="182" spans="1:9" ht="12" customHeight="1">
      <c r="A182" s="17"/>
      <c r="B182" s="17">
        <f>Start.listina!O55</f>
        <v>22111</v>
      </c>
      <c r="C182" s="141" t="str">
        <f>Start.listina!P55</f>
        <v>Kopečný</v>
      </c>
      <c r="D182" s="17" t="str">
        <f>Start.listina!Q55</f>
        <v>David</v>
      </c>
      <c r="E182" s="17" t="str">
        <f>Start.listina!R55</f>
        <v>PC Sokol PP Hr. Králové</v>
      </c>
      <c r="F182" s="17"/>
      <c r="G182" s="142"/>
      <c r="H182" s="69"/>
      <c r="I182" s="69"/>
    </row>
    <row r="183" spans="1:9" ht="12" customHeight="1">
      <c r="A183" s="17"/>
      <c r="B183" s="17">
        <f>Start.listina!U55</f>
        <v>20511</v>
      </c>
      <c r="C183" s="141" t="str">
        <f>Start.listina!V55</f>
        <v>Malina</v>
      </c>
      <c r="D183" s="17" t="str">
        <f>Start.listina!W55</f>
        <v>František</v>
      </c>
      <c r="E183" s="17" t="str">
        <f>Start.listina!X55</f>
        <v>PC Sokol PP Hr. Králové</v>
      </c>
      <c r="F183" s="17"/>
      <c r="G183" s="142"/>
      <c r="H183" s="69"/>
      <c r="I183" s="69"/>
    </row>
    <row r="184" spans="1:9" ht="12" customHeight="1">
      <c r="A184" s="17"/>
      <c r="B184" s="17" t="str">
        <f>Start.listina!AA55</f>
        <v/>
      </c>
      <c r="C184" s="141" t="str">
        <f>Start.listina!AB55</f>
        <v xml:space="preserve"> </v>
      </c>
      <c r="D184" s="17" t="str">
        <f>Start.listina!AC55</f>
        <v xml:space="preserve"> </v>
      </c>
      <c r="E184" s="17" t="str">
        <f>Start.listina!AD55</f>
        <v xml:space="preserve"> </v>
      </c>
      <c r="F184" s="17"/>
      <c r="G184" s="142"/>
      <c r="H184" s="69"/>
      <c r="I184" s="69"/>
    </row>
    <row r="185" spans="1:9" ht="12" customHeight="1">
      <c r="A185" s="17">
        <f>Start.listina!AH56</f>
        <v>0</v>
      </c>
      <c r="B185" s="17" t="str">
        <f>Start.listina!I56</f>
        <v/>
      </c>
      <c r="C185" s="141" t="str">
        <f>Start.listina!J56</f>
        <v xml:space="preserve"> </v>
      </c>
      <c r="D185" s="17" t="str">
        <f>Start.listina!K56</f>
        <v xml:space="preserve"> </v>
      </c>
      <c r="E185" s="17" t="str">
        <f>Start.listina!L56</f>
        <v xml:space="preserve"> </v>
      </c>
      <c r="F185" s="17"/>
      <c r="G185" s="142" t="str">
        <f>IF(N(A185)&gt;0,VLOOKUP(A185,Body!$A$4:$F$259,5,0),"")</f>
        <v/>
      </c>
      <c r="H185" s="69" t="str">
        <f>IF(N(A185)&gt;0,VLOOKUP(A185,Body!$A$4:$F$259,6,0),"")</f>
        <v/>
      </c>
      <c r="I185" s="69" t="str">
        <f>IF(N(A185)&gt;0,VLOOKUP(A185,Body!$A$4:$F$259,2,0),"")</f>
        <v/>
      </c>
    </row>
    <row r="186" spans="1:9" ht="12" customHeight="1">
      <c r="A186" s="17"/>
      <c r="B186" s="17" t="str">
        <f>Start.listina!O56</f>
        <v/>
      </c>
      <c r="C186" s="141" t="str">
        <f>Start.listina!P56</f>
        <v xml:space="preserve"> </v>
      </c>
      <c r="D186" s="17" t="str">
        <f>Start.listina!Q56</f>
        <v xml:space="preserve"> </v>
      </c>
      <c r="E186" s="17" t="str">
        <f>Start.listina!R56</f>
        <v xml:space="preserve"> </v>
      </c>
      <c r="F186" s="17"/>
      <c r="G186" s="142"/>
      <c r="H186" s="69"/>
      <c r="I186" s="69"/>
    </row>
    <row r="187" spans="1:9" ht="12" customHeight="1">
      <c r="A187" s="17"/>
      <c r="B187" s="17" t="str">
        <f>Start.listina!U56</f>
        <v/>
      </c>
      <c r="C187" s="141" t="str">
        <f>Start.listina!V56</f>
        <v xml:space="preserve"> </v>
      </c>
      <c r="D187" s="17" t="str">
        <f>Start.listina!W56</f>
        <v xml:space="preserve"> </v>
      </c>
      <c r="E187" s="17" t="str">
        <f>Start.listina!X56</f>
        <v xml:space="preserve"> </v>
      </c>
      <c r="F187" s="17"/>
      <c r="G187" s="142"/>
      <c r="H187" s="69"/>
      <c r="I187" s="69"/>
    </row>
    <row r="188" spans="1:9" ht="12" customHeight="1">
      <c r="A188" s="17"/>
      <c r="B188" s="17" t="str">
        <f>Start.listina!AA56</f>
        <v/>
      </c>
      <c r="C188" s="141" t="str">
        <f>Start.listina!AB56</f>
        <v xml:space="preserve"> </v>
      </c>
      <c r="D188" s="17" t="str">
        <f>Start.listina!AC56</f>
        <v xml:space="preserve"> </v>
      </c>
      <c r="E188" s="17" t="str">
        <f>Start.listina!AD56</f>
        <v xml:space="preserve"> </v>
      </c>
      <c r="F188" s="17"/>
      <c r="G188" s="142"/>
      <c r="H188" s="69"/>
      <c r="I188" s="69"/>
    </row>
    <row r="189" spans="1:9" ht="12" customHeight="1">
      <c r="A189" s="17">
        <f>Start.listina!AH57</f>
        <v>0</v>
      </c>
      <c r="B189" s="17" t="str">
        <f>Start.listina!I57</f>
        <v/>
      </c>
      <c r="C189" s="141" t="str">
        <f>Start.listina!J57</f>
        <v xml:space="preserve"> </v>
      </c>
      <c r="D189" s="17" t="str">
        <f>Start.listina!K57</f>
        <v xml:space="preserve"> </v>
      </c>
      <c r="E189" s="17" t="str">
        <f>Start.listina!L57</f>
        <v xml:space="preserve"> </v>
      </c>
      <c r="F189" s="17"/>
      <c r="G189" s="142" t="str">
        <f>IF(N(A189)&gt;0,VLOOKUP(A189,Body!$A$4:$F$259,5,0),"")</f>
        <v/>
      </c>
      <c r="H189" s="69" t="str">
        <f>IF(N(A189)&gt;0,VLOOKUP(A189,Body!$A$4:$F$259,6,0),"")</f>
        <v/>
      </c>
      <c r="I189" s="69" t="str">
        <f>IF(N(A189)&gt;0,VLOOKUP(A189,Body!$A$4:$F$259,2,0),"")</f>
        <v/>
      </c>
    </row>
    <row r="190" spans="1:9" ht="12" customHeight="1">
      <c r="A190" s="17"/>
      <c r="B190" s="17" t="str">
        <f>Start.listina!O57</f>
        <v/>
      </c>
      <c r="C190" s="141" t="str">
        <f>Start.listina!P57</f>
        <v xml:space="preserve"> </v>
      </c>
      <c r="D190" s="17" t="str">
        <f>Start.listina!Q57</f>
        <v xml:space="preserve"> </v>
      </c>
      <c r="E190" s="17" t="str">
        <f>Start.listina!R57</f>
        <v xml:space="preserve"> </v>
      </c>
      <c r="F190" s="17"/>
      <c r="G190" s="142"/>
      <c r="H190" s="69"/>
      <c r="I190" s="69"/>
    </row>
    <row r="191" spans="1:9" ht="12" customHeight="1">
      <c r="A191" s="17"/>
      <c r="B191" s="17" t="str">
        <f>Start.listina!U57</f>
        <v/>
      </c>
      <c r="C191" s="141" t="str">
        <f>Start.listina!V57</f>
        <v xml:space="preserve"> </v>
      </c>
      <c r="D191" s="17" t="str">
        <f>Start.listina!W57</f>
        <v xml:space="preserve"> </v>
      </c>
      <c r="E191" s="17" t="str">
        <f>Start.listina!X57</f>
        <v xml:space="preserve"> </v>
      </c>
      <c r="F191" s="17"/>
      <c r="G191" s="142"/>
      <c r="H191" s="69"/>
      <c r="I191" s="69"/>
    </row>
    <row r="192" spans="1:9" ht="12" customHeight="1">
      <c r="A192" s="17"/>
      <c r="B192" s="17" t="str">
        <f>Start.listina!AA57</f>
        <v/>
      </c>
      <c r="C192" s="141" t="str">
        <f>Start.listina!AB57</f>
        <v xml:space="preserve"> </v>
      </c>
      <c r="D192" s="17" t="str">
        <f>Start.listina!AC57</f>
        <v xml:space="preserve"> </v>
      </c>
      <c r="E192" s="17" t="str">
        <f>Start.listina!AD57</f>
        <v xml:space="preserve"> </v>
      </c>
      <c r="F192" s="17"/>
      <c r="G192" s="142"/>
      <c r="H192" s="69"/>
      <c r="I192" s="69"/>
    </row>
    <row r="193" spans="1:9" ht="12" customHeight="1">
      <c r="A193" s="17">
        <f>Start.listina!AH58</f>
        <v>0</v>
      </c>
      <c r="B193" s="17" t="str">
        <f>Start.listina!I58</f>
        <v/>
      </c>
      <c r="C193" s="141" t="str">
        <f>Start.listina!J58</f>
        <v xml:space="preserve"> </v>
      </c>
      <c r="D193" s="17" t="str">
        <f>Start.listina!K58</f>
        <v xml:space="preserve"> </v>
      </c>
      <c r="E193" s="17" t="str">
        <f>Start.listina!L58</f>
        <v xml:space="preserve"> </v>
      </c>
      <c r="F193" s="17"/>
      <c r="G193" s="142" t="str">
        <f>IF(N(A193)&gt;0,VLOOKUP(A193,Body!$A$4:$F$259,5,0),"")</f>
        <v/>
      </c>
      <c r="H193" s="69" t="str">
        <f>IF(N(A193)&gt;0,VLOOKUP(A193,Body!$A$4:$F$259,6,0),"")</f>
        <v/>
      </c>
      <c r="I193" s="69" t="str">
        <f>IF(N(A193)&gt;0,VLOOKUP(A193,Body!$A$4:$F$259,2,0),"")</f>
        <v/>
      </c>
    </row>
    <row r="194" spans="1:9" ht="12" customHeight="1">
      <c r="A194" s="17"/>
      <c r="B194" s="17" t="str">
        <f>Start.listina!O58</f>
        <v/>
      </c>
      <c r="C194" s="141" t="str">
        <f>Start.listina!P58</f>
        <v xml:space="preserve"> </v>
      </c>
      <c r="D194" s="17" t="str">
        <f>Start.listina!Q58</f>
        <v xml:space="preserve"> </v>
      </c>
      <c r="E194" s="17" t="str">
        <f>Start.listina!R58</f>
        <v xml:space="preserve"> </v>
      </c>
      <c r="F194" s="17"/>
      <c r="G194" s="142"/>
      <c r="H194" s="69"/>
      <c r="I194" s="69"/>
    </row>
    <row r="195" spans="1:9" ht="12" customHeight="1">
      <c r="A195" s="17"/>
      <c r="B195" s="17" t="str">
        <f>Start.listina!U58</f>
        <v/>
      </c>
      <c r="C195" s="141" t="str">
        <f>Start.listina!V58</f>
        <v xml:space="preserve"> </v>
      </c>
      <c r="D195" s="17" t="str">
        <f>Start.listina!W58</f>
        <v xml:space="preserve"> </v>
      </c>
      <c r="E195" s="17" t="str">
        <f>Start.listina!X58</f>
        <v xml:space="preserve"> </v>
      </c>
      <c r="F195" s="17"/>
      <c r="G195" s="142"/>
      <c r="H195" s="69"/>
      <c r="I195" s="69"/>
    </row>
    <row r="196" spans="1:9" ht="12" customHeight="1">
      <c r="A196" s="17"/>
      <c r="B196" s="17" t="str">
        <f>Start.listina!AA58</f>
        <v/>
      </c>
      <c r="C196" s="141" t="str">
        <f>Start.listina!AB58</f>
        <v xml:space="preserve"> </v>
      </c>
      <c r="D196" s="17" t="str">
        <f>Start.listina!AC58</f>
        <v xml:space="preserve"> </v>
      </c>
      <c r="E196" s="17" t="str">
        <f>Start.listina!AD58</f>
        <v xml:space="preserve"> </v>
      </c>
      <c r="F196" s="17"/>
      <c r="G196" s="142"/>
      <c r="H196" s="69"/>
      <c r="I196" s="69"/>
    </row>
    <row r="197" spans="1:9" ht="12" customHeight="1">
      <c r="A197" s="17">
        <f>Start.listina!AH59</f>
        <v>0</v>
      </c>
      <c r="B197" s="17" t="str">
        <f>Start.listina!I59</f>
        <v/>
      </c>
      <c r="C197" s="141" t="str">
        <f>Start.listina!J59</f>
        <v xml:space="preserve"> </v>
      </c>
      <c r="D197" s="17" t="str">
        <f>Start.listina!K59</f>
        <v xml:space="preserve"> </v>
      </c>
      <c r="E197" s="17" t="str">
        <f>Start.listina!L59</f>
        <v xml:space="preserve"> </v>
      </c>
      <c r="F197" s="17"/>
      <c r="G197" s="142" t="str">
        <f>IF(N(A197)&gt;0,VLOOKUP(A197,Body!$A$4:$F$259,5,0),"")</f>
        <v/>
      </c>
      <c r="H197" s="69" t="str">
        <f>IF(N(A197)&gt;0,VLOOKUP(A197,Body!$A$4:$F$259,6,0),"")</f>
        <v/>
      </c>
      <c r="I197" s="69" t="str">
        <f>IF(N(A197)&gt;0,VLOOKUP(A197,Body!$A$4:$F$259,2,0),"")</f>
        <v/>
      </c>
    </row>
    <row r="198" spans="1:9" ht="12" customHeight="1">
      <c r="A198" s="17"/>
      <c r="B198" s="17" t="str">
        <f>Start.listina!O59</f>
        <v/>
      </c>
      <c r="C198" s="141" t="str">
        <f>Start.listina!P59</f>
        <v xml:space="preserve"> </v>
      </c>
      <c r="D198" s="17" t="str">
        <f>Start.listina!Q59</f>
        <v xml:space="preserve"> </v>
      </c>
      <c r="E198" s="17" t="str">
        <f>Start.listina!R59</f>
        <v xml:space="preserve"> </v>
      </c>
      <c r="F198" s="17"/>
      <c r="G198" s="142"/>
      <c r="H198" s="69"/>
      <c r="I198" s="69"/>
    </row>
    <row r="199" spans="1:9" ht="12" customHeight="1">
      <c r="A199" s="17"/>
      <c r="B199" s="17" t="str">
        <f>Start.listina!U59</f>
        <v/>
      </c>
      <c r="C199" s="141" t="str">
        <f>Start.listina!V59</f>
        <v xml:space="preserve"> </v>
      </c>
      <c r="D199" s="17" t="str">
        <f>Start.listina!W59</f>
        <v xml:space="preserve"> </v>
      </c>
      <c r="E199" s="17" t="str">
        <f>Start.listina!X59</f>
        <v xml:space="preserve"> </v>
      </c>
      <c r="F199" s="17"/>
      <c r="G199" s="142"/>
      <c r="H199" s="69"/>
      <c r="I199" s="69"/>
    </row>
    <row r="200" spans="1:9" ht="12" customHeight="1">
      <c r="A200" s="17"/>
      <c r="B200" s="17" t="str">
        <f>Start.listina!AA59</f>
        <v/>
      </c>
      <c r="C200" s="141" t="str">
        <f>Start.listina!AB59</f>
        <v xml:space="preserve"> </v>
      </c>
      <c r="D200" s="17" t="str">
        <f>Start.listina!AC59</f>
        <v xml:space="preserve"> </v>
      </c>
      <c r="E200" s="17" t="str">
        <f>Start.listina!AD59</f>
        <v xml:space="preserve"> </v>
      </c>
      <c r="F200" s="17"/>
      <c r="G200" s="142"/>
      <c r="H200" s="69"/>
      <c r="I200" s="69"/>
    </row>
    <row r="201" spans="1:9" ht="12" customHeight="1">
      <c r="A201" s="17">
        <f>Start.listina!AH60</f>
        <v>0</v>
      </c>
      <c r="B201" s="17" t="str">
        <f>Start.listina!I60</f>
        <v/>
      </c>
      <c r="C201" s="141" t="str">
        <f>Start.listina!J60</f>
        <v xml:space="preserve"> </v>
      </c>
      <c r="D201" s="17" t="str">
        <f>Start.listina!K60</f>
        <v xml:space="preserve"> </v>
      </c>
      <c r="E201" s="17" t="str">
        <f>Start.listina!L60</f>
        <v xml:space="preserve"> </v>
      </c>
      <c r="F201" s="17"/>
      <c r="G201" s="142" t="str">
        <f>IF(N(A201)&gt;0,VLOOKUP(A201,Body!$A$4:$F$259,5,0),"")</f>
        <v/>
      </c>
      <c r="H201" s="69" t="str">
        <f>IF(N(A201)&gt;0,VLOOKUP(A201,Body!$A$4:$F$259,6,0),"")</f>
        <v/>
      </c>
      <c r="I201" s="69" t="str">
        <f>IF(N(A201)&gt;0,VLOOKUP(A201,Body!$A$4:$F$259,2,0),"")</f>
        <v/>
      </c>
    </row>
    <row r="202" spans="1:9" ht="12" customHeight="1">
      <c r="A202" s="17"/>
      <c r="B202" s="17" t="str">
        <f>Start.listina!O60</f>
        <v/>
      </c>
      <c r="C202" s="141" t="str">
        <f>Start.listina!P60</f>
        <v xml:space="preserve"> </v>
      </c>
      <c r="D202" s="17" t="str">
        <f>Start.listina!Q60</f>
        <v xml:space="preserve"> </v>
      </c>
      <c r="E202" s="17" t="str">
        <f>Start.listina!R60</f>
        <v xml:space="preserve"> </v>
      </c>
      <c r="F202" s="17"/>
      <c r="G202" s="142"/>
      <c r="H202" s="69"/>
      <c r="I202" s="69"/>
    </row>
    <row r="203" spans="1:9" ht="12" customHeight="1">
      <c r="A203" s="17"/>
      <c r="B203" s="17" t="str">
        <f>Start.listina!U60</f>
        <v/>
      </c>
      <c r="C203" s="141" t="str">
        <f>Start.listina!V60</f>
        <v xml:space="preserve"> </v>
      </c>
      <c r="D203" s="17" t="str">
        <f>Start.listina!W60</f>
        <v xml:space="preserve"> </v>
      </c>
      <c r="E203" s="17" t="str">
        <f>Start.listina!X60</f>
        <v xml:space="preserve"> </v>
      </c>
      <c r="F203" s="17"/>
      <c r="G203" s="142"/>
      <c r="H203" s="69"/>
      <c r="I203" s="69"/>
    </row>
    <row r="204" spans="1:9" ht="12" customHeight="1">
      <c r="A204" s="17"/>
      <c r="B204" s="17" t="str">
        <f>Start.listina!AA60</f>
        <v/>
      </c>
      <c r="C204" s="141" t="str">
        <f>Start.listina!AB60</f>
        <v xml:space="preserve"> </v>
      </c>
      <c r="D204" s="17" t="str">
        <f>Start.listina!AC60</f>
        <v xml:space="preserve"> </v>
      </c>
      <c r="E204" s="17" t="str">
        <f>Start.listina!AD60</f>
        <v xml:space="preserve"> </v>
      </c>
      <c r="F204" s="17"/>
      <c r="G204" s="142"/>
      <c r="H204" s="69"/>
      <c r="I204" s="69"/>
    </row>
    <row r="205" spans="1:9" ht="12" customHeight="1">
      <c r="A205" s="17">
        <f>Start.listina!AH61</f>
        <v>0</v>
      </c>
      <c r="B205" s="17" t="str">
        <f>Start.listina!I61</f>
        <v/>
      </c>
      <c r="C205" s="141" t="str">
        <f>Start.listina!J61</f>
        <v xml:space="preserve"> </v>
      </c>
      <c r="D205" s="17" t="str">
        <f>Start.listina!K61</f>
        <v xml:space="preserve"> </v>
      </c>
      <c r="E205" s="17" t="str">
        <f>Start.listina!L61</f>
        <v xml:space="preserve"> </v>
      </c>
      <c r="F205" s="17"/>
      <c r="G205" s="142" t="str">
        <f>IF(N(A205)&gt;0,VLOOKUP(A205,Body!$A$4:$F$259,5,0),"")</f>
        <v/>
      </c>
      <c r="H205" s="69" t="str">
        <f>IF(N(A205)&gt;0,VLOOKUP(A205,Body!$A$4:$F$259,6,0),"")</f>
        <v/>
      </c>
      <c r="I205" s="69" t="str">
        <f>IF(N(A205)&gt;0,VLOOKUP(A205,Body!$A$4:$F$259,2,0),"")</f>
        <v/>
      </c>
    </row>
    <row r="206" spans="1:9" ht="12" customHeight="1">
      <c r="A206" s="17"/>
      <c r="B206" s="17" t="str">
        <f>Start.listina!O61</f>
        <v/>
      </c>
      <c r="C206" s="141" t="str">
        <f>Start.listina!P61</f>
        <v xml:space="preserve"> </v>
      </c>
      <c r="D206" s="17" t="str">
        <f>Start.listina!Q61</f>
        <v xml:space="preserve"> </v>
      </c>
      <c r="E206" s="17" t="str">
        <f>Start.listina!R61</f>
        <v xml:space="preserve"> </v>
      </c>
      <c r="F206" s="17"/>
      <c r="G206" s="142"/>
      <c r="H206" s="69"/>
      <c r="I206" s="69"/>
    </row>
    <row r="207" spans="1:9" ht="12" customHeight="1">
      <c r="A207" s="17"/>
      <c r="B207" s="17" t="str">
        <f>Start.listina!U61</f>
        <v/>
      </c>
      <c r="C207" s="141" t="str">
        <f>Start.listina!V61</f>
        <v xml:space="preserve"> </v>
      </c>
      <c r="D207" s="17" t="str">
        <f>Start.listina!W61</f>
        <v xml:space="preserve"> </v>
      </c>
      <c r="E207" s="17" t="str">
        <f>Start.listina!X61</f>
        <v xml:space="preserve"> </v>
      </c>
      <c r="F207" s="17"/>
      <c r="G207" s="142"/>
      <c r="H207" s="69"/>
      <c r="I207" s="69"/>
    </row>
    <row r="208" spans="1:9" ht="12" customHeight="1">
      <c r="A208" s="17"/>
      <c r="B208" s="17" t="str">
        <f>Start.listina!AA61</f>
        <v/>
      </c>
      <c r="C208" s="141" t="str">
        <f>Start.listina!AB61</f>
        <v xml:space="preserve"> </v>
      </c>
      <c r="D208" s="17" t="str">
        <f>Start.listina!AC61</f>
        <v xml:space="preserve"> </v>
      </c>
      <c r="E208" s="17" t="str">
        <f>Start.listina!AD61</f>
        <v xml:space="preserve"> </v>
      </c>
      <c r="F208" s="17"/>
      <c r="G208" s="142"/>
      <c r="H208" s="69"/>
      <c r="I208" s="69"/>
    </row>
    <row r="209" spans="1:9" ht="12" customHeight="1">
      <c r="A209" s="17">
        <f>Start.listina!AH62</f>
        <v>0</v>
      </c>
      <c r="B209" s="17" t="str">
        <f>Start.listina!I62</f>
        <v/>
      </c>
      <c r="C209" s="141" t="str">
        <f>Start.listina!J62</f>
        <v xml:space="preserve"> </v>
      </c>
      <c r="D209" s="17" t="str">
        <f>Start.listina!K62</f>
        <v xml:space="preserve"> </v>
      </c>
      <c r="E209" s="17" t="str">
        <f>Start.listina!L62</f>
        <v xml:space="preserve"> </v>
      </c>
      <c r="F209" s="17"/>
      <c r="G209" s="142" t="str">
        <f>IF(N(A209)&gt;0,VLOOKUP(A209,Body!$A$4:$F$259,5,0),"")</f>
        <v/>
      </c>
      <c r="H209" s="69" t="str">
        <f>IF(N(A209)&gt;0,VLOOKUP(A209,Body!$A$4:$F$259,6,0),"")</f>
        <v/>
      </c>
      <c r="I209" s="69" t="str">
        <f>IF(N(A209)&gt;0,VLOOKUP(A209,Body!$A$4:$F$259,2,0),"")</f>
        <v/>
      </c>
    </row>
    <row r="210" spans="1:9" ht="12" customHeight="1">
      <c r="A210" s="17"/>
      <c r="B210" s="17" t="str">
        <f>Start.listina!O62</f>
        <v/>
      </c>
      <c r="C210" s="141" t="str">
        <f>Start.listina!P62</f>
        <v xml:space="preserve"> </v>
      </c>
      <c r="D210" s="17" t="str">
        <f>Start.listina!Q62</f>
        <v xml:space="preserve"> </v>
      </c>
      <c r="E210" s="17" t="str">
        <f>Start.listina!R62</f>
        <v xml:space="preserve"> </v>
      </c>
      <c r="F210" s="17"/>
      <c r="G210" s="142"/>
      <c r="H210" s="69"/>
      <c r="I210" s="69"/>
    </row>
    <row r="211" spans="1:9" ht="12" customHeight="1">
      <c r="A211" s="17"/>
      <c r="B211" s="17" t="str">
        <f>Start.listina!U62</f>
        <v/>
      </c>
      <c r="C211" s="141" t="str">
        <f>Start.listina!V62</f>
        <v xml:space="preserve"> </v>
      </c>
      <c r="D211" s="17" t="str">
        <f>Start.listina!W62</f>
        <v xml:space="preserve"> </v>
      </c>
      <c r="E211" s="17" t="str">
        <f>Start.listina!X62</f>
        <v xml:space="preserve"> </v>
      </c>
      <c r="F211" s="17"/>
      <c r="G211" s="142"/>
      <c r="H211" s="69"/>
      <c r="I211" s="69"/>
    </row>
    <row r="212" spans="1:9" ht="12" customHeight="1">
      <c r="A212" s="17"/>
      <c r="B212" s="17" t="str">
        <f>Start.listina!AA62</f>
        <v/>
      </c>
      <c r="C212" s="141" t="str">
        <f>Start.listina!AB62</f>
        <v xml:space="preserve"> </v>
      </c>
      <c r="D212" s="17" t="str">
        <f>Start.listina!AC62</f>
        <v xml:space="preserve"> </v>
      </c>
      <c r="E212" s="17" t="str">
        <f>Start.listina!AD62</f>
        <v xml:space="preserve"> </v>
      </c>
      <c r="F212" s="17"/>
      <c r="G212" s="142"/>
      <c r="H212" s="69"/>
      <c r="I212" s="69"/>
    </row>
    <row r="213" spans="1:9" ht="12" customHeight="1">
      <c r="A213" s="17">
        <f>Start.listina!AH63</f>
        <v>0</v>
      </c>
      <c r="B213" s="17" t="str">
        <f>Start.listina!I63</f>
        <v/>
      </c>
      <c r="C213" s="141" t="str">
        <f>Start.listina!J63</f>
        <v xml:space="preserve"> </v>
      </c>
      <c r="D213" s="17" t="str">
        <f>Start.listina!K63</f>
        <v xml:space="preserve"> </v>
      </c>
      <c r="E213" s="17" t="str">
        <f>Start.listina!L63</f>
        <v xml:space="preserve"> </v>
      </c>
      <c r="F213" s="17"/>
      <c r="G213" s="142" t="str">
        <f>IF(N(A213)&gt;0,VLOOKUP(A213,Body!$A$4:$F$259,5,0),"")</f>
        <v/>
      </c>
      <c r="H213" s="69" t="str">
        <f>IF(N(A213)&gt;0,VLOOKUP(A213,Body!$A$4:$F$259,6,0),"")</f>
        <v/>
      </c>
      <c r="I213" s="69" t="str">
        <f>IF(N(A213)&gt;0,VLOOKUP(A213,Body!$A$4:$F$259,2,0),"")</f>
        <v/>
      </c>
    </row>
    <row r="214" spans="1:9" ht="12" customHeight="1">
      <c r="A214" s="17"/>
      <c r="B214" s="17" t="str">
        <f>Start.listina!O63</f>
        <v/>
      </c>
      <c r="C214" s="141" t="str">
        <f>Start.listina!P63</f>
        <v xml:space="preserve"> </v>
      </c>
      <c r="D214" s="17" t="str">
        <f>Start.listina!Q63</f>
        <v xml:space="preserve"> </v>
      </c>
      <c r="E214" s="17" t="str">
        <f>Start.listina!R63</f>
        <v xml:space="preserve"> </v>
      </c>
      <c r="F214" s="17"/>
      <c r="G214" s="142"/>
      <c r="H214" s="69"/>
      <c r="I214" s="69"/>
    </row>
    <row r="215" spans="1:9" ht="12" customHeight="1">
      <c r="A215" s="17"/>
      <c r="B215" s="17" t="str">
        <f>Start.listina!U63</f>
        <v/>
      </c>
      <c r="C215" s="141" t="str">
        <f>Start.listina!V63</f>
        <v xml:space="preserve"> </v>
      </c>
      <c r="D215" s="17" t="str">
        <f>Start.listina!W63</f>
        <v xml:space="preserve"> </v>
      </c>
      <c r="E215" s="17" t="str">
        <f>Start.listina!X63</f>
        <v xml:space="preserve"> </v>
      </c>
      <c r="F215" s="17"/>
      <c r="G215" s="142"/>
      <c r="H215" s="69"/>
      <c r="I215" s="69"/>
    </row>
    <row r="216" spans="1:9" ht="12" customHeight="1">
      <c r="A216" s="17"/>
      <c r="B216" s="17" t="str">
        <f>Start.listina!AA63</f>
        <v/>
      </c>
      <c r="C216" s="141" t="str">
        <f>Start.listina!AB63</f>
        <v xml:space="preserve"> </v>
      </c>
      <c r="D216" s="17" t="str">
        <f>Start.listina!AC63</f>
        <v xml:space="preserve"> </v>
      </c>
      <c r="E216" s="17" t="str">
        <f>Start.listina!AD63</f>
        <v xml:space="preserve"> </v>
      </c>
      <c r="F216" s="17"/>
      <c r="G216" s="142"/>
      <c r="H216" s="69"/>
      <c r="I216" s="69"/>
    </row>
    <row r="217" spans="1:9" ht="12" customHeight="1">
      <c r="A217" s="17">
        <f>Start.listina!AH64</f>
        <v>0</v>
      </c>
      <c r="B217" s="17" t="str">
        <f>Start.listina!I64</f>
        <v/>
      </c>
      <c r="C217" s="141" t="str">
        <f>Start.listina!J64</f>
        <v xml:space="preserve"> </v>
      </c>
      <c r="D217" s="17" t="str">
        <f>Start.listina!K64</f>
        <v xml:space="preserve"> </v>
      </c>
      <c r="E217" s="17" t="str">
        <f>Start.listina!L64</f>
        <v xml:space="preserve"> </v>
      </c>
      <c r="F217" s="17"/>
      <c r="G217" s="142" t="str">
        <f>IF(N(A217)&gt;0,VLOOKUP(A217,Body!$A$4:$F$259,5,0),"")</f>
        <v/>
      </c>
      <c r="H217" s="69" t="str">
        <f>IF(N(A217)&gt;0,VLOOKUP(A217,Body!$A$4:$F$259,6,0),"")</f>
        <v/>
      </c>
      <c r="I217" s="69" t="str">
        <f>IF(N(A217)&gt;0,VLOOKUP(A217,Body!$A$4:$F$259,2,0),"")</f>
        <v/>
      </c>
    </row>
    <row r="218" spans="1:9" ht="12" customHeight="1">
      <c r="A218" s="17"/>
      <c r="B218" s="17" t="str">
        <f>Start.listina!O64</f>
        <v/>
      </c>
      <c r="C218" s="141" t="str">
        <f>Start.listina!P64</f>
        <v xml:space="preserve"> </v>
      </c>
      <c r="D218" s="17" t="str">
        <f>Start.listina!Q64</f>
        <v xml:space="preserve"> </v>
      </c>
      <c r="E218" s="17" t="str">
        <f>Start.listina!R64</f>
        <v xml:space="preserve"> </v>
      </c>
      <c r="F218" s="17"/>
      <c r="G218" s="142"/>
      <c r="H218" s="69"/>
      <c r="I218" s="69"/>
    </row>
    <row r="219" spans="1:9" ht="12" customHeight="1">
      <c r="A219" s="17"/>
      <c r="B219" s="17" t="str">
        <f>Start.listina!U64</f>
        <v/>
      </c>
      <c r="C219" s="141" t="str">
        <f>Start.listina!V64</f>
        <v xml:space="preserve"> </v>
      </c>
      <c r="D219" s="17" t="str">
        <f>Start.listina!W64</f>
        <v xml:space="preserve"> </v>
      </c>
      <c r="E219" s="17" t="str">
        <f>Start.listina!X64</f>
        <v xml:space="preserve"> </v>
      </c>
      <c r="F219" s="17"/>
      <c r="G219" s="142"/>
      <c r="H219" s="69"/>
      <c r="I219" s="69"/>
    </row>
    <row r="220" spans="1:9" ht="12" customHeight="1">
      <c r="A220" s="17"/>
      <c r="B220" s="17" t="str">
        <f>Start.listina!AA64</f>
        <v/>
      </c>
      <c r="C220" s="141" t="str">
        <f>Start.listina!AB64</f>
        <v xml:space="preserve"> </v>
      </c>
      <c r="D220" s="17" t="str">
        <f>Start.listina!AC64</f>
        <v xml:space="preserve"> </v>
      </c>
      <c r="E220" s="17" t="str">
        <f>Start.listina!AD64</f>
        <v xml:space="preserve"> </v>
      </c>
      <c r="F220" s="17"/>
      <c r="G220" s="142"/>
      <c r="H220" s="69"/>
      <c r="I220" s="69"/>
    </row>
    <row r="221" spans="1:9" ht="12" customHeight="1">
      <c r="A221" s="17">
        <f>Start.listina!AH65</f>
        <v>0</v>
      </c>
      <c r="B221" s="17" t="str">
        <f>Start.listina!I65</f>
        <v/>
      </c>
      <c r="C221" s="141" t="str">
        <f>Start.listina!J65</f>
        <v xml:space="preserve"> </v>
      </c>
      <c r="D221" s="17" t="str">
        <f>Start.listina!K65</f>
        <v xml:space="preserve"> </v>
      </c>
      <c r="E221" s="17" t="str">
        <f>Start.listina!L65</f>
        <v xml:space="preserve"> </v>
      </c>
      <c r="F221" s="17"/>
      <c r="G221" s="142" t="str">
        <f>IF(N(A221)&gt;0,VLOOKUP(A221,Body!$A$4:$F$259,5,0),"")</f>
        <v/>
      </c>
      <c r="H221" s="69" t="str">
        <f>IF(N(A221)&gt;0,VLOOKUP(A221,Body!$A$4:$F$259,6,0),"")</f>
        <v/>
      </c>
      <c r="I221" s="69" t="str">
        <f>IF(N(A221)&gt;0,VLOOKUP(A221,Body!$A$4:$F$259,2,0),"")</f>
        <v/>
      </c>
    </row>
    <row r="222" spans="1:9" ht="12" customHeight="1">
      <c r="A222" s="17"/>
      <c r="B222" s="17" t="str">
        <f>Start.listina!O65</f>
        <v/>
      </c>
      <c r="C222" s="141" t="str">
        <f>Start.listina!P65</f>
        <v xml:space="preserve"> </v>
      </c>
      <c r="D222" s="17" t="str">
        <f>Start.listina!Q65</f>
        <v xml:space="preserve"> </v>
      </c>
      <c r="E222" s="17" t="str">
        <f>Start.listina!R65</f>
        <v xml:space="preserve"> </v>
      </c>
      <c r="F222" s="17"/>
      <c r="G222" s="142"/>
      <c r="H222" s="69"/>
      <c r="I222" s="69"/>
    </row>
    <row r="223" spans="1:9" ht="12" customHeight="1">
      <c r="A223" s="17"/>
      <c r="B223" s="17" t="str">
        <f>Start.listina!U65</f>
        <v/>
      </c>
      <c r="C223" s="141" t="str">
        <f>Start.listina!V65</f>
        <v xml:space="preserve"> </v>
      </c>
      <c r="D223" s="17" t="str">
        <f>Start.listina!W65</f>
        <v xml:space="preserve"> </v>
      </c>
      <c r="E223" s="17" t="str">
        <f>Start.listina!X65</f>
        <v xml:space="preserve"> </v>
      </c>
      <c r="F223" s="17"/>
      <c r="G223" s="142"/>
      <c r="H223" s="69"/>
      <c r="I223" s="69"/>
    </row>
    <row r="224" spans="1:9" ht="12" customHeight="1">
      <c r="A224" s="17"/>
      <c r="B224" s="17" t="str">
        <f>Start.listina!AA65</f>
        <v/>
      </c>
      <c r="C224" s="141" t="str">
        <f>Start.listina!AB65</f>
        <v xml:space="preserve"> </v>
      </c>
      <c r="D224" s="17" t="str">
        <f>Start.listina!AC65</f>
        <v xml:space="preserve"> </v>
      </c>
      <c r="E224" s="17" t="str">
        <f>Start.listina!AD65</f>
        <v xml:space="preserve"> </v>
      </c>
      <c r="F224" s="17"/>
      <c r="G224" s="142"/>
      <c r="H224" s="69"/>
      <c r="I224" s="69"/>
    </row>
    <row r="225" spans="1:9" ht="12" customHeight="1">
      <c r="A225" s="17">
        <f>Start.listina!AH66</f>
        <v>0</v>
      </c>
      <c r="B225" s="17" t="str">
        <f>Start.listina!I66</f>
        <v/>
      </c>
      <c r="C225" s="141" t="str">
        <f>Start.listina!J66</f>
        <v xml:space="preserve"> </v>
      </c>
      <c r="D225" s="17" t="str">
        <f>Start.listina!K66</f>
        <v xml:space="preserve"> </v>
      </c>
      <c r="E225" s="17" t="str">
        <f>Start.listina!L66</f>
        <v xml:space="preserve"> </v>
      </c>
      <c r="F225" s="17"/>
      <c r="G225" s="142" t="str">
        <f>IF(N(A225)&gt;0,VLOOKUP(A225,Body!$A$4:$F$259,5,0),"")</f>
        <v/>
      </c>
      <c r="H225" s="69" t="str">
        <f>IF(N(A225)&gt;0,VLOOKUP(A225,Body!$A$4:$F$259,6,0),"")</f>
        <v/>
      </c>
      <c r="I225" s="69" t="str">
        <f>IF(N(A225)&gt;0,VLOOKUP(A225,Body!$A$4:$F$259,2,0),"")</f>
        <v/>
      </c>
    </row>
    <row r="226" spans="1:9" ht="12" customHeight="1">
      <c r="A226" s="17"/>
      <c r="B226" s="17" t="str">
        <f>Start.listina!O66</f>
        <v/>
      </c>
      <c r="C226" s="141" t="str">
        <f>Start.listina!P66</f>
        <v xml:space="preserve"> </v>
      </c>
      <c r="D226" s="17" t="str">
        <f>Start.listina!Q66</f>
        <v xml:space="preserve"> </v>
      </c>
      <c r="E226" s="17" t="str">
        <f>Start.listina!R66</f>
        <v xml:space="preserve"> </v>
      </c>
      <c r="F226" s="17"/>
      <c r="G226" s="142"/>
      <c r="H226" s="69"/>
      <c r="I226" s="69"/>
    </row>
    <row r="227" spans="1:9" ht="12" customHeight="1">
      <c r="A227" s="17"/>
      <c r="B227" s="17" t="str">
        <f>Start.listina!U66</f>
        <v/>
      </c>
      <c r="C227" s="141" t="str">
        <f>Start.listina!V66</f>
        <v xml:space="preserve"> </v>
      </c>
      <c r="D227" s="17" t="str">
        <f>Start.listina!W66</f>
        <v xml:space="preserve"> </v>
      </c>
      <c r="E227" s="17" t="str">
        <f>Start.listina!X66</f>
        <v xml:space="preserve"> </v>
      </c>
      <c r="F227" s="17"/>
      <c r="G227" s="142"/>
      <c r="H227" s="69"/>
      <c r="I227" s="69"/>
    </row>
    <row r="228" spans="1:9" ht="12" customHeight="1">
      <c r="A228" s="17"/>
      <c r="B228" s="17" t="str">
        <f>Start.listina!AA66</f>
        <v/>
      </c>
      <c r="C228" s="141" t="str">
        <f>Start.listina!AB66</f>
        <v xml:space="preserve"> </v>
      </c>
      <c r="D228" s="17" t="str">
        <f>Start.listina!AC66</f>
        <v xml:space="preserve"> </v>
      </c>
      <c r="E228" s="17" t="str">
        <f>Start.listina!AD66</f>
        <v xml:space="preserve"> </v>
      </c>
      <c r="F228" s="17"/>
      <c r="G228" s="142"/>
      <c r="H228" s="69"/>
      <c r="I228" s="69"/>
    </row>
    <row r="229" spans="1:9" ht="12" customHeight="1">
      <c r="A229" s="17">
        <f>Start.listina!AH67</f>
        <v>0</v>
      </c>
      <c r="B229" s="17" t="str">
        <f>Start.listina!I67</f>
        <v/>
      </c>
      <c r="C229" s="141" t="str">
        <f>Start.listina!J67</f>
        <v xml:space="preserve"> </v>
      </c>
      <c r="D229" s="17" t="str">
        <f>Start.listina!K67</f>
        <v xml:space="preserve"> </v>
      </c>
      <c r="E229" s="17" t="str">
        <f>Start.listina!L67</f>
        <v xml:space="preserve"> </v>
      </c>
      <c r="F229" s="17"/>
      <c r="G229" s="142" t="str">
        <f>IF(N(A229)&gt;0,VLOOKUP(A229,Body!$A$4:$F$259,5,0),"")</f>
        <v/>
      </c>
      <c r="H229" s="69" t="str">
        <f>IF(N(A229)&gt;0,VLOOKUP(A229,Body!$A$4:$F$259,6,0),"")</f>
        <v/>
      </c>
      <c r="I229" s="69" t="str">
        <f>IF(N(A229)&gt;0,VLOOKUP(A229,Body!$A$4:$F$259,2,0),"")</f>
        <v/>
      </c>
    </row>
    <row r="230" spans="1:9" ht="12" customHeight="1">
      <c r="A230" s="17"/>
      <c r="B230" s="17" t="str">
        <f>Start.listina!O67</f>
        <v/>
      </c>
      <c r="C230" s="141" t="str">
        <f>Start.listina!P67</f>
        <v xml:space="preserve"> </v>
      </c>
      <c r="D230" s="17" t="str">
        <f>Start.listina!Q67</f>
        <v xml:space="preserve"> </v>
      </c>
      <c r="E230" s="17" t="str">
        <f>Start.listina!R67</f>
        <v xml:space="preserve"> </v>
      </c>
      <c r="F230" s="17"/>
      <c r="G230" s="142"/>
      <c r="H230" s="69"/>
      <c r="I230" s="69"/>
    </row>
    <row r="231" spans="1:9" ht="12" customHeight="1">
      <c r="A231" s="17"/>
      <c r="B231" s="17" t="str">
        <f>Start.listina!U67</f>
        <v/>
      </c>
      <c r="C231" s="141" t="str">
        <f>Start.listina!V67</f>
        <v xml:space="preserve"> </v>
      </c>
      <c r="D231" s="17" t="str">
        <f>Start.listina!W67</f>
        <v xml:space="preserve"> </v>
      </c>
      <c r="E231" s="17" t="str">
        <f>Start.listina!X67</f>
        <v xml:space="preserve"> </v>
      </c>
      <c r="F231" s="17"/>
      <c r="G231" s="142"/>
      <c r="H231" s="69"/>
      <c r="I231" s="69"/>
    </row>
    <row r="232" spans="1:9" ht="12" customHeight="1">
      <c r="A232" s="17"/>
      <c r="B232" s="17" t="str">
        <f>Start.listina!AA67</f>
        <v/>
      </c>
      <c r="C232" s="141" t="str">
        <f>Start.listina!AB67</f>
        <v xml:space="preserve"> </v>
      </c>
      <c r="D232" s="17" t="str">
        <f>Start.listina!AC67</f>
        <v xml:space="preserve"> </v>
      </c>
      <c r="E232" s="17" t="str">
        <f>Start.listina!AD67</f>
        <v xml:space="preserve"> </v>
      </c>
      <c r="F232" s="17"/>
      <c r="G232" s="142"/>
      <c r="H232" s="69"/>
      <c r="I232" s="69"/>
    </row>
    <row r="233" spans="1:9" ht="12" customHeight="1">
      <c r="A233" s="17">
        <f>Start.listina!AH68</f>
        <v>0</v>
      </c>
      <c r="B233" s="17" t="str">
        <f>Start.listina!I68</f>
        <v/>
      </c>
      <c r="C233" s="141" t="str">
        <f>Start.listina!J68</f>
        <v xml:space="preserve"> </v>
      </c>
      <c r="D233" s="17" t="str">
        <f>Start.listina!K68</f>
        <v xml:space="preserve"> </v>
      </c>
      <c r="E233" s="17" t="str">
        <f>Start.listina!L68</f>
        <v xml:space="preserve"> </v>
      </c>
      <c r="F233" s="17"/>
      <c r="G233" s="142" t="str">
        <f>IF(N(A233)&gt;0,VLOOKUP(A233,Body!$A$4:$F$259,5,0),"")</f>
        <v/>
      </c>
      <c r="H233" s="69" t="str">
        <f>IF(N(A233)&gt;0,VLOOKUP(A233,Body!$A$4:$F$259,6,0),"")</f>
        <v/>
      </c>
      <c r="I233" s="69" t="str">
        <f>IF(N(A233)&gt;0,VLOOKUP(A233,Body!$A$4:$F$259,2,0),"")</f>
        <v/>
      </c>
    </row>
    <row r="234" spans="1:9" ht="12" customHeight="1">
      <c r="A234" s="17"/>
      <c r="B234" s="17" t="str">
        <f>Start.listina!O68</f>
        <v/>
      </c>
      <c r="C234" s="141" t="str">
        <f>Start.listina!P68</f>
        <v xml:space="preserve"> </v>
      </c>
      <c r="D234" s="17" t="str">
        <f>Start.listina!Q68</f>
        <v xml:space="preserve"> </v>
      </c>
      <c r="E234" s="17" t="str">
        <f>Start.listina!R68</f>
        <v xml:space="preserve"> </v>
      </c>
      <c r="F234" s="17"/>
      <c r="G234" s="142"/>
      <c r="H234" s="69"/>
      <c r="I234" s="69"/>
    </row>
    <row r="235" spans="1:9" ht="12" customHeight="1">
      <c r="A235" s="17"/>
      <c r="B235" s="17" t="str">
        <f>Start.listina!U68</f>
        <v/>
      </c>
      <c r="C235" s="141" t="str">
        <f>Start.listina!V68</f>
        <v xml:space="preserve"> </v>
      </c>
      <c r="D235" s="17" t="str">
        <f>Start.listina!W68</f>
        <v xml:space="preserve"> </v>
      </c>
      <c r="E235" s="17" t="str">
        <f>Start.listina!X68</f>
        <v xml:space="preserve"> </v>
      </c>
      <c r="F235" s="17"/>
      <c r="G235" s="142"/>
      <c r="H235" s="69"/>
      <c r="I235" s="69"/>
    </row>
    <row r="236" spans="1:9" ht="12" customHeight="1">
      <c r="A236" s="17"/>
      <c r="B236" s="17" t="str">
        <f>Start.listina!AA68</f>
        <v/>
      </c>
      <c r="C236" s="141" t="str">
        <f>Start.listina!AB68</f>
        <v xml:space="preserve"> </v>
      </c>
      <c r="D236" s="17" t="str">
        <f>Start.listina!AC68</f>
        <v xml:space="preserve"> </v>
      </c>
      <c r="E236" s="17" t="str">
        <f>Start.listina!AD68</f>
        <v xml:space="preserve"> </v>
      </c>
      <c r="F236" s="17"/>
      <c r="G236" s="142"/>
      <c r="H236" s="69"/>
      <c r="I236" s="69"/>
    </row>
    <row r="237" spans="1:9" ht="12" customHeight="1">
      <c r="A237" s="17">
        <f>Start.listina!AH69</f>
        <v>0</v>
      </c>
      <c r="B237" s="17" t="str">
        <f>Start.listina!I69</f>
        <v/>
      </c>
      <c r="C237" s="141" t="str">
        <f>Start.listina!J69</f>
        <v xml:space="preserve"> </v>
      </c>
      <c r="D237" s="17" t="str">
        <f>Start.listina!K69</f>
        <v xml:space="preserve"> </v>
      </c>
      <c r="E237" s="17" t="str">
        <f>Start.listina!L69</f>
        <v xml:space="preserve"> </v>
      </c>
      <c r="F237" s="17"/>
      <c r="G237" s="142" t="str">
        <f>IF(N(A237)&gt;0,VLOOKUP(A237,Body!$A$4:$F$259,5,0),"")</f>
        <v/>
      </c>
      <c r="H237" s="69" t="str">
        <f>IF(N(A237)&gt;0,VLOOKUP(A237,Body!$A$4:$F$259,6,0),"")</f>
        <v/>
      </c>
      <c r="I237" s="69" t="str">
        <f>IF(N(A237)&gt;0,VLOOKUP(A237,Body!$A$4:$F$259,2,0),"")</f>
        <v/>
      </c>
    </row>
    <row r="238" spans="1:9" ht="12" customHeight="1">
      <c r="A238" s="17"/>
      <c r="B238" s="17" t="str">
        <f>Start.listina!O69</f>
        <v/>
      </c>
      <c r="C238" s="141" t="str">
        <f>Start.listina!P69</f>
        <v xml:space="preserve"> </v>
      </c>
      <c r="D238" s="17" t="str">
        <f>Start.listina!Q69</f>
        <v xml:space="preserve"> </v>
      </c>
      <c r="E238" s="17" t="str">
        <f>Start.listina!R69</f>
        <v xml:space="preserve"> </v>
      </c>
      <c r="F238" s="17"/>
      <c r="G238" s="142"/>
      <c r="H238" s="69"/>
      <c r="I238" s="69"/>
    </row>
    <row r="239" spans="1:9" ht="12" customHeight="1">
      <c r="A239" s="17"/>
      <c r="B239" s="17" t="str">
        <f>Start.listina!U69</f>
        <v/>
      </c>
      <c r="C239" s="141" t="str">
        <f>Start.listina!V69</f>
        <v xml:space="preserve"> </v>
      </c>
      <c r="D239" s="17" t="str">
        <f>Start.listina!W69</f>
        <v xml:space="preserve"> </v>
      </c>
      <c r="E239" s="17" t="str">
        <f>Start.listina!X69</f>
        <v xml:space="preserve"> </v>
      </c>
      <c r="F239" s="17"/>
      <c r="G239" s="142"/>
      <c r="H239" s="69"/>
      <c r="I239" s="69"/>
    </row>
    <row r="240" spans="1:9" ht="12" customHeight="1">
      <c r="A240" s="17"/>
      <c r="B240" s="17" t="str">
        <f>Start.listina!AA69</f>
        <v/>
      </c>
      <c r="C240" s="141" t="str">
        <f>Start.listina!AB69</f>
        <v xml:space="preserve"> </v>
      </c>
      <c r="D240" s="17" t="str">
        <f>Start.listina!AC69</f>
        <v xml:space="preserve"> </v>
      </c>
      <c r="E240" s="17" t="str">
        <f>Start.listina!AD69</f>
        <v xml:space="preserve"> </v>
      </c>
      <c r="F240" s="17"/>
      <c r="G240" s="142"/>
      <c r="H240" s="69"/>
      <c r="I240" s="69"/>
    </row>
    <row r="241" spans="1:9" ht="12" customHeight="1">
      <c r="A241" s="17">
        <f>Start.listina!AH70</f>
        <v>0</v>
      </c>
      <c r="B241" s="17" t="str">
        <f>Start.listina!I70</f>
        <v/>
      </c>
      <c r="C241" s="141" t="str">
        <f>Start.listina!J70</f>
        <v xml:space="preserve"> </v>
      </c>
      <c r="D241" s="17" t="str">
        <f>Start.listina!K70</f>
        <v xml:space="preserve"> </v>
      </c>
      <c r="E241" s="17" t="str">
        <f>Start.listina!L70</f>
        <v xml:space="preserve"> </v>
      </c>
      <c r="F241" s="17"/>
      <c r="G241" s="142" t="str">
        <f>IF(N(A241)&gt;0,VLOOKUP(A241,Body!$A$4:$F$259,5,0),"")</f>
        <v/>
      </c>
      <c r="H241" s="69" t="str">
        <f>IF(N(A241)&gt;0,VLOOKUP(A241,Body!$A$4:$F$259,6,0),"")</f>
        <v/>
      </c>
      <c r="I241" s="69" t="str">
        <f>IF(N(A241)&gt;0,VLOOKUP(A241,Body!$A$4:$F$259,2,0),"")</f>
        <v/>
      </c>
    </row>
    <row r="242" spans="1:9" ht="12" customHeight="1">
      <c r="A242" s="17"/>
      <c r="B242" s="17" t="str">
        <f>Start.listina!O70</f>
        <v/>
      </c>
      <c r="C242" s="141" t="str">
        <f>Start.listina!P70</f>
        <v xml:space="preserve"> </v>
      </c>
      <c r="D242" s="17" t="str">
        <f>Start.listina!Q70</f>
        <v xml:space="preserve"> </v>
      </c>
      <c r="E242" s="17" t="str">
        <f>Start.listina!R70</f>
        <v xml:space="preserve"> </v>
      </c>
      <c r="F242" s="17"/>
      <c r="G242" s="142"/>
      <c r="H242" s="69"/>
      <c r="I242" s="69"/>
    </row>
    <row r="243" spans="1:9" ht="12" customHeight="1">
      <c r="A243" s="17"/>
      <c r="B243" s="17" t="str">
        <f>Start.listina!U70</f>
        <v/>
      </c>
      <c r="C243" s="141" t="str">
        <f>Start.listina!V70</f>
        <v xml:space="preserve"> </v>
      </c>
      <c r="D243" s="17" t="str">
        <f>Start.listina!W70</f>
        <v xml:space="preserve"> </v>
      </c>
      <c r="E243" s="17" t="str">
        <f>Start.listina!X70</f>
        <v xml:space="preserve"> </v>
      </c>
      <c r="F243" s="17"/>
      <c r="G243" s="142"/>
      <c r="H243" s="69"/>
      <c r="I243" s="69"/>
    </row>
    <row r="244" spans="1:9" ht="12" customHeight="1">
      <c r="A244" s="17"/>
      <c r="B244" s="17" t="str">
        <f>Start.listina!AA70</f>
        <v/>
      </c>
      <c r="C244" s="141" t="str">
        <f>Start.listina!AB70</f>
        <v xml:space="preserve"> </v>
      </c>
      <c r="D244" s="17" t="str">
        <f>Start.listina!AC70</f>
        <v xml:space="preserve"> </v>
      </c>
      <c r="E244" s="17" t="str">
        <f>Start.listina!AD70</f>
        <v xml:space="preserve"> </v>
      </c>
      <c r="F244" s="17"/>
      <c r="G244" s="142"/>
      <c r="H244" s="69"/>
      <c r="I244" s="69"/>
    </row>
    <row r="245" spans="1:9" ht="12" customHeight="1">
      <c r="A245" s="17">
        <f>Start.listina!AH71</f>
        <v>0</v>
      </c>
      <c r="B245" s="17" t="str">
        <f>Start.listina!I71</f>
        <v/>
      </c>
      <c r="C245" s="141" t="str">
        <f>Start.listina!J71</f>
        <v xml:space="preserve"> </v>
      </c>
      <c r="D245" s="17" t="str">
        <f>Start.listina!K71</f>
        <v xml:space="preserve"> </v>
      </c>
      <c r="E245" s="17" t="str">
        <f>Start.listina!L71</f>
        <v xml:space="preserve"> </v>
      </c>
      <c r="F245" s="17"/>
      <c r="G245" s="142" t="str">
        <f>IF(N(A245)&gt;0,VLOOKUP(A245,Body!$A$4:$F$259,5,0),"")</f>
        <v/>
      </c>
      <c r="H245" s="69" t="str">
        <f>IF(N(A245)&gt;0,VLOOKUP(A245,Body!$A$4:$F$259,6,0),"")</f>
        <v/>
      </c>
      <c r="I245" s="69" t="str">
        <f>IF(N(A245)&gt;0,VLOOKUP(A245,Body!$A$4:$F$259,2,0),"")</f>
        <v/>
      </c>
    </row>
    <row r="246" spans="1:9" ht="12" customHeight="1">
      <c r="A246" s="17"/>
      <c r="B246" s="17" t="str">
        <f>Start.listina!O71</f>
        <v/>
      </c>
      <c r="C246" s="141" t="str">
        <f>Start.listina!P71</f>
        <v xml:space="preserve"> </v>
      </c>
      <c r="D246" s="17" t="str">
        <f>Start.listina!Q71</f>
        <v xml:space="preserve"> </v>
      </c>
      <c r="E246" s="17" t="str">
        <f>Start.listina!R71</f>
        <v xml:space="preserve"> </v>
      </c>
      <c r="F246" s="17"/>
      <c r="G246" s="142"/>
      <c r="H246" s="69"/>
      <c r="I246" s="69"/>
    </row>
    <row r="247" spans="1:9" ht="12" customHeight="1">
      <c r="A247" s="17"/>
      <c r="B247" s="17" t="str">
        <f>Start.listina!U71</f>
        <v/>
      </c>
      <c r="C247" s="141" t="str">
        <f>Start.listina!V71</f>
        <v xml:space="preserve"> </v>
      </c>
      <c r="D247" s="17" t="str">
        <f>Start.listina!W71</f>
        <v xml:space="preserve"> </v>
      </c>
      <c r="E247" s="17" t="str">
        <f>Start.listina!X71</f>
        <v xml:space="preserve"> </v>
      </c>
      <c r="F247" s="17"/>
      <c r="G247" s="142"/>
      <c r="H247" s="69"/>
      <c r="I247" s="69"/>
    </row>
    <row r="248" spans="1:9" ht="12" customHeight="1">
      <c r="A248" s="17"/>
      <c r="B248" s="17" t="str">
        <f>Start.listina!AA71</f>
        <v/>
      </c>
      <c r="C248" s="141" t="str">
        <f>Start.listina!AB71</f>
        <v xml:space="preserve"> </v>
      </c>
      <c r="D248" s="17" t="str">
        <f>Start.listina!AC71</f>
        <v xml:space="preserve"> </v>
      </c>
      <c r="E248" s="17" t="str">
        <f>Start.listina!AD71</f>
        <v xml:space="preserve"> </v>
      </c>
      <c r="F248" s="17"/>
      <c r="G248" s="142"/>
      <c r="H248" s="69"/>
      <c r="I248" s="69"/>
    </row>
    <row r="249" spans="1:9" ht="12" customHeight="1">
      <c r="A249" s="17">
        <f>Start.listina!AH72</f>
        <v>0</v>
      </c>
      <c r="B249" s="17" t="str">
        <f>Start.listina!I72</f>
        <v/>
      </c>
      <c r="C249" s="141" t="str">
        <f>Start.listina!J72</f>
        <v xml:space="preserve"> </v>
      </c>
      <c r="D249" s="17" t="str">
        <f>Start.listina!K72</f>
        <v xml:space="preserve"> </v>
      </c>
      <c r="E249" s="17" t="str">
        <f>Start.listina!L72</f>
        <v xml:space="preserve"> </v>
      </c>
      <c r="F249" s="17"/>
      <c r="G249" s="142" t="str">
        <f>IF(N(A249)&gt;0,VLOOKUP(A249,Body!$A$4:$F$259,5,0),"")</f>
        <v/>
      </c>
      <c r="H249" s="69" t="str">
        <f>IF(N(A249)&gt;0,VLOOKUP(A249,Body!$A$4:$F$259,6,0),"")</f>
        <v/>
      </c>
      <c r="I249" s="69" t="str">
        <f>IF(N(A249)&gt;0,VLOOKUP(A249,Body!$A$4:$F$259,2,0),"")</f>
        <v/>
      </c>
    </row>
    <row r="250" spans="1:9" ht="12" customHeight="1">
      <c r="A250" s="17"/>
      <c r="B250" s="17" t="str">
        <f>Start.listina!O72</f>
        <v/>
      </c>
      <c r="C250" s="141" t="str">
        <f>Start.listina!P72</f>
        <v xml:space="preserve"> </v>
      </c>
      <c r="D250" s="17" t="str">
        <f>Start.listina!Q72</f>
        <v xml:space="preserve"> </v>
      </c>
      <c r="E250" s="17" t="str">
        <f>Start.listina!R72</f>
        <v xml:space="preserve"> </v>
      </c>
      <c r="F250" s="17"/>
      <c r="G250" s="142"/>
      <c r="H250" s="69"/>
      <c r="I250" s="69"/>
    </row>
    <row r="251" spans="1:9" ht="12" customHeight="1">
      <c r="A251" s="17"/>
      <c r="B251" s="17" t="str">
        <f>Start.listina!U72</f>
        <v/>
      </c>
      <c r="C251" s="141" t="str">
        <f>Start.listina!V72</f>
        <v xml:space="preserve"> </v>
      </c>
      <c r="D251" s="17" t="str">
        <f>Start.listina!W72</f>
        <v xml:space="preserve"> </v>
      </c>
      <c r="E251" s="17" t="str">
        <f>Start.listina!X72</f>
        <v xml:space="preserve"> </v>
      </c>
      <c r="F251" s="17"/>
      <c r="G251" s="142"/>
      <c r="H251" s="69"/>
      <c r="I251" s="69"/>
    </row>
    <row r="252" spans="1:9" ht="12" customHeight="1">
      <c r="A252" s="17"/>
      <c r="B252" s="17" t="str">
        <f>Start.listina!AA72</f>
        <v/>
      </c>
      <c r="C252" s="141" t="str">
        <f>Start.listina!AB72</f>
        <v xml:space="preserve"> </v>
      </c>
      <c r="D252" s="17" t="str">
        <f>Start.listina!AC72</f>
        <v xml:space="preserve"> </v>
      </c>
      <c r="E252" s="17" t="str">
        <f>Start.listina!AD72</f>
        <v xml:space="preserve"> </v>
      </c>
      <c r="F252" s="17"/>
      <c r="G252" s="142"/>
      <c r="H252" s="69"/>
      <c r="I252" s="69"/>
    </row>
    <row r="253" spans="1:9" ht="12" customHeight="1">
      <c r="A253" s="17">
        <f>Start.listina!AH73</f>
        <v>0</v>
      </c>
      <c r="B253" s="17" t="str">
        <f>Start.listina!I73</f>
        <v/>
      </c>
      <c r="C253" s="141" t="str">
        <f>Start.listina!J73</f>
        <v xml:space="preserve"> </v>
      </c>
      <c r="D253" s="17" t="str">
        <f>Start.listina!K73</f>
        <v xml:space="preserve"> </v>
      </c>
      <c r="E253" s="17" t="str">
        <f>Start.listina!L73</f>
        <v xml:space="preserve"> </v>
      </c>
      <c r="F253" s="17"/>
      <c r="G253" s="142" t="str">
        <f>IF(N(A253)&gt;0,VLOOKUP(A253,Body!$A$4:$F$259,5,0),"")</f>
        <v/>
      </c>
      <c r="H253" s="69" t="str">
        <f>IF(N(A253)&gt;0,VLOOKUP(A253,Body!$A$4:$F$259,6,0),"")</f>
        <v/>
      </c>
      <c r="I253" s="69" t="str">
        <f>IF(N(A253)&gt;0,VLOOKUP(A253,Body!$A$4:$F$259,2,0),"")</f>
        <v/>
      </c>
    </row>
    <row r="254" spans="1:9" ht="12" customHeight="1">
      <c r="A254" s="17"/>
      <c r="B254" s="17" t="str">
        <f>Start.listina!O73</f>
        <v/>
      </c>
      <c r="C254" s="141" t="str">
        <f>Start.listina!P73</f>
        <v xml:space="preserve"> </v>
      </c>
      <c r="D254" s="17" t="str">
        <f>Start.listina!Q73</f>
        <v xml:space="preserve"> </v>
      </c>
      <c r="E254" s="17" t="str">
        <f>Start.listina!R73</f>
        <v xml:space="preserve"> </v>
      </c>
      <c r="F254" s="17"/>
      <c r="G254" s="142"/>
      <c r="H254" s="69"/>
      <c r="I254" s="69"/>
    </row>
    <row r="255" spans="1:9" ht="12" customHeight="1">
      <c r="A255" s="17"/>
      <c r="B255" s="17" t="str">
        <f>Start.listina!U73</f>
        <v/>
      </c>
      <c r="C255" s="141" t="str">
        <f>Start.listina!V73</f>
        <v xml:space="preserve"> </v>
      </c>
      <c r="D255" s="17" t="str">
        <f>Start.listina!W73</f>
        <v xml:space="preserve"> </v>
      </c>
      <c r="E255" s="17" t="str">
        <f>Start.listina!X73</f>
        <v xml:space="preserve"> </v>
      </c>
      <c r="F255" s="17"/>
      <c r="G255" s="142"/>
      <c r="H255" s="69"/>
      <c r="I255" s="69"/>
    </row>
    <row r="256" spans="1:9" ht="12" customHeight="1">
      <c r="A256" s="17"/>
      <c r="B256" s="17" t="str">
        <f>Start.listina!AA73</f>
        <v/>
      </c>
      <c r="C256" s="141" t="str">
        <f>Start.listina!AB73</f>
        <v xml:space="preserve"> </v>
      </c>
      <c r="D256" s="17" t="str">
        <f>Start.listina!AC73</f>
        <v xml:space="preserve"> </v>
      </c>
      <c r="E256" s="17" t="str">
        <f>Start.listina!AD73</f>
        <v xml:space="preserve"> </v>
      </c>
      <c r="F256" s="17"/>
      <c r="G256" s="142"/>
      <c r="H256" s="69"/>
      <c r="I256" s="69"/>
    </row>
    <row r="257" spans="1:9" ht="12" customHeight="1">
      <c r="A257" s="17">
        <f>Start.listina!AH74</f>
        <v>0</v>
      </c>
      <c r="B257" s="17" t="str">
        <f>Start.listina!I74</f>
        <v/>
      </c>
      <c r="C257" s="141" t="str">
        <f>Start.listina!J74</f>
        <v xml:space="preserve"> </v>
      </c>
      <c r="D257" s="17" t="str">
        <f>Start.listina!K74</f>
        <v xml:space="preserve"> </v>
      </c>
      <c r="E257" s="17" t="str">
        <f>Start.listina!L74</f>
        <v xml:space="preserve"> </v>
      </c>
      <c r="F257" s="17"/>
      <c r="G257" s="142" t="str">
        <f>IF(N(A257)&gt;0,VLOOKUP(A257,Body!$A$4:$F$259,5,0),"")</f>
        <v/>
      </c>
      <c r="H257" s="69" t="str">
        <f>IF(N(A257)&gt;0,VLOOKUP(A257,Body!$A$4:$F$259,6,0),"")</f>
        <v/>
      </c>
      <c r="I257" s="69" t="str">
        <f>IF(N(A257)&gt;0,VLOOKUP(A257,Body!$A$4:$F$259,2,0),"")</f>
        <v/>
      </c>
    </row>
    <row r="258" spans="1:9" ht="12" customHeight="1">
      <c r="A258" s="17"/>
      <c r="B258" s="17" t="str">
        <f>Start.listina!O74</f>
        <v/>
      </c>
      <c r="C258" s="141" t="str">
        <f>Start.listina!P74</f>
        <v xml:space="preserve"> </v>
      </c>
      <c r="D258" s="17" t="str">
        <f>Start.listina!Q74</f>
        <v xml:space="preserve"> </v>
      </c>
      <c r="E258" s="17" t="str">
        <f>Start.listina!R74</f>
        <v xml:space="preserve"> </v>
      </c>
      <c r="F258" s="17"/>
      <c r="G258" s="142"/>
      <c r="H258" s="69"/>
      <c r="I258" s="69"/>
    </row>
    <row r="259" spans="1:9" ht="12" customHeight="1">
      <c r="A259" s="17"/>
      <c r="B259" s="17" t="str">
        <f>Start.listina!U74</f>
        <v/>
      </c>
      <c r="C259" s="141" t="str">
        <f>Start.listina!V74</f>
        <v xml:space="preserve"> </v>
      </c>
      <c r="D259" s="17" t="str">
        <f>Start.listina!W74</f>
        <v xml:space="preserve"> </v>
      </c>
      <c r="E259" s="17" t="str">
        <f>Start.listina!X74</f>
        <v xml:space="preserve"> </v>
      </c>
      <c r="F259" s="17"/>
      <c r="G259" s="142"/>
      <c r="H259" s="69"/>
      <c r="I259" s="69"/>
    </row>
    <row r="260" spans="1:9" ht="12" customHeight="1">
      <c r="A260" s="17"/>
      <c r="B260" s="17" t="str">
        <f>Start.listina!AA74</f>
        <v/>
      </c>
      <c r="C260" s="141" t="str">
        <f>Start.listina!AB74</f>
        <v xml:space="preserve"> </v>
      </c>
      <c r="D260" s="17" t="str">
        <f>Start.listina!AC74</f>
        <v xml:space="preserve"> </v>
      </c>
      <c r="E260" s="17" t="str">
        <f>Start.listina!AD74</f>
        <v xml:space="preserve"> </v>
      </c>
      <c r="F260" s="17"/>
      <c r="G260" s="142"/>
      <c r="H260" s="69"/>
      <c r="I260" s="69"/>
    </row>
    <row r="261" spans="1:9" ht="12" customHeight="1">
      <c r="A261" s="17">
        <f>Start.listina!AH75</f>
        <v>0</v>
      </c>
      <c r="B261" s="17" t="str">
        <f>Start.listina!I75</f>
        <v/>
      </c>
      <c r="C261" s="141" t="str">
        <f>Start.listina!J75</f>
        <v xml:space="preserve"> </v>
      </c>
      <c r="D261" s="17" t="str">
        <f>Start.listina!K75</f>
        <v xml:space="preserve"> </v>
      </c>
      <c r="E261" s="17" t="str">
        <f>Start.listina!L75</f>
        <v xml:space="preserve"> </v>
      </c>
      <c r="F261" s="17"/>
      <c r="G261" s="142" t="str">
        <f>IF(N(A261)&gt;0,VLOOKUP(A261,Body!$A$4:$F$259,5,0),"")</f>
        <v/>
      </c>
      <c r="H261" s="69" t="str">
        <f>IF(N(A261)&gt;0,VLOOKUP(A261,Body!$A$4:$F$259,6,0),"")</f>
        <v/>
      </c>
      <c r="I261" s="69" t="str">
        <f>IF(N(A261)&gt;0,VLOOKUP(A261,Body!$A$4:$F$259,2,0),"")</f>
        <v/>
      </c>
    </row>
    <row r="262" spans="1:9" ht="12" customHeight="1">
      <c r="A262" s="17"/>
      <c r="B262" s="17" t="str">
        <f>Start.listina!O75</f>
        <v/>
      </c>
      <c r="C262" s="141" t="str">
        <f>Start.listina!P75</f>
        <v xml:space="preserve"> </v>
      </c>
      <c r="D262" s="17" t="str">
        <f>Start.listina!Q75</f>
        <v xml:space="preserve"> </v>
      </c>
      <c r="E262" s="17" t="str">
        <f>Start.listina!R75</f>
        <v xml:space="preserve"> </v>
      </c>
      <c r="F262" s="17"/>
      <c r="G262" s="142"/>
      <c r="H262" s="69"/>
      <c r="I262" s="69"/>
    </row>
    <row r="263" spans="1:9" ht="12" customHeight="1">
      <c r="A263" s="17"/>
      <c r="B263" s="17" t="str">
        <f>Start.listina!U75</f>
        <v/>
      </c>
      <c r="C263" s="141" t="str">
        <f>Start.listina!V75</f>
        <v xml:space="preserve"> </v>
      </c>
      <c r="D263" s="17" t="str">
        <f>Start.listina!W75</f>
        <v xml:space="preserve"> </v>
      </c>
      <c r="E263" s="17" t="str">
        <f>Start.listina!X75</f>
        <v xml:space="preserve"> </v>
      </c>
      <c r="F263" s="17"/>
      <c r="G263" s="142"/>
      <c r="H263" s="69"/>
      <c r="I263" s="69"/>
    </row>
    <row r="264" spans="1:9" ht="12" customHeight="1">
      <c r="A264" s="17"/>
      <c r="B264" s="17" t="str">
        <f>Start.listina!AA75</f>
        <v/>
      </c>
      <c r="C264" s="141" t="str">
        <f>Start.listina!AB75</f>
        <v xml:space="preserve"> </v>
      </c>
      <c r="D264" s="17" t="str">
        <f>Start.listina!AC75</f>
        <v xml:space="preserve"> </v>
      </c>
      <c r="E264" s="17" t="str">
        <f>Start.listina!AD75</f>
        <v xml:space="preserve"> </v>
      </c>
      <c r="F264" s="17"/>
      <c r="G264" s="142"/>
      <c r="H264" s="69"/>
      <c r="I264" s="69"/>
    </row>
    <row r="265" spans="1:9" ht="12" customHeight="1">
      <c r="A265" s="17">
        <f>Start.listina!AH76</f>
        <v>0</v>
      </c>
      <c r="B265" s="17" t="str">
        <f>Start.listina!I76</f>
        <v/>
      </c>
      <c r="C265" s="141" t="str">
        <f>Start.listina!J76</f>
        <v xml:space="preserve"> </v>
      </c>
      <c r="D265" s="17" t="str">
        <f>Start.listina!K76</f>
        <v xml:space="preserve"> </v>
      </c>
      <c r="E265" s="17" t="str">
        <f>Start.listina!L76</f>
        <v xml:space="preserve"> </v>
      </c>
      <c r="F265" s="17"/>
      <c r="G265" s="142" t="str">
        <f>IF(N(A265)&gt;0,VLOOKUP(A265,Body!$A$4:$F$259,5,0),"")</f>
        <v/>
      </c>
      <c r="H265" s="69" t="str">
        <f>IF(N(A265)&gt;0,VLOOKUP(A265,Body!$A$4:$F$259,6,0),"")</f>
        <v/>
      </c>
      <c r="I265" s="69" t="str">
        <f>IF(N(A265)&gt;0,VLOOKUP(A265,Body!$A$4:$F$259,2,0),"")</f>
        <v/>
      </c>
    </row>
    <row r="266" spans="1:9" ht="12" customHeight="1">
      <c r="A266" s="17"/>
      <c r="B266" s="17" t="str">
        <f>Start.listina!O76</f>
        <v/>
      </c>
      <c r="C266" s="141" t="str">
        <f>Start.listina!P76</f>
        <v xml:space="preserve"> </v>
      </c>
      <c r="D266" s="17" t="str">
        <f>Start.listina!Q76</f>
        <v xml:space="preserve"> </v>
      </c>
      <c r="E266" s="17" t="str">
        <f>Start.listina!R76</f>
        <v xml:space="preserve"> </v>
      </c>
      <c r="F266" s="17"/>
      <c r="G266" s="142"/>
      <c r="H266" s="69"/>
      <c r="I266" s="69"/>
    </row>
    <row r="267" spans="1:9" ht="12" customHeight="1">
      <c r="A267" s="17"/>
      <c r="B267" s="17" t="str">
        <f>Start.listina!U76</f>
        <v/>
      </c>
      <c r="C267" s="141" t="str">
        <f>Start.listina!V76</f>
        <v xml:space="preserve"> </v>
      </c>
      <c r="D267" s="17" t="str">
        <f>Start.listina!W76</f>
        <v xml:space="preserve"> </v>
      </c>
      <c r="E267" s="17" t="str">
        <f>Start.listina!X76</f>
        <v xml:space="preserve"> </v>
      </c>
      <c r="F267" s="17"/>
      <c r="G267" s="142"/>
      <c r="H267" s="69"/>
      <c r="I267" s="69"/>
    </row>
    <row r="268" spans="1:9" ht="12" customHeight="1">
      <c r="A268" s="17"/>
      <c r="B268" s="17" t="str">
        <f>Start.listina!AA76</f>
        <v/>
      </c>
      <c r="C268" s="141" t="str">
        <f>Start.listina!AB76</f>
        <v xml:space="preserve"> </v>
      </c>
      <c r="D268" s="17" t="str">
        <f>Start.listina!AC76</f>
        <v xml:space="preserve"> </v>
      </c>
      <c r="E268" s="17" t="str">
        <f>Start.listina!AD76</f>
        <v xml:space="preserve"> </v>
      </c>
      <c r="F268" s="17"/>
      <c r="G268" s="142"/>
      <c r="H268" s="69"/>
      <c r="I268" s="69"/>
    </row>
    <row r="269" spans="1:9" ht="12" customHeight="1">
      <c r="A269" s="17">
        <f>Start.listina!AH77</f>
        <v>0</v>
      </c>
      <c r="B269" s="17" t="str">
        <f>Start.listina!I77</f>
        <v/>
      </c>
      <c r="C269" s="141" t="str">
        <f>Start.listina!J77</f>
        <v xml:space="preserve"> </v>
      </c>
      <c r="D269" s="17" t="str">
        <f>Start.listina!K77</f>
        <v xml:space="preserve"> </v>
      </c>
      <c r="E269" s="17" t="str">
        <f>Start.listina!L77</f>
        <v xml:space="preserve"> </v>
      </c>
      <c r="F269" s="17"/>
      <c r="G269" s="142" t="str">
        <f>IF(N(A269)&gt;0,VLOOKUP(A269,Body!$A$4:$F$259,5,0),"")</f>
        <v/>
      </c>
      <c r="H269" s="69" t="str">
        <f>IF(N(A269)&gt;0,VLOOKUP(A269,Body!$A$4:$F$259,6,0),"")</f>
        <v/>
      </c>
      <c r="I269" s="69" t="str">
        <f>IF(N(A269)&gt;0,VLOOKUP(A269,Body!$A$4:$F$259,2,0),"")</f>
        <v/>
      </c>
    </row>
    <row r="270" spans="1:9" ht="12" customHeight="1">
      <c r="A270" s="17"/>
      <c r="B270" s="17" t="str">
        <f>Start.listina!O77</f>
        <v/>
      </c>
      <c r="C270" s="141" t="str">
        <f>Start.listina!P77</f>
        <v xml:space="preserve"> </v>
      </c>
      <c r="D270" s="17" t="str">
        <f>Start.listina!Q77</f>
        <v xml:space="preserve"> </v>
      </c>
      <c r="E270" s="17" t="str">
        <f>Start.listina!R77</f>
        <v xml:space="preserve"> </v>
      </c>
      <c r="F270" s="17"/>
      <c r="G270" s="142"/>
      <c r="H270" s="69"/>
      <c r="I270" s="69"/>
    </row>
    <row r="271" spans="1:9" ht="12" customHeight="1">
      <c r="A271" s="17"/>
      <c r="B271" s="17" t="str">
        <f>Start.listina!U77</f>
        <v/>
      </c>
      <c r="C271" s="141" t="str">
        <f>Start.listina!V77</f>
        <v xml:space="preserve"> </v>
      </c>
      <c r="D271" s="17" t="str">
        <f>Start.listina!W77</f>
        <v xml:space="preserve"> </v>
      </c>
      <c r="E271" s="17" t="str">
        <f>Start.listina!X77</f>
        <v xml:space="preserve"> </v>
      </c>
      <c r="F271" s="17"/>
      <c r="G271" s="142"/>
      <c r="H271" s="69"/>
      <c r="I271" s="69"/>
    </row>
    <row r="272" spans="1:9" ht="12" customHeight="1">
      <c r="A272" s="17"/>
      <c r="B272" s="17" t="str">
        <f>Start.listina!AA77</f>
        <v/>
      </c>
      <c r="C272" s="141" t="str">
        <f>Start.listina!AB77</f>
        <v xml:space="preserve"> </v>
      </c>
      <c r="D272" s="17" t="str">
        <f>Start.listina!AC77</f>
        <v xml:space="preserve"> </v>
      </c>
      <c r="E272" s="17" t="str">
        <f>Start.listina!AD77</f>
        <v xml:space="preserve"> </v>
      </c>
      <c r="F272" s="17"/>
      <c r="G272" s="142"/>
      <c r="H272" s="69"/>
      <c r="I272" s="69"/>
    </row>
    <row r="273" spans="1:9" ht="12" customHeight="1">
      <c r="A273" s="17">
        <f>Start.listina!AH78</f>
        <v>0</v>
      </c>
      <c r="B273" s="17" t="str">
        <f>Start.listina!I78</f>
        <v/>
      </c>
      <c r="C273" s="141" t="str">
        <f>Start.listina!J78</f>
        <v xml:space="preserve"> </v>
      </c>
      <c r="D273" s="17" t="str">
        <f>Start.listina!K78</f>
        <v xml:space="preserve"> </v>
      </c>
      <c r="E273" s="17" t="str">
        <f>Start.listina!L78</f>
        <v xml:space="preserve"> </v>
      </c>
      <c r="F273" s="17"/>
      <c r="G273" s="142" t="str">
        <f>IF(N(A273)&gt;0,VLOOKUP(A273,Body!$A$4:$F$259,5,0),"")</f>
        <v/>
      </c>
      <c r="H273" s="69" t="str">
        <f>IF(N(A273)&gt;0,VLOOKUP(A273,Body!$A$4:$F$259,6,0),"")</f>
        <v/>
      </c>
      <c r="I273" s="69" t="str">
        <f>IF(N(A273)&gt;0,VLOOKUP(A273,Body!$A$4:$F$259,2,0),"")</f>
        <v/>
      </c>
    </row>
    <row r="274" spans="1:9" ht="12" customHeight="1">
      <c r="A274" s="17"/>
      <c r="B274" s="17" t="str">
        <f>Start.listina!O78</f>
        <v/>
      </c>
      <c r="C274" s="141" t="str">
        <f>Start.listina!P78</f>
        <v xml:space="preserve"> </v>
      </c>
      <c r="D274" s="17" t="str">
        <f>Start.listina!Q78</f>
        <v xml:space="preserve"> </v>
      </c>
      <c r="E274" s="17" t="str">
        <f>Start.listina!R78</f>
        <v xml:space="preserve"> </v>
      </c>
      <c r="F274" s="17"/>
      <c r="G274" s="142"/>
      <c r="H274" s="69"/>
      <c r="I274" s="69"/>
    </row>
    <row r="275" spans="1:9" ht="12" customHeight="1">
      <c r="A275" s="17"/>
      <c r="B275" s="17" t="str">
        <f>Start.listina!U78</f>
        <v/>
      </c>
      <c r="C275" s="141" t="str">
        <f>Start.listina!V78</f>
        <v xml:space="preserve"> </v>
      </c>
      <c r="D275" s="17" t="str">
        <f>Start.listina!W78</f>
        <v xml:space="preserve"> </v>
      </c>
      <c r="E275" s="17" t="str">
        <f>Start.listina!X78</f>
        <v xml:space="preserve"> </v>
      </c>
      <c r="F275" s="17"/>
      <c r="G275" s="142"/>
      <c r="H275" s="69"/>
      <c r="I275" s="69"/>
    </row>
    <row r="276" spans="1:9" ht="12" customHeight="1">
      <c r="A276" s="17"/>
      <c r="B276" s="17" t="str">
        <f>Start.listina!AA78</f>
        <v/>
      </c>
      <c r="C276" s="141" t="str">
        <f>Start.listina!AB78</f>
        <v xml:space="preserve"> </v>
      </c>
      <c r="D276" s="17" t="str">
        <f>Start.listina!AC78</f>
        <v xml:space="preserve"> </v>
      </c>
      <c r="E276" s="17" t="str">
        <f>Start.listina!AD78</f>
        <v xml:space="preserve"> </v>
      </c>
      <c r="F276" s="17"/>
      <c r="G276" s="142"/>
      <c r="H276" s="69"/>
      <c r="I276" s="69"/>
    </row>
    <row r="277" spans="1:9" ht="12" customHeight="1">
      <c r="A277" s="17">
        <f>Start.listina!AH79</f>
        <v>0</v>
      </c>
      <c r="B277" s="17" t="str">
        <f>Start.listina!I79</f>
        <v/>
      </c>
      <c r="C277" s="141" t="str">
        <f>Start.listina!J79</f>
        <v xml:space="preserve"> </v>
      </c>
      <c r="D277" s="17" t="str">
        <f>Start.listina!K79</f>
        <v xml:space="preserve"> </v>
      </c>
      <c r="E277" s="17" t="str">
        <f>Start.listina!L79</f>
        <v xml:space="preserve"> </v>
      </c>
      <c r="F277" s="17"/>
      <c r="G277" s="142" t="str">
        <f>IF(N(A277)&gt;0,VLOOKUP(A277,Body!$A$4:$F$259,5,0),"")</f>
        <v/>
      </c>
      <c r="H277" s="69" t="str">
        <f>IF(N(A277)&gt;0,VLOOKUP(A277,Body!$A$4:$F$259,6,0),"")</f>
        <v/>
      </c>
      <c r="I277" s="69" t="str">
        <f>IF(N(A277)&gt;0,VLOOKUP(A277,Body!$A$4:$F$259,2,0),"")</f>
        <v/>
      </c>
    </row>
    <row r="278" spans="1:9" ht="12" customHeight="1">
      <c r="A278" s="17"/>
      <c r="B278" s="17" t="str">
        <f>Start.listina!O79</f>
        <v/>
      </c>
      <c r="C278" s="141" t="str">
        <f>Start.listina!P79</f>
        <v xml:space="preserve"> </v>
      </c>
      <c r="D278" s="17" t="str">
        <f>Start.listina!Q79</f>
        <v xml:space="preserve"> </v>
      </c>
      <c r="E278" s="17" t="str">
        <f>Start.listina!R79</f>
        <v xml:space="preserve"> </v>
      </c>
      <c r="F278" s="17"/>
      <c r="G278" s="142"/>
      <c r="H278" s="69"/>
      <c r="I278" s="69"/>
    </row>
    <row r="279" spans="1:9" ht="12" customHeight="1">
      <c r="A279" s="17"/>
      <c r="B279" s="17" t="str">
        <f>Start.listina!U79</f>
        <v/>
      </c>
      <c r="C279" s="141" t="str">
        <f>Start.listina!V79</f>
        <v xml:space="preserve"> </v>
      </c>
      <c r="D279" s="17" t="str">
        <f>Start.listina!W79</f>
        <v xml:space="preserve"> </v>
      </c>
      <c r="E279" s="17" t="str">
        <f>Start.listina!X79</f>
        <v xml:space="preserve"> </v>
      </c>
      <c r="F279" s="17"/>
      <c r="G279" s="142"/>
      <c r="H279" s="69"/>
      <c r="I279" s="69"/>
    </row>
    <row r="280" spans="1:9" ht="12" customHeight="1">
      <c r="A280" s="17"/>
      <c r="B280" s="17" t="str">
        <f>Start.listina!AA79</f>
        <v/>
      </c>
      <c r="C280" s="141" t="str">
        <f>Start.listina!AB79</f>
        <v xml:space="preserve"> </v>
      </c>
      <c r="D280" s="17" t="str">
        <f>Start.listina!AC79</f>
        <v xml:space="preserve"> </v>
      </c>
      <c r="E280" s="17" t="str">
        <f>Start.listina!AD79</f>
        <v xml:space="preserve"> </v>
      </c>
      <c r="F280" s="17"/>
      <c r="G280" s="142"/>
      <c r="H280" s="69"/>
      <c r="I280" s="69"/>
    </row>
    <row r="281" spans="1:9" ht="12" customHeight="1">
      <c r="A281" s="17">
        <f>Start.listina!AH80</f>
        <v>0</v>
      </c>
      <c r="B281" s="17" t="str">
        <f>Start.listina!I80</f>
        <v/>
      </c>
      <c r="C281" s="141" t="str">
        <f>Start.listina!J80</f>
        <v xml:space="preserve"> </v>
      </c>
      <c r="D281" s="17" t="str">
        <f>Start.listina!K80</f>
        <v xml:space="preserve"> </v>
      </c>
      <c r="E281" s="17" t="str">
        <f>Start.listina!L80</f>
        <v xml:space="preserve"> </v>
      </c>
      <c r="F281" s="17"/>
      <c r="G281" s="142" t="str">
        <f>IF(N(A281)&gt;0,VLOOKUP(A281,Body!$A$4:$F$259,5,0),"")</f>
        <v/>
      </c>
      <c r="H281" s="69" t="str">
        <f>IF(N(A281)&gt;0,VLOOKUP(A281,Body!$A$4:$F$259,6,0),"")</f>
        <v/>
      </c>
      <c r="I281" s="69" t="str">
        <f>IF(N(A281)&gt;0,VLOOKUP(A281,Body!$A$4:$F$259,2,0),"")</f>
        <v/>
      </c>
    </row>
    <row r="282" spans="1:9" ht="12" customHeight="1">
      <c r="A282" s="17"/>
      <c r="B282" s="17" t="str">
        <f>Start.listina!O80</f>
        <v/>
      </c>
      <c r="C282" s="141" t="str">
        <f>Start.listina!P80</f>
        <v xml:space="preserve"> </v>
      </c>
      <c r="D282" s="17" t="str">
        <f>Start.listina!Q80</f>
        <v xml:space="preserve"> </v>
      </c>
      <c r="E282" s="17" t="str">
        <f>Start.listina!R80</f>
        <v xml:space="preserve"> </v>
      </c>
      <c r="F282" s="17"/>
      <c r="G282" s="142"/>
      <c r="H282" s="69"/>
      <c r="I282" s="69"/>
    </row>
    <row r="283" spans="1:9" ht="12" customHeight="1">
      <c r="A283" s="17"/>
      <c r="B283" s="17" t="str">
        <f>Start.listina!U80</f>
        <v/>
      </c>
      <c r="C283" s="141" t="str">
        <f>Start.listina!V80</f>
        <v xml:space="preserve"> </v>
      </c>
      <c r="D283" s="17" t="str">
        <f>Start.listina!W80</f>
        <v xml:space="preserve"> </v>
      </c>
      <c r="E283" s="17" t="str">
        <f>Start.listina!X80</f>
        <v xml:space="preserve"> </v>
      </c>
      <c r="F283" s="17"/>
      <c r="G283" s="142"/>
      <c r="H283" s="69"/>
      <c r="I283" s="69"/>
    </row>
    <row r="284" spans="1:9" ht="12" customHeight="1">
      <c r="A284" s="17"/>
      <c r="B284" s="17" t="str">
        <f>Start.listina!AA80</f>
        <v/>
      </c>
      <c r="C284" s="141" t="str">
        <f>Start.listina!AB80</f>
        <v xml:space="preserve"> </v>
      </c>
      <c r="D284" s="17" t="str">
        <f>Start.listina!AC80</f>
        <v xml:space="preserve"> </v>
      </c>
      <c r="E284" s="17" t="str">
        <f>Start.listina!AD80</f>
        <v xml:space="preserve"> </v>
      </c>
      <c r="F284" s="17"/>
      <c r="G284" s="142"/>
      <c r="H284" s="69"/>
      <c r="I284" s="69"/>
    </row>
    <row r="285" spans="1:9" ht="12" customHeight="1">
      <c r="A285" s="17">
        <f>Start.listina!AH81</f>
        <v>0</v>
      </c>
      <c r="B285" s="17" t="str">
        <f>Start.listina!I81</f>
        <v/>
      </c>
      <c r="C285" s="141" t="str">
        <f>Start.listina!J81</f>
        <v xml:space="preserve"> </v>
      </c>
      <c r="D285" s="17" t="str">
        <f>Start.listina!K81</f>
        <v xml:space="preserve"> </v>
      </c>
      <c r="E285" s="17" t="str">
        <f>Start.listina!L81</f>
        <v xml:space="preserve"> </v>
      </c>
      <c r="F285" s="17"/>
      <c r="G285" s="142" t="str">
        <f>IF(N(A285)&gt;0,VLOOKUP(A285,Body!$A$4:$F$259,5,0),"")</f>
        <v/>
      </c>
      <c r="H285" s="69" t="str">
        <f>IF(N(A285)&gt;0,VLOOKUP(A285,Body!$A$4:$F$259,6,0),"")</f>
        <v/>
      </c>
      <c r="I285" s="69" t="str">
        <f>IF(N(A285)&gt;0,VLOOKUP(A285,Body!$A$4:$F$259,2,0),"")</f>
        <v/>
      </c>
    </row>
    <row r="286" spans="1:9" ht="12" customHeight="1">
      <c r="A286" s="17"/>
      <c r="B286" s="17" t="str">
        <f>Start.listina!O81</f>
        <v/>
      </c>
      <c r="C286" s="141" t="str">
        <f>Start.listina!P81</f>
        <v xml:space="preserve"> </v>
      </c>
      <c r="D286" s="17" t="str">
        <f>Start.listina!Q81</f>
        <v xml:space="preserve"> </v>
      </c>
      <c r="E286" s="17" t="str">
        <f>Start.listina!R81</f>
        <v xml:space="preserve"> </v>
      </c>
      <c r="F286" s="17"/>
      <c r="G286" s="142"/>
      <c r="H286" s="69"/>
      <c r="I286" s="69"/>
    </row>
    <row r="287" spans="1:9" ht="12" customHeight="1">
      <c r="A287" s="17"/>
      <c r="B287" s="17" t="str">
        <f>Start.listina!U81</f>
        <v/>
      </c>
      <c r="C287" s="141" t="str">
        <f>Start.listina!V81</f>
        <v xml:space="preserve"> </v>
      </c>
      <c r="D287" s="17" t="str">
        <f>Start.listina!W81</f>
        <v xml:space="preserve"> </v>
      </c>
      <c r="E287" s="17" t="str">
        <f>Start.listina!X81</f>
        <v xml:space="preserve"> </v>
      </c>
      <c r="F287" s="17"/>
      <c r="G287" s="142"/>
      <c r="H287" s="69"/>
      <c r="I287" s="69"/>
    </row>
    <row r="288" spans="1:9" ht="12" customHeight="1">
      <c r="A288" s="17"/>
      <c r="B288" s="17" t="str">
        <f>Start.listina!AA81</f>
        <v/>
      </c>
      <c r="C288" s="141" t="str">
        <f>Start.listina!AB81</f>
        <v xml:space="preserve"> </v>
      </c>
      <c r="D288" s="17" t="str">
        <f>Start.listina!AC81</f>
        <v xml:space="preserve"> </v>
      </c>
      <c r="E288" s="17" t="str">
        <f>Start.listina!AD81</f>
        <v xml:space="preserve"> </v>
      </c>
      <c r="F288" s="17"/>
      <c r="G288" s="142"/>
      <c r="H288" s="69"/>
      <c r="I288" s="69"/>
    </row>
    <row r="289" spans="1:9" ht="12" customHeight="1">
      <c r="A289" s="17">
        <f>Start.listina!AH82</f>
        <v>0</v>
      </c>
      <c r="B289" s="17" t="str">
        <f>Start.listina!I82</f>
        <v/>
      </c>
      <c r="C289" s="141" t="str">
        <f>Start.listina!J82</f>
        <v xml:space="preserve"> </v>
      </c>
      <c r="D289" s="17" t="str">
        <f>Start.listina!K82</f>
        <v xml:space="preserve"> </v>
      </c>
      <c r="E289" s="17" t="str">
        <f>Start.listina!L82</f>
        <v xml:space="preserve"> </v>
      </c>
      <c r="F289" s="17"/>
      <c r="G289" s="142" t="str">
        <f>IF(N(A289)&gt;0,VLOOKUP(A289,Body!$A$4:$F$259,5,0),"")</f>
        <v/>
      </c>
      <c r="H289" s="69" t="str">
        <f>IF(N(A289)&gt;0,VLOOKUP(A289,Body!$A$4:$F$259,6,0),"")</f>
        <v/>
      </c>
      <c r="I289" s="69" t="str">
        <f>IF(N(A289)&gt;0,VLOOKUP(A289,Body!$A$4:$F$259,2,0),"")</f>
        <v/>
      </c>
    </row>
    <row r="290" spans="1:9" ht="12" customHeight="1">
      <c r="A290" s="17"/>
      <c r="B290" s="17" t="str">
        <f>Start.listina!O82</f>
        <v/>
      </c>
      <c r="C290" s="141" t="str">
        <f>Start.listina!P82</f>
        <v xml:space="preserve"> </v>
      </c>
      <c r="D290" s="17" t="str">
        <f>Start.listina!Q82</f>
        <v xml:space="preserve"> </v>
      </c>
      <c r="E290" s="17" t="str">
        <f>Start.listina!R82</f>
        <v xml:space="preserve"> </v>
      </c>
      <c r="F290" s="17"/>
      <c r="G290" s="142"/>
      <c r="H290" s="69"/>
      <c r="I290" s="69"/>
    </row>
    <row r="291" spans="1:9" ht="12" customHeight="1">
      <c r="A291" s="17"/>
      <c r="B291" s="17" t="str">
        <f>Start.listina!U82</f>
        <v/>
      </c>
      <c r="C291" s="141" t="str">
        <f>Start.listina!V82</f>
        <v xml:space="preserve"> </v>
      </c>
      <c r="D291" s="17" t="str">
        <f>Start.listina!W82</f>
        <v xml:space="preserve"> </v>
      </c>
      <c r="E291" s="17" t="str">
        <f>Start.listina!X82</f>
        <v xml:space="preserve"> </v>
      </c>
      <c r="F291" s="17"/>
      <c r="G291" s="142"/>
      <c r="H291" s="69"/>
      <c r="I291" s="69"/>
    </row>
    <row r="292" spans="1:9" ht="12" customHeight="1">
      <c r="A292" s="17"/>
      <c r="B292" s="17" t="str">
        <f>Start.listina!AA82</f>
        <v/>
      </c>
      <c r="C292" s="141" t="str">
        <f>Start.listina!AB82</f>
        <v xml:space="preserve"> </v>
      </c>
      <c r="D292" s="17" t="str">
        <f>Start.listina!AC82</f>
        <v xml:space="preserve"> </v>
      </c>
      <c r="E292" s="17" t="str">
        <f>Start.listina!AD82</f>
        <v xml:space="preserve"> </v>
      </c>
      <c r="F292" s="17"/>
      <c r="G292" s="142"/>
      <c r="H292" s="69"/>
      <c r="I292" s="69"/>
    </row>
    <row r="293" spans="1:9" ht="12" customHeight="1">
      <c r="A293" s="17">
        <f>Start.listina!AH83</f>
        <v>0</v>
      </c>
      <c r="B293" s="17" t="str">
        <f>Start.listina!I83</f>
        <v/>
      </c>
      <c r="C293" s="141" t="str">
        <f>Start.listina!J83</f>
        <v xml:space="preserve"> </v>
      </c>
      <c r="D293" s="17" t="str">
        <f>Start.listina!K83</f>
        <v xml:space="preserve"> </v>
      </c>
      <c r="E293" s="17" t="str">
        <f>Start.listina!L83</f>
        <v xml:space="preserve"> </v>
      </c>
      <c r="F293" s="17"/>
      <c r="G293" s="142" t="str">
        <f>IF(N(A293)&gt;0,VLOOKUP(A293,Body!$A$4:$F$259,5,0),"")</f>
        <v/>
      </c>
      <c r="H293" s="69" t="str">
        <f>IF(N(A293)&gt;0,VLOOKUP(A293,Body!$A$4:$F$259,6,0),"")</f>
        <v/>
      </c>
      <c r="I293" s="69" t="str">
        <f>IF(N(A293)&gt;0,VLOOKUP(A293,Body!$A$4:$F$259,2,0),"")</f>
        <v/>
      </c>
    </row>
    <row r="294" spans="1:9" ht="12" customHeight="1">
      <c r="A294" s="17"/>
      <c r="B294" s="17" t="str">
        <f>Start.listina!O83</f>
        <v/>
      </c>
      <c r="C294" s="141" t="str">
        <f>Start.listina!P83</f>
        <v xml:space="preserve"> </v>
      </c>
      <c r="D294" s="17" t="str">
        <f>Start.listina!Q83</f>
        <v xml:space="preserve"> </v>
      </c>
      <c r="E294" s="17" t="str">
        <f>Start.listina!R83</f>
        <v xml:space="preserve"> </v>
      </c>
      <c r="F294" s="17"/>
      <c r="G294" s="142"/>
      <c r="H294" s="69"/>
      <c r="I294" s="69"/>
    </row>
    <row r="295" spans="1:9" ht="12" customHeight="1">
      <c r="A295" s="17"/>
      <c r="B295" s="17" t="str">
        <f>Start.listina!U83</f>
        <v/>
      </c>
      <c r="C295" s="141" t="str">
        <f>Start.listina!V83</f>
        <v xml:space="preserve"> </v>
      </c>
      <c r="D295" s="17" t="str">
        <f>Start.listina!W83</f>
        <v xml:space="preserve"> </v>
      </c>
      <c r="E295" s="17" t="str">
        <f>Start.listina!X83</f>
        <v xml:space="preserve"> </v>
      </c>
      <c r="F295" s="17"/>
      <c r="G295" s="142"/>
      <c r="H295" s="69"/>
      <c r="I295" s="69"/>
    </row>
    <row r="296" spans="1:9" ht="12" customHeight="1">
      <c r="A296" s="17"/>
      <c r="B296" s="17" t="str">
        <f>Start.listina!AA83</f>
        <v/>
      </c>
      <c r="C296" s="141" t="str">
        <f>Start.listina!AB83</f>
        <v xml:space="preserve"> </v>
      </c>
      <c r="D296" s="17" t="str">
        <f>Start.listina!AC83</f>
        <v xml:space="preserve"> </v>
      </c>
      <c r="E296" s="17" t="str">
        <f>Start.listina!AD83</f>
        <v xml:space="preserve"> </v>
      </c>
      <c r="F296" s="17"/>
      <c r="G296" s="142"/>
      <c r="H296" s="69"/>
      <c r="I296" s="69"/>
    </row>
    <row r="297" spans="1:9" ht="12" customHeight="1">
      <c r="A297" s="17">
        <f>Start.listina!AH84</f>
        <v>0</v>
      </c>
      <c r="B297" s="17" t="str">
        <f>Start.listina!I84</f>
        <v/>
      </c>
      <c r="C297" s="141" t="str">
        <f>Start.listina!J84</f>
        <v xml:space="preserve"> </v>
      </c>
      <c r="D297" s="17" t="str">
        <f>Start.listina!K84</f>
        <v xml:space="preserve"> </v>
      </c>
      <c r="E297" s="17" t="str">
        <f>Start.listina!L84</f>
        <v xml:space="preserve"> </v>
      </c>
      <c r="F297" s="17"/>
      <c r="G297" s="142" t="str">
        <f>IF(N(A297)&gt;0,VLOOKUP(A297,Body!$A$4:$F$259,5,0),"")</f>
        <v/>
      </c>
      <c r="H297" s="69" t="str">
        <f>IF(N(A297)&gt;0,VLOOKUP(A297,Body!$A$4:$F$259,6,0),"")</f>
        <v/>
      </c>
      <c r="I297" s="69" t="str">
        <f>IF(N(A297)&gt;0,VLOOKUP(A297,Body!$A$4:$F$259,2,0),"")</f>
        <v/>
      </c>
    </row>
    <row r="298" spans="1:9" ht="12" customHeight="1">
      <c r="A298" s="17"/>
      <c r="B298" s="17" t="str">
        <f>Start.listina!O84</f>
        <v/>
      </c>
      <c r="C298" s="141" t="str">
        <f>Start.listina!P84</f>
        <v xml:space="preserve"> </v>
      </c>
      <c r="D298" s="17" t="str">
        <f>Start.listina!Q84</f>
        <v xml:space="preserve"> </v>
      </c>
      <c r="E298" s="17" t="str">
        <f>Start.listina!R84</f>
        <v xml:space="preserve"> </v>
      </c>
      <c r="F298" s="17"/>
      <c r="G298" s="142"/>
      <c r="H298" s="69"/>
      <c r="I298" s="69"/>
    </row>
    <row r="299" spans="1:9" ht="12" customHeight="1">
      <c r="A299" s="17"/>
      <c r="B299" s="17" t="str">
        <f>Start.listina!U84</f>
        <v/>
      </c>
      <c r="C299" s="141" t="str">
        <f>Start.listina!V84</f>
        <v xml:space="preserve"> </v>
      </c>
      <c r="D299" s="17" t="str">
        <f>Start.listina!W84</f>
        <v xml:space="preserve"> </v>
      </c>
      <c r="E299" s="17" t="str">
        <f>Start.listina!X84</f>
        <v xml:space="preserve"> </v>
      </c>
      <c r="F299" s="17"/>
      <c r="G299" s="142"/>
      <c r="H299" s="69"/>
      <c r="I299" s="69"/>
    </row>
    <row r="300" spans="1:9" ht="12" customHeight="1">
      <c r="A300" s="17"/>
      <c r="B300" s="17" t="str">
        <f>Start.listina!AA84</f>
        <v/>
      </c>
      <c r="C300" s="141" t="str">
        <f>Start.listina!AB84</f>
        <v xml:space="preserve"> </v>
      </c>
      <c r="D300" s="17" t="str">
        <f>Start.listina!AC84</f>
        <v xml:space="preserve"> </v>
      </c>
      <c r="E300" s="17" t="str">
        <f>Start.listina!AD84</f>
        <v xml:space="preserve"> </v>
      </c>
      <c r="F300" s="17"/>
      <c r="G300" s="142"/>
      <c r="H300" s="69"/>
      <c r="I300" s="69"/>
    </row>
    <row r="301" spans="1:9" ht="12" customHeight="1">
      <c r="A301" s="17">
        <f>Start.listina!AH85</f>
        <v>0</v>
      </c>
      <c r="B301" s="17" t="str">
        <f>Start.listina!I85</f>
        <v/>
      </c>
      <c r="C301" s="141" t="str">
        <f>Start.listina!J85</f>
        <v xml:space="preserve"> </v>
      </c>
      <c r="D301" s="17" t="str">
        <f>Start.listina!K85</f>
        <v xml:space="preserve"> </v>
      </c>
      <c r="E301" s="17" t="str">
        <f>Start.listina!L85</f>
        <v xml:space="preserve"> </v>
      </c>
      <c r="F301" s="17"/>
      <c r="G301" s="142" t="str">
        <f>IF(N(A301)&gt;0,VLOOKUP(A301,Body!$A$4:$F$259,5,0),"")</f>
        <v/>
      </c>
      <c r="H301" s="69" t="str">
        <f>IF(N(A301)&gt;0,VLOOKUP(A301,Body!$A$4:$F$259,6,0),"")</f>
        <v/>
      </c>
      <c r="I301" s="69" t="str">
        <f>IF(N(A301)&gt;0,VLOOKUP(A301,Body!$A$4:$F$259,2,0),"")</f>
        <v/>
      </c>
    </row>
    <row r="302" spans="1:9" ht="12" customHeight="1">
      <c r="A302" s="17"/>
      <c r="B302" s="17" t="str">
        <f>Start.listina!O85</f>
        <v/>
      </c>
      <c r="C302" s="141" t="str">
        <f>Start.listina!P85</f>
        <v xml:space="preserve"> </v>
      </c>
      <c r="D302" s="17" t="str">
        <f>Start.listina!Q85</f>
        <v xml:space="preserve"> </v>
      </c>
      <c r="E302" s="17" t="str">
        <f>Start.listina!R85</f>
        <v xml:space="preserve"> </v>
      </c>
      <c r="F302" s="17"/>
      <c r="G302" s="142"/>
      <c r="H302" s="69"/>
      <c r="I302" s="69"/>
    </row>
    <row r="303" spans="1:9" ht="12" customHeight="1">
      <c r="A303" s="17"/>
      <c r="B303" s="17" t="str">
        <f>Start.listina!U85</f>
        <v/>
      </c>
      <c r="C303" s="141" t="str">
        <f>Start.listina!V85</f>
        <v xml:space="preserve"> </v>
      </c>
      <c r="D303" s="17" t="str">
        <f>Start.listina!W85</f>
        <v xml:space="preserve"> </v>
      </c>
      <c r="E303" s="17" t="str">
        <f>Start.listina!X85</f>
        <v xml:space="preserve"> </v>
      </c>
      <c r="F303" s="17"/>
      <c r="G303" s="142"/>
      <c r="H303" s="69"/>
      <c r="I303" s="69"/>
    </row>
    <row r="304" spans="1:9" ht="12" customHeight="1">
      <c r="A304" s="17"/>
      <c r="B304" s="17" t="str">
        <f>Start.listina!AA85</f>
        <v/>
      </c>
      <c r="C304" s="141" t="str">
        <f>Start.listina!AB85</f>
        <v xml:space="preserve"> </v>
      </c>
      <c r="D304" s="17" t="str">
        <f>Start.listina!AC85</f>
        <v xml:space="preserve"> </v>
      </c>
      <c r="E304" s="17" t="str">
        <f>Start.listina!AD85</f>
        <v xml:space="preserve"> </v>
      </c>
      <c r="F304" s="17"/>
      <c r="G304" s="142"/>
      <c r="H304" s="69"/>
      <c r="I304" s="69"/>
    </row>
    <row r="305" spans="1:9" ht="12" customHeight="1">
      <c r="A305" s="17">
        <f>Start.listina!AH86</f>
        <v>0</v>
      </c>
      <c r="B305" s="17" t="str">
        <f>Start.listina!I86</f>
        <v/>
      </c>
      <c r="C305" s="141" t="str">
        <f>Start.listina!J86</f>
        <v xml:space="preserve"> </v>
      </c>
      <c r="D305" s="17" t="str">
        <f>Start.listina!K86</f>
        <v xml:space="preserve"> </v>
      </c>
      <c r="E305" s="17" t="str">
        <f>Start.listina!L86</f>
        <v xml:space="preserve"> </v>
      </c>
      <c r="F305" s="17"/>
      <c r="G305" s="142" t="str">
        <f>IF(N(A305)&gt;0,VLOOKUP(A305,Body!$A$4:$F$259,5,0),"")</f>
        <v/>
      </c>
      <c r="H305" s="69" t="str">
        <f>IF(N(A305)&gt;0,VLOOKUP(A305,Body!$A$4:$F$259,6,0),"")</f>
        <v/>
      </c>
      <c r="I305" s="69" t="str">
        <f>IF(N(A305)&gt;0,VLOOKUP(A305,Body!$A$4:$F$259,2,0),"")</f>
        <v/>
      </c>
    </row>
    <row r="306" spans="1:9" ht="12" customHeight="1">
      <c r="A306" s="17"/>
      <c r="B306" s="17" t="str">
        <f>Start.listina!O86</f>
        <v/>
      </c>
      <c r="C306" s="141" t="str">
        <f>Start.listina!P86</f>
        <v xml:space="preserve"> </v>
      </c>
      <c r="D306" s="17" t="str">
        <f>Start.listina!Q86</f>
        <v xml:space="preserve"> </v>
      </c>
      <c r="E306" s="17" t="str">
        <f>Start.listina!R86</f>
        <v xml:space="preserve"> </v>
      </c>
      <c r="F306" s="17"/>
      <c r="G306" s="142"/>
      <c r="H306" s="69"/>
      <c r="I306" s="69"/>
    </row>
    <row r="307" spans="1:9" ht="12" customHeight="1">
      <c r="A307" s="17"/>
      <c r="B307" s="17" t="str">
        <f>Start.listina!U86</f>
        <v/>
      </c>
      <c r="C307" s="141" t="str">
        <f>Start.listina!V86</f>
        <v xml:space="preserve"> </v>
      </c>
      <c r="D307" s="17" t="str">
        <f>Start.listina!W86</f>
        <v xml:space="preserve"> </v>
      </c>
      <c r="E307" s="17" t="str">
        <f>Start.listina!X86</f>
        <v xml:space="preserve"> </v>
      </c>
      <c r="F307" s="17"/>
      <c r="G307" s="142"/>
      <c r="H307" s="69"/>
      <c r="I307" s="69"/>
    </row>
    <row r="308" spans="1:9" ht="12" customHeight="1">
      <c r="A308" s="17"/>
      <c r="B308" s="17" t="str">
        <f>Start.listina!AA86</f>
        <v/>
      </c>
      <c r="C308" s="141" t="str">
        <f>Start.listina!AB86</f>
        <v xml:space="preserve"> </v>
      </c>
      <c r="D308" s="17" t="str">
        <f>Start.listina!AC86</f>
        <v xml:space="preserve"> </v>
      </c>
      <c r="E308" s="17" t="str">
        <f>Start.listina!AD86</f>
        <v xml:space="preserve"> </v>
      </c>
      <c r="F308" s="17"/>
      <c r="G308" s="142"/>
      <c r="H308" s="69"/>
      <c r="I308" s="69"/>
    </row>
    <row r="309" spans="1:9" ht="12" customHeight="1">
      <c r="A309" s="17">
        <f>Start.listina!AH87</f>
        <v>0</v>
      </c>
      <c r="B309" s="17" t="str">
        <f>Start.listina!I87</f>
        <v/>
      </c>
      <c r="C309" s="141" t="str">
        <f>Start.listina!J87</f>
        <v xml:space="preserve"> </v>
      </c>
      <c r="D309" s="17" t="str">
        <f>Start.listina!K87</f>
        <v xml:space="preserve"> </v>
      </c>
      <c r="E309" s="17" t="str">
        <f>Start.listina!L87</f>
        <v xml:space="preserve"> </v>
      </c>
      <c r="F309" s="17"/>
      <c r="G309" s="142" t="str">
        <f>IF(N(A309)&gt;0,VLOOKUP(A309,Body!$A$4:$F$259,5,0),"")</f>
        <v/>
      </c>
      <c r="H309" s="69" t="str">
        <f>IF(N(A309)&gt;0,VLOOKUP(A309,Body!$A$4:$F$259,6,0),"")</f>
        <v/>
      </c>
      <c r="I309" s="69" t="str">
        <f>IF(N(A309)&gt;0,VLOOKUP(A309,Body!$A$4:$F$259,2,0),"")</f>
        <v/>
      </c>
    </row>
    <row r="310" spans="1:9" ht="12" customHeight="1">
      <c r="A310" s="17"/>
      <c r="B310" s="17" t="str">
        <f>Start.listina!O87</f>
        <v/>
      </c>
      <c r="C310" s="141" t="str">
        <f>Start.listina!P87</f>
        <v xml:space="preserve"> </v>
      </c>
      <c r="D310" s="17" t="str">
        <f>Start.listina!Q87</f>
        <v xml:space="preserve"> </v>
      </c>
      <c r="E310" s="17" t="str">
        <f>Start.listina!R87</f>
        <v xml:space="preserve"> </v>
      </c>
      <c r="F310" s="17"/>
      <c r="G310" s="142"/>
      <c r="H310" s="69"/>
      <c r="I310" s="69"/>
    </row>
    <row r="311" spans="1:9" ht="12" customHeight="1">
      <c r="A311" s="17"/>
      <c r="B311" s="17" t="str">
        <f>Start.listina!U87</f>
        <v/>
      </c>
      <c r="C311" s="141" t="str">
        <f>Start.listina!V87</f>
        <v xml:space="preserve"> </v>
      </c>
      <c r="D311" s="17" t="str">
        <f>Start.listina!W87</f>
        <v xml:space="preserve"> </v>
      </c>
      <c r="E311" s="17" t="str">
        <f>Start.listina!X87</f>
        <v xml:space="preserve"> </v>
      </c>
      <c r="F311" s="17"/>
      <c r="G311" s="142"/>
      <c r="H311" s="69"/>
      <c r="I311" s="69"/>
    </row>
    <row r="312" spans="1:9" ht="12" customHeight="1">
      <c r="A312" s="17"/>
      <c r="B312" s="17" t="str">
        <f>Start.listina!AA87</f>
        <v/>
      </c>
      <c r="C312" s="141" t="str">
        <f>Start.listina!AB87</f>
        <v xml:space="preserve"> </v>
      </c>
      <c r="D312" s="17" t="str">
        <f>Start.listina!AC87</f>
        <v xml:space="preserve"> </v>
      </c>
      <c r="E312" s="17" t="str">
        <f>Start.listina!AD87</f>
        <v xml:space="preserve"> </v>
      </c>
      <c r="F312" s="17"/>
      <c r="G312" s="142"/>
      <c r="H312" s="69"/>
      <c r="I312" s="69"/>
    </row>
    <row r="313" spans="1:9" ht="12" customHeight="1">
      <c r="A313" s="17">
        <f>Start.listina!AH88</f>
        <v>0</v>
      </c>
      <c r="B313" s="17" t="str">
        <f>Start.listina!I88</f>
        <v/>
      </c>
      <c r="C313" s="141" t="str">
        <f>Start.listina!J88</f>
        <v xml:space="preserve"> </v>
      </c>
      <c r="D313" s="17" t="str">
        <f>Start.listina!K88</f>
        <v xml:space="preserve"> </v>
      </c>
      <c r="E313" s="17" t="str">
        <f>Start.listina!L88</f>
        <v xml:space="preserve"> </v>
      </c>
      <c r="F313" s="17"/>
      <c r="G313" s="142" t="str">
        <f>IF(N(A313)&gt;0,VLOOKUP(A313,Body!$A$4:$F$259,5,0),"")</f>
        <v/>
      </c>
      <c r="H313" s="69" t="str">
        <f>IF(N(A313)&gt;0,VLOOKUP(A313,Body!$A$4:$F$259,6,0),"")</f>
        <v/>
      </c>
      <c r="I313" s="69" t="str">
        <f>IF(N(A313)&gt;0,VLOOKUP(A313,Body!$A$4:$F$259,2,0),"")</f>
        <v/>
      </c>
    </row>
    <row r="314" spans="1:9" ht="12" customHeight="1">
      <c r="A314" s="17"/>
      <c r="B314" s="17" t="str">
        <f>Start.listina!O88</f>
        <v/>
      </c>
      <c r="C314" s="141" t="str">
        <f>Start.listina!P88</f>
        <v xml:space="preserve"> </v>
      </c>
      <c r="D314" s="17" t="str">
        <f>Start.listina!Q88</f>
        <v xml:space="preserve"> </v>
      </c>
      <c r="E314" s="17" t="str">
        <f>Start.listina!R88</f>
        <v xml:space="preserve"> </v>
      </c>
      <c r="F314" s="17"/>
      <c r="G314" s="142"/>
      <c r="H314" s="69"/>
      <c r="I314" s="69"/>
    </row>
    <row r="315" spans="1:9" ht="12" customHeight="1">
      <c r="A315" s="17"/>
      <c r="B315" s="17" t="str">
        <f>Start.listina!U88</f>
        <v/>
      </c>
      <c r="C315" s="141" t="str">
        <f>Start.listina!V88</f>
        <v xml:space="preserve"> </v>
      </c>
      <c r="D315" s="17" t="str">
        <f>Start.listina!W88</f>
        <v xml:space="preserve"> </v>
      </c>
      <c r="E315" s="17" t="str">
        <f>Start.listina!X88</f>
        <v xml:space="preserve"> </v>
      </c>
      <c r="F315" s="17"/>
      <c r="G315" s="142"/>
      <c r="H315" s="69"/>
      <c r="I315" s="69"/>
    </row>
    <row r="316" spans="1:9" ht="12" customHeight="1">
      <c r="A316" s="17"/>
      <c r="B316" s="17" t="str">
        <f>Start.listina!AA88</f>
        <v/>
      </c>
      <c r="C316" s="141" t="str">
        <f>Start.listina!AB88</f>
        <v xml:space="preserve"> </v>
      </c>
      <c r="D316" s="17" t="str">
        <f>Start.listina!AC88</f>
        <v xml:space="preserve"> </v>
      </c>
      <c r="E316" s="17" t="str">
        <f>Start.listina!AD88</f>
        <v xml:space="preserve"> </v>
      </c>
      <c r="F316" s="17"/>
      <c r="G316" s="142"/>
      <c r="H316" s="69"/>
      <c r="I316" s="69"/>
    </row>
    <row r="317" spans="1:9" ht="12" customHeight="1">
      <c r="A317" s="17">
        <f>Start.listina!AH89</f>
        <v>0</v>
      </c>
      <c r="B317" s="17" t="str">
        <f>Start.listina!I89</f>
        <v/>
      </c>
      <c r="C317" s="141" t="str">
        <f>Start.listina!J89</f>
        <v xml:space="preserve"> </v>
      </c>
      <c r="D317" s="17" t="str">
        <f>Start.listina!K89</f>
        <v xml:space="preserve"> </v>
      </c>
      <c r="E317" s="17" t="str">
        <f>Start.listina!L89</f>
        <v xml:space="preserve"> </v>
      </c>
      <c r="F317" s="17"/>
      <c r="G317" s="142" t="str">
        <f>IF(N(A317)&gt;0,VLOOKUP(A317,Body!$A$4:$F$259,5,0),"")</f>
        <v/>
      </c>
      <c r="H317" s="69" t="str">
        <f>IF(N(A317)&gt;0,VLOOKUP(A317,Body!$A$4:$F$259,6,0),"")</f>
        <v/>
      </c>
      <c r="I317" s="69" t="str">
        <f>IF(N(A317)&gt;0,VLOOKUP(A317,Body!$A$4:$F$259,2,0),"")</f>
        <v/>
      </c>
    </row>
    <row r="318" spans="1:9" ht="12" customHeight="1">
      <c r="A318" s="17"/>
      <c r="B318" s="17" t="str">
        <f>Start.listina!O89</f>
        <v/>
      </c>
      <c r="C318" s="141" t="str">
        <f>Start.listina!P89</f>
        <v xml:space="preserve"> </v>
      </c>
      <c r="D318" s="17" t="str">
        <f>Start.listina!Q89</f>
        <v xml:space="preserve"> </v>
      </c>
      <c r="E318" s="17" t="str">
        <f>Start.listina!R89</f>
        <v xml:space="preserve"> </v>
      </c>
      <c r="F318" s="17"/>
      <c r="G318" s="142"/>
      <c r="H318" s="69"/>
      <c r="I318" s="69"/>
    </row>
    <row r="319" spans="1:9" ht="12" customHeight="1">
      <c r="A319" s="17"/>
      <c r="B319" s="17" t="str">
        <f>Start.listina!U89</f>
        <v/>
      </c>
      <c r="C319" s="141" t="str">
        <f>Start.listina!V89</f>
        <v xml:space="preserve"> </v>
      </c>
      <c r="D319" s="17" t="str">
        <f>Start.listina!W89</f>
        <v xml:space="preserve"> </v>
      </c>
      <c r="E319" s="17" t="str">
        <f>Start.listina!X89</f>
        <v xml:space="preserve"> </v>
      </c>
      <c r="F319" s="17"/>
      <c r="G319" s="142"/>
      <c r="H319" s="69"/>
      <c r="I319" s="69"/>
    </row>
    <row r="320" spans="1:9" ht="12" customHeight="1">
      <c r="A320" s="17"/>
      <c r="B320" s="17" t="str">
        <f>Start.listina!AA89</f>
        <v/>
      </c>
      <c r="C320" s="141" t="str">
        <f>Start.listina!AB89</f>
        <v xml:space="preserve"> </v>
      </c>
      <c r="D320" s="17" t="str">
        <f>Start.listina!AC89</f>
        <v xml:space="preserve"> </v>
      </c>
      <c r="E320" s="17" t="str">
        <f>Start.listina!AD89</f>
        <v xml:space="preserve"> </v>
      </c>
      <c r="F320" s="17"/>
      <c r="G320" s="142"/>
      <c r="H320" s="69"/>
      <c r="I320" s="69"/>
    </row>
    <row r="321" spans="1:9" ht="12" customHeight="1">
      <c r="A321" s="17">
        <f>Start.listina!AH90</f>
        <v>0</v>
      </c>
      <c r="B321" s="17" t="str">
        <f>Start.listina!I90</f>
        <v/>
      </c>
      <c r="C321" s="141" t="str">
        <f>Start.listina!J90</f>
        <v xml:space="preserve"> </v>
      </c>
      <c r="D321" s="17" t="str">
        <f>Start.listina!K90</f>
        <v xml:space="preserve"> </v>
      </c>
      <c r="E321" s="17" t="str">
        <f>Start.listina!L90</f>
        <v xml:space="preserve"> </v>
      </c>
      <c r="F321" s="17"/>
      <c r="G321" s="142" t="str">
        <f>IF(N(A321)&gt;0,VLOOKUP(A321,Body!$A$4:$F$259,5,0),"")</f>
        <v/>
      </c>
      <c r="H321" s="69" t="str">
        <f>IF(N(A321)&gt;0,VLOOKUP(A321,Body!$A$4:$F$259,6,0),"")</f>
        <v/>
      </c>
      <c r="I321" s="69" t="str">
        <f>IF(N(A321)&gt;0,VLOOKUP(A321,Body!$A$4:$F$259,2,0),"")</f>
        <v/>
      </c>
    </row>
    <row r="322" spans="1:9" ht="12" customHeight="1">
      <c r="A322" s="17"/>
      <c r="B322" s="17" t="str">
        <f>Start.listina!O90</f>
        <v/>
      </c>
      <c r="C322" s="141" t="str">
        <f>Start.listina!P90</f>
        <v xml:space="preserve"> </v>
      </c>
      <c r="D322" s="17" t="str">
        <f>Start.listina!Q90</f>
        <v xml:space="preserve"> </v>
      </c>
      <c r="E322" s="17" t="str">
        <f>Start.listina!R90</f>
        <v xml:space="preserve"> </v>
      </c>
      <c r="F322" s="17"/>
      <c r="G322" s="142"/>
      <c r="H322" s="69"/>
      <c r="I322" s="69"/>
    </row>
    <row r="323" spans="1:9" ht="12" customHeight="1">
      <c r="A323" s="17"/>
      <c r="B323" s="17" t="str">
        <f>Start.listina!U90</f>
        <v/>
      </c>
      <c r="C323" s="141" t="str">
        <f>Start.listina!V90</f>
        <v xml:space="preserve"> </v>
      </c>
      <c r="D323" s="17" t="str">
        <f>Start.listina!W90</f>
        <v xml:space="preserve"> </v>
      </c>
      <c r="E323" s="17" t="str">
        <f>Start.listina!X90</f>
        <v xml:space="preserve"> </v>
      </c>
      <c r="F323" s="17"/>
      <c r="G323" s="142"/>
      <c r="H323" s="69"/>
      <c r="I323" s="69"/>
    </row>
    <row r="324" spans="1:9" ht="12" customHeight="1">
      <c r="A324" s="17"/>
      <c r="B324" s="17" t="str">
        <f>Start.listina!AA90</f>
        <v/>
      </c>
      <c r="C324" s="141" t="str">
        <f>Start.listina!AB90</f>
        <v xml:space="preserve"> </v>
      </c>
      <c r="D324" s="17" t="str">
        <f>Start.listina!AC90</f>
        <v xml:space="preserve"> </v>
      </c>
      <c r="E324" s="17" t="str">
        <f>Start.listina!AD90</f>
        <v xml:space="preserve"> </v>
      </c>
      <c r="F324" s="17"/>
      <c r="G324" s="142"/>
      <c r="H324" s="69"/>
      <c r="I324" s="69"/>
    </row>
    <row r="325" spans="1:9" ht="12" customHeight="1">
      <c r="A325" s="17">
        <f>Start.listina!AH91</f>
        <v>0</v>
      </c>
      <c r="B325" s="17" t="str">
        <f>Start.listina!I91</f>
        <v/>
      </c>
      <c r="C325" s="141" t="str">
        <f>Start.listina!J91</f>
        <v xml:space="preserve"> </v>
      </c>
      <c r="D325" s="17" t="str">
        <f>Start.listina!K91</f>
        <v xml:space="preserve"> </v>
      </c>
      <c r="E325" s="17" t="str">
        <f>Start.listina!L91</f>
        <v xml:space="preserve"> </v>
      </c>
      <c r="F325" s="17"/>
      <c r="G325" s="142" t="str">
        <f>IF(N(A325)&gt;0,VLOOKUP(A325,Body!$A$4:$F$259,5,0),"")</f>
        <v/>
      </c>
      <c r="H325" s="69" t="str">
        <f>IF(N(A325)&gt;0,VLOOKUP(A325,Body!$A$4:$F$259,6,0),"")</f>
        <v/>
      </c>
      <c r="I325" s="69" t="str">
        <f>IF(N(A325)&gt;0,VLOOKUP(A325,Body!$A$4:$F$259,2,0),"")</f>
        <v/>
      </c>
    </row>
    <row r="326" spans="1:9" ht="12" customHeight="1">
      <c r="A326" s="17"/>
      <c r="B326" s="17" t="str">
        <f>Start.listina!O91</f>
        <v/>
      </c>
      <c r="C326" s="141" t="str">
        <f>Start.listina!P91</f>
        <v xml:space="preserve"> </v>
      </c>
      <c r="D326" s="17" t="str">
        <f>Start.listina!Q91</f>
        <v xml:space="preserve"> </v>
      </c>
      <c r="E326" s="17" t="str">
        <f>Start.listina!R91</f>
        <v xml:space="preserve"> </v>
      </c>
      <c r="F326" s="17"/>
      <c r="G326" s="142"/>
      <c r="H326" s="69"/>
      <c r="I326" s="69"/>
    </row>
    <row r="327" spans="1:9" ht="12" customHeight="1">
      <c r="A327" s="17"/>
      <c r="B327" s="17" t="str">
        <f>Start.listina!U91</f>
        <v/>
      </c>
      <c r="C327" s="141" t="str">
        <f>Start.listina!V91</f>
        <v xml:space="preserve"> </v>
      </c>
      <c r="D327" s="17" t="str">
        <f>Start.listina!W91</f>
        <v xml:space="preserve"> </v>
      </c>
      <c r="E327" s="17" t="str">
        <f>Start.listina!X91</f>
        <v xml:space="preserve"> </v>
      </c>
      <c r="F327" s="17"/>
      <c r="G327" s="142"/>
      <c r="H327" s="69"/>
      <c r="I327" s="69"/>
    </row>
    <row r="328" spans="1:9" ht="12" customHeight="1">
      <c r="A328" s="17"/>
      <c r="B328" s="17" t="str">
        <f>Start.listina!AA91</f>
        <v/>
      </c>
      <c r="C328" s="141" t="str">
        <f>Start.listina!AB91</f>
        <v xml:space="preserve"> </v>
      </c>
      <c r="D328" s="17" t="str">
        <f>Start.listina!AC91</f>
        <v xml:space="preserve"> </v>
      </c>
      <c r="E328" s="17" t="str">
        <f>Start.listina!AD91</f>
        <v xml:space="preserve"> </v>
      </c>
      <c r="F328" s="17"/>
      <c r="G328" s="142"/>
      <c r="H328" s="69"/>
      <c r="I328" s="69"/>
    </row>
    <row r="329" spans="1:9" ht="12" customHeight="1">
      <c r="A329" s="17">
        <f>Start.listina!AH92</f>
        <v>0</v>
      </c>
      <c r="B329" s="17" t="str">
        <f>Start.listina!I92</f>
        <v/>
      </c>
      <c r="C329" s="141" t="str">
        <f>Start.listina!J92</f>
        <v xml:space="preserve"> </v>
      </c>
      <c r="D329" s="17" t="str">
        <f>Start.listina!K92</f>
        <v xml:space="preserve"> </v>
      </c>
      <c r="E329" s="17" t="str">
        <f>Start.listina!L92</f>
        <v xml:space="preserve"> </v>
      </c>
      <c r="F329" s="17"/>
      <c r="G329" s="142" t="str">
        <f>IF(N(A329)&gt;0,VLOOKUP(A329,Body!$A$4:$F$259,5,0),"")</f>
        <v/>
      </c>
      <c r="H329" s="69" t="str">
        <f>IF(N(A329)&gt;0,VLOOKUP(A329,Body!$A$4:$F$259,6,0),"")</f>
        <v/>
      </c>
      <c r="I329" s="69" t="str">
        <f>IF(N(A329)&gt;0,VLOOKUP(A329,Body!$A$4:$F$259,2,0),"")</f>
        <v/>
      </c>
    </row>
    <row r="330" spans="1:9" ht="12" customHeight="1">
      <c r="A330" s="17"/>
      <c r="B330" s="17" t="str">
        <f>Start.listina!O92</f>
        <v/>
      </c>
      <c r="C330" s="141" t="str">
        <f>Start.listina!P92</f>
        <v xml:space="preserve"> </v>
      </c>
      <c r="D330" s="17" t="str">
        <f>Start.listina!Q92</f>
        <v xml:space="preserve"> </v>
      </c>
      <c r="E330" s="17" t="str">
        <f>Start.listina!R92</f>
        <v xml:space="preserve"> </v>
      </c>
      <c r="F330" s="17"/>
      <c r="G330" s="142"/>
      <c r="H330" s="69"/>
      <c r="I330" s="69"/>
    </row>
    <row r="331" spans="1:9" ht="12" customHeight="1">
      <c r="A331" s="17"/>
      <c r="B331" s="17" t="str">
        <f>Start.listina!U92</f>
        <v/>
      </c>
      <c r="C331" s="141" t="str">
        <f>Start.listina!V92</f>
        <v xml:space="preserve"> </v>
      </c>
      <c r="D331" s="17" t="str">
        <f>Start.listina!W92</f>
        <v xml:space="preserve"> </v>
      </c>
      <c r="E331" s="17" t="str">
        <f>Start.listina!X92</f>
        <v xml:space="preserve"> </v>
      </c>
      <c r="F331" s="17"/>
      <c r="G331" s="142"/>
      <c r="H331" s="69"/>
      <c r="I331" s="69"/>
    </row>
    <row r="332" spans="1:9" ht="12" customHeight="1">
      <c r="A332" s="17"/>
      <c r="B332" s="17" t="str">
        <f>Start.listina!AA92</f>
        <v/>
      </c>
      <c r="C332" s="141" t="str">
        <f>Start.listina!AB92</f>
        <v xml:space="preserve"> </v>
      </c>
      <c r="D332" s="17" t="str">
        <f>Start.listina!AC92</f>
        <v xml:space="preserve"> </v>
      </c>
      <c r="E332" s="17" t="str">
        <f>Start.listina!AD92</f>
        <v xml:space="preserve"> </v>
      </c>
      <c r="F332" s="17"/>
      <c r="G332" s="142"/>
      <c r="H332" s="69"/>
      <c r="I332" s="69"/>
    </row>
    <row r="333" spans="1:9" ht="12" customHeight="1">
      <c r="A333" s="17">
        <f>Start.listina!AH93</f>
        <v>0</v>
      </c>
      <c r="B333" s="17" t="str">
        <f>Start.listina!I93</f>
        <v/>
      </c>
      <c r="C333" s="141" t="str">
        <f>Start.listina!J93</f>
        <v xml:space="preserve"> </v>
      </c>
      <c r="D333" s="17" t="str">
        <f>Start.listina!K93</f>
        <v xml:space="preserve"> </v>
      </c>
      <c r="E333" s="17" t="str">
        <f>Start.listina!L93</f>
        <v xml:space="preserve"> </v>
      </c>
      <c r="F333" s="17"/>
      <c r="G333" s="142" t="str">
        <f>IF(N(A333)&gt;0,VLOOKUP(A333,Body!$A$4:$F$259,5,0),"")</f>
        <v/>
      </c>
      <c r="H333" s="69" t="str">
        <f>IF(N(A333)&gt;0,VLOOKUP(A333,Body!$A$4:$F$259,6,0),"")</f>
        <v/>
      </c>
      <c r="I333" s="69" t="str">
        <f>IF(N(A333)&gt;0,VLOOKUP(A333,Body!$A$4:$F$259,2,0),"")</f>
        <v/>
      </c>
    </row>
    <row r="334" spans="1:9" ht="12" customHeight="1">
      <c r="A334" s="17"/>
      <c r="B334" s="17" t="str">
        <f>Start.listina!O93</f>
        <v/>
      </c>
      <c r="C334" s="141" t="str">
        <f>Start.listina!P93</f>
        <v xml:space="preserve"> </v>
      </c>
      <c r="D334" s="17" t="str">
        <f>Start.listina!Q93</f>
        <v xml:space="preserve"> </v>
      </c>
      <c r="E334" s="17" t="str">
        <f>Start.listina!R93</f>
        <v xml:space="preserve"> </v>
      </c>
      <c r="F334" s="17"/>
      <c r="G334" s="142"/>
      <c r="H334" s="69"/>
      <c r="I334" s="69"/>
    </row>
    <row r="335" spans="1:9" ht="12" customHeight="1">
      <c r="A335" s="17"/>
      <c r="B335" s="17" t="str">
        <f>Start.listina!U93</f>
        <v/>
      </c>
      <c r="C335" s="141" t="str">
        <f>Start.listina!V93</f>
        <v xml:space="preserve"> </v>
      </c>
      <c r="D335" s="17" t="str">
        <f>Start.listina!W93</f>
        <v xml:space="preserve"> </v>
      </c>
      <c r="E335" s="17" t="str">
        <f>Start.listina!X93</f>
        <v xml:space="preserve"> </v>
      </c>
      <c r="F335" s="17"/>
      <c r="G335" s="142"/>
      <c r="H335" s="69"/>
      <c r="I335" s="69"/>
    </row>
    <row r="336" spans="1:9" ht="12" customHeight="1">
      <c r="A336" s="17"/>
      <c r="B336" s="17" t="str">
        <f>Start.listina!AA93</f>
        <v/>
      </c>
      <c r="C336" s="141" t="str">
        <f>Start.listina!AB93</f>
        <v xml:space="preserve"> </v>
      </c>
      <c r="D336" s="17" t="str">
        <f>Start.listina!AC93</f>
        <v xml:space="preserve"> </v>
      </c>
      <c r="E336" s="17" t="str">
        <f>Start.listina!AD93</f>
        <v xml:space="preserve"> </v>
      </c>
      <c r="F336" s="17"/>
      <c r="G336" s="142"/>
      <c r="H336" s="69"/>
      <c r="I336" s="69"/>
    </row>
    <row r="337" spans="1:9" ht="12" customHeight="1">
      <c r="A337" s="17">
        <f>Start.listina!AH94</f>
        <v>0</v>
      </c>
      <c r="B337" s="17" t="str">
        <f>Start.listina!I94</f>
        <v/>
      </c>
      <c r="C337" s="141" t="str">
        <f>Start.listina!J94</f>
        <v xml:space="preserve"> </v>
      </c>
      <c r="D337" s="17" t="str">
        <f>Start.listina!K94</f>
        <v xml:space="preserve"> </v>
      </c>
      <c r="E337" s="17" t="str">
        <f>Start.listina!L94</f>
        <v xml:space="preserve"> </v>
      </c>
      <c r="F337" s="17"/>
      <c r="G337" s="142" t="str">
        <f>IF(N(A337)&gt;0,VLOOKUP(A337,Body!$A$4:$F$259,5,0),"")</f>
        <v/>
      </c>
      <c r="H337" s="69" t="str">
        <f>IF(N(A337)&gt;0,VLOOKUP(A337,Body!$A$4:$F$259,6,0),"")</f>
        <v/>
      </c>
      <c r="I337" s="69" t="str">
        <f>IF(N(A337)&gt;0,VLOOKUP(A337,Body!$A$4:$F$259,2,0),"")</f>
        <v/>
      </c>
    </row>
    <row r="338" spans="1:9" ht="12" customHeight="1">
      <c r="A338" s="17"/>
      <c r="B338" s="17" t="str">
        <f>Start.listina!O94</f>
        <v/>
      </c>
      <c r="C338" s="141" t="str">
        <f>Start.listina!P94</f>
        <v xml:space="preserve"> </v>
      </c>
      <c r="D338" s="17" t="str">
        <f>Start.listina!Q94</f>
        <v xml:space="preserve"> </v>
      </c>
      <c r="E338" s="17" t="str">
        <f>Start.listina!R94</f>
        <v xml:space="preserve"> </v>
      </c>
      <c r="F338" s="17"/>
      <c r="G338" s="142"/>
      <c r="H338" s="69"/>
      <c r="I338" s="69"/>
    </row>
    <row r="339" spans="1:9" ht="12" customHeight="1">
      <c r="A339" s="17"/>
      <c r="B339" s="17" t="str">
        <f>Start.listina!U94</f>
        <v/>
      </c>
      <c r="C339" s="141" t="str">
        <f>Start.listina!V94</f>
        <v xml:space="preserve"> </v>
      </c>
      <c r="D339" s="17" t="str">
        <f>Start.listina!W94</f>
        <v xml:space="preserve"> </v>
      </c>
      <c r="E339" s="17" t="str">
        <f>Start.listina!X94</f>
        <v xml:space="preserve"> </v>
      </c>
      <c r="F339" s="17"/>
      <c r="G339" s="142"/>
      <c r="H339" s="69"/>
      <c r="I339" s="69"/>
    </row>
    <row r="340" spans="1:9" ht="12" customHeight="1">
      <c r="A340" s="17"/>
      <c r="B340" s="17" t="str">
        <f>Start.listina!AA94</f>
        <v/>
      </c>
      <c r="C340" s="141" t="str">
        <f>Start.listina!AB94</f>
        <v xml:space="preserve"> </v>
      </c>
      <c r="D340" s="17" t="str">
        <f>Start.listina!AC94</f>
        <v xml:space="preserve"> </v>
      </c>
      <c r="E340" s="17" t="str">
        <f>Start.listina!AD94</f>
        <v xml:space="preserve"> </v>
      </c>
      <c r="F340" s="17"/>
      <c r="G340" s="142"/>
      <c r="H340" s="69"/>
      <c r="I340" s="69"/>
    </row>
    <row r="341" spans="1:9" ht="12" customHeight="1">
      <c r="A341" s="17">
        <f>Start.listina!AH95</f>
        <v>0</v>
      </c>
      <c r="B341" s="17" t="str">
        <f>Start.listina!I95</f>
        <v/>
      </c>
      <c r="C341" s="141" t="str">
        <f>Start.listina!J95</f>
        <v xml:space="preserve"> </v>
      </c>
      <c r="D341" s="17" t="str">
        <f>Start.listina!K95</f>
        <v xml:space="preserve"> </v>
      </c>
      <c r="E341" s="17" t="str">
        <f>Start.listina!L95</f>
        <v xml:space="preserve"> </v>
      </c>
      <c r="F341" s="17"/>
      <c r="G341" s="142" t="str">
        <f>IF(N(A341)&gt;0,VLOOKUP(A341,Body!$A$4:$F$259,5,0),"")</f>
        <v/>
      </c>
      <c r="H341" s="69" t="str">
        <f>IF(N(A341)&gt;0,VLOOKUP(A341,Body!$A$4:$F$259,6,0),"")</f>
        <v/>
      </c>
      <c r="I341" s="69" t="str">
        <f>IF(N(A341)&gt;0,VLOOKUP(A341,Body!$A$4:$F$259,2,0),"")</f>
        <v/>
      </c>
    </row>
    <row r="342" spans="1:9" ht="12" customHeight="1">
      <c r="A342" s="17"/>
      <c r="B342" s="17" t="str">
        <f>Start.listina!O95</f>
        <v/>
      </c>
      <c r="C342" s="141" t="str">
        <f>Start.listina!P95</f>
        <v xml:space="preserve"> </v>
      </c>
      <c r="D342" s="17" t="str">
        <f>Start.listina!Q95</f>
        <v xml:space="preserve"> </v>
      </c>
      <c r="E342" s="17" t="str">
        <f>Start.listina!R95</f>
        <v xml:space="preserve"> </v>
      </c>
      <c r="F342" s="17"/>
      <c r="G342" s="142"/>
      <c r="H342" s="69"/>
      <c r="I342" s="69"/>
    </row>
    <row r="343" spans="1:9" ht="12" customHeight="1">
      <c r="A343" s="17"/>
      <c r="B343" s="17" t="str">
        <f>Start.listina!U95</f>
        <v/>
      </c>
      <c r="C343" s="141" t="str">
        <f>Start.listina!V95</f>
        <v xml:space="preserve"> </v>
      </c>
      <c r="D343" s="17" t="str">
        <f>Start.listina!W95</f>
        <v xml:space="preserve"> </v>
      </c>
      <c r="E343" s="17" t="str">
        <f>Start.listina!X95</f>
        <v xml:space="preserve"> </v>
      </c>
      <c r="F343" s="17"/>
      <c r="G343" s="142"/>
      <c r="H343" s="69"/>
      <c r="I343" s="69"/>
    </row>
    <row r="344" spans="1:9" ht="12" customHeight="1">
      <c r="A344" s="17"/>
      <c r="B344" s="17" t="str">
        <f>Start.listina!AA95</f>
        <v/>
      </c>
      <c r="C344" s="141" t="str">
        <f>Start.listina!AB95</f>
        <v xml:space="preserve"> </v>
      </c>
      <c r="D344" s="17" t="str">
        <f>Start.listina!AC95</f>
        <v xml:space="preserve"> </v>
      </c>
      <c r="E344" s="17" t="str">
        <f>Start.listina!AD95</f>
        <v xml:space="preserve"> </v>
      </c>
      <c r="F344" s="17"/>
      <c r="G344" s="142"/>
      <c r="H344" s="69"/>
      <c r="I344" s="69"/>
    </row>
    <row r="345" spans="1:9" ht="12" customHeight="1">
      <c r="A345" s="17">
        <f>Start.listina!AH96</f>
        <v>0</v>
      </c>
      <c r="B345" s="17" t="str">
        <f>Start.listina!I96</f>
        <v/>
      </c>
      <c r="C345" s="141" t="str">
        <f>Start.listina!J96</f>
        <v xml:space="preserve"> </v>
      </c>
      <c r="D345" s="17" t="str">
        <f>Start.listina!K96</f>
        <v xml:space="preserve"> </v>
      </c>
      <c r="E345" s="17" t="str">
        <f>Start.listina!L96</f>
        <v xml:space="preserve"> </v>
      </c>
      <c r="F345" s="17"/>
      <c r="G345" s="142" t="str">
        <f>IF(N(A345)&gt;0,VLOOKUP(A345,Body!$A$4:$F$259,5,0),"")</f>
        <v/>
      </c>
      <c r="H345" s="69" t="str">
        <f>IF(N(A345)&gt;0,VLOOKUP(A345,Body!$A$4:$F$259,6,0),"")</f>
        <v/>
      </c>
      <c r="I345" s="69" t="str">
        <f>IF(N(A345)&gt;0,VLOOKUP(A345,Body!$A$4:$F$259,2,0),"")</f>
        <v/>
      </c>
    </row>
    <row r="346" spans="1:9" ht="12" customHeight="1">
      <c r="A346" s="17"/>
      <c r="B346" s="17" t="str">
        <f>Start.listina!O96</f>
        <v/>
      </c>
      <c r="C346" s="141" t="str">
        <f>Start.listina!P96</f>
        <v xml:space="preserve"> </v>
      </c>
      <c r="D346" s="17" t="str">
        <f>Start.listina!Q96</f>
        <v xml:space="preserve"> </v>
      </c>
      <c r="E346" s="17" t="str">
        <f>Start.listina!R96</f>
        <v xml:space="preserve"> </v>
      </c>
      <c r="F346" s="17"/>
      <c r="G346" s="142"/>
      <c r="H346" s="69"/>
      <c r="I346" s="69"/>
    </row>
    <row r="347" spans="1:9" ht="12" customHeight="1">
      <c r="A347" s="17"/>
      <c r="B347" s="17" t="str">
        <f>Start.listina!U96</f>
        <v/>
      </c>
      <c r="C347" s="141" t="str">
        <f>Start.listina!V96</f>
        <v xml:space="preserve"> </v>
      </c>
      <c r="D347" s="17" t="str">
        <f>Start.listina!W96</f>
        <v xml:space="preserve"> </v>
      </c>
      <c r="E347" s="17" t="str">
        <f>Start.listina!X96</f>
        <v xml:space="preserve"> </v>
      </c>
      <c r="F347" s="17"/>
      <c r="G347" s="142"/>
      <c r="H347" s="69"/>
      <c r="I347" s="69"/>
    </row>
    <row r="348" spans="1:9" ht="12" customHeight="1">
      <c r="A348" s="17"/>
      <c r="B348" s="17" t="str">
        <f>Start.listina!AA96</f>
        <v/>
      </c>
      <c r="C348" s="141" t="str">
        <f>Start.listina!AB96</f>
        <v xml:space="preserve"> </v>
      </c>
      <c r="D348" s="17" t="str">
        <f>Start.listina!AC96</f>
        <v xml:space="preserve"> </v>
      </c>
      <c r="E348" s="17" t="str">
        <f>Start.listina!AD96</f>
        <v xml:space="preserve"> </v>
      </c>
      <c r="F348" s="17"/>
      <c r="G348" s="142"/>
      <c r="H348" s="69"/>
      <c r="I348" s="69"/>
    </row>
    <row r="349" spans="1:9" ht="12" customHeight="1">
      <c r="A349" s="17">
        <f>Start.listina!AH97</f>
        <v>0</v>
      </c>
      <c r="B349" s="17" t="str">
        <f>Start.listina!I97</f>
        <v/>
      </c>
      <c r="C349" s="141" t="str">
        <f>Start.listina!J97</f>
        <v xml:space="preserve"> </v>
      </c>
      <c r="D349" s="17" t="str">
        <f>Start.listina!K97</f>
        <v xml:space="preserve"> </v>
      </c>
      <c r="E349" s="17" t="str">
        <f>Start.listina!L97</f>
        <v xml:space="preserve"> </v>
      </c>
      <c r="F349" s="17"/>
      <c r="G349" s="142" t="str">
        <f>IF(N(A349)&gt;0,VLOOKUP(A349,Body!$A$4:$F$259,5,0),"")</f>
        <v/>
      </c>
      <c r="H349" s="69" t="str">
        <f>IF(N(A349)&gt;0,VLOOKUP(A349,Body!$A$4:$F$259,6,0),"")</f>
        <v/>
      </c>
      <c r="I349" s="69" t="str">
        <f>IF(N(A349)&gt;0,VLOOKUP(A349,Body!$A$4:$F$259,2,0),"")</f>
        <v/>
      </c>
    </row>
    <row r="350" spans="1:9" ht="12" customHeight="1">
      <c r="A350" s="17"/>
      <c r="B350" s="17" t="str">
        <f>Start.listina!O97</f>
        <v/>
      </c>
      <c r="C350" s="141" t="str">
        <f>Start.listina!P97</f>
        <v xml:space="preserve"> </v>
      </c>
      <c r="D350" s="17" t="str">
        <f>Start.listina!Q97</f>
        <v xml:space="preserve"> </v>
      </c>
      <c r="E350" s="17" t="str">
        <f>Start.listina!R97</f>
        <v xml:space="preserve"> </v>
      </c>
      <c r="F350" s="17"/>
      <c r="G350" s="142"/>
      <c r="H350" s="69"/>
      <c r="I350" s="69"/>
    </row>
    <row r="351" spans="1:9" ht="12" customHeight="1">
      <c r="A351" s="17"/>
      <c r="B351" s="17" t="str">
        <f>Start.listina!U97</f>
        <v/>
      </c>
      <c r="C351" s="141" t="str">
        <f>Start.listina!V97</f>
        <v xml:space="preserve"> </v>
      </c>
      <c r="D351" s="17" t="str">
        <f>Start.listina!W97</f>
        <v xml:space="preserve"> </v>
      </c>
      <c r="E351" s="17" t="str">
        <f>Start.listina!X97</f>
        <v xml:space="preserve"> </v>
      </c>
      <c r="F351" s="17"/>
      <c r="G351" s="142"/>
      <c r="H351" s="69"/>
      <c r="I351" s="69"/>
    </row>
    <row r="352" spans="1:9" ht="12" customHeight="1">
      <c r="A352" s="17"/>
      <c r="B352" s="17" t="str">
        <f>Start.listina!AA97</f>
        <v/>
      </c>
      <c r="C352" s="141" t="str">
        <f>Start.listina!AB97</f>
        <v xml:space="preserve"> </v>
      </c>
      <c r="D352" s="17" t="str">
        <f>Start.listina!AC97</f>
        <v xml:space="preserve"> </v>
      </c>
      <c r="E352" s="17" t="str">
        <f>Start.listina!AD97</f>
        <v xml:space="preserve"> </v>
      </c>
      <c r="F352" s="17"/>
      <c r="G352" s="142"/>
      <c r="H352" s="69"/>
      <c r="I352" s="69"/>
    </row>
    <row r="353" spans="1:9" ht="12" customHeight="1">
      <c r="A353" s="17">
        <f>Start.listina!AH98</f>
        <v>0</v>
      </c>
      <c r="B353" s="17" t="str">
        <f>Start.listina!I98</f>
        <v/>
      </c>
      <c r="C353" s="141" t="str">
        <f>Start.listina!J98</f>
        <v xml:space="preserve"> </v>
      </c>
      <c r="D353" s="17" t="str">
        <f>Start.listina!K98</f>
        <v xml:space="preserve"> </v>
      </c>
      <c r="E353" s="17" t="str">
        <f>Start.listina!L98</f>
        <v xml:space="preserve"> </v>
      </c>
      <c r="F353" s="17"/>
      <c r="G353" s="142" t="str">
        <f>IF(N(A353)&gt;0,VLOOKUP(A353,Body!$A$4:$F$259,5,0),"")</f>
        <v/>
      </c>
      <c r="H353" s="69" t="str">
        <f>IF(N(A353)&gt;0,VLOOKUP(A353,Body!$A$4:$F$259,6,0),"")</f>
        <v/>
      </c>
      <c r="I353" s="69" t="str">
        <f>IF(N(A353)&gt;0,VLOOKUP(A353,Body!$A$4:$F$259,2,0),"")</f>
        <v/>
      </c>
    </row>
    <row r="354" spans="1:9" ht="12" customHeight="1">
      <c r="A354" s="17"/>
      <c r="B354" s="17" t="str">
        <f>Start.listina!O98</f>
        <v/>
      </c>
      <c r="C354" s="141" t="str">
        <f>Start.listina!P98</f>
        <v xml:space="preserve"> </v>
      </c>
      <c r="D354" s="17" t="str">
        <f>Start.listina!Q98</f>
        <v xml:space="preserve"> </v>
      </c>
      <c r="E354" s="17" t="str">
        <f>Start.listina!R98</f>
        <v xml:space="preserve"> </v>
      </c>
      <c r="F354" s="17"/>
      <c r="G354" s="142"/>
      <c r="H354" s="69"/>
      <c r="I354" s="69"/>
    </row>
    <row r="355" spans="1:9" ht="12" customHeight="1">
      <c r="A355" s="17"/>
      <c r="B355" s="17" t="str">
        <f>Start.listina!U98</f>
        <v/>
      </c>
      <c r="C355" s="141" t="str">
        <f>Start.listina!V98</f>
        <v xml:space="preserve"> </v>
      </c>
      <c r="D355" s="17" t="str">
        <f>Start.listina!W98</f>
        <v xml:space="preserve"> </v>
      </c>
      <c r="E355" s="17" t="str">
        <f>Start.listina!X98</f>
        <v xml:space="preserve"> </v>
      </c>
      <c r="F355" s="17"/>
      <c r="G355" s="142"/>
      <c r="H355" s="69"/>
      <c r="I355" s="69"/>
    </row>
    <row r="356" spans="1:9" ht="12" customHeight="1">
      <c r="A356" s="17"/>
      <c r="B356" s="17" t="str">
        <f>Start.listina!AA98</f>
        <v/>
      </c>
      <c r="C356" s="141" t="str">
        <f>Start.listina!AB98</f>
        <v xml:space="preserve"> </v>
      </c>
      <c r="D356" s="17" t="str">
        <f>Start.listina!AC98</f>
        <v xml:space="preserve"> </v>
      </c>
      <c r="E356" s="17" t="str">
        <f>Start.listina!AD98</f>
        <v xml:space="preserve"> </v>
      </c>
      <c r="F356" s="17"/>
      <c r="G356" s="142"/>
      <c r="H356" s="69"/>
      <c r="I356" s="69"/>
    </row>
    <row r="357" spans="1:9" ht="12" customHeight="1">
      <c r="A357" s="17">
        <f>Start.listina!AH99</f>
        <v>0</v>
      </c>
      <c r="B357" s="17" t="str">
        <f>Start.listina!I99</f>
        <v/>
      </c>
      <c r="C357" s="141" t="str">
        <f>Start.listina!J99</f>
        <v xml:space="preserve"> </v>
      </c>
      <c r="D357" s="17" t="str">
        <f>Start.listina!K99</f>
        <v xml:space="preserve"> </v>
      </c>
      <c r="E357" s="17" t="str">
        <f>Start.listina!L99</f>
        <v xml:space="preserve"> </v>
      </c>
      <c r="F357" s="17"/>
      <c r="G357" s="142" t="str">
        <f>IF(N(A357)&gt;0,VLOOKUP(A357,Body!$A$4:$F$259,5,0),"")</f>
        <v/>
      </c>
      <c r="H357" s="69" t="str">
        <f>IF(N(A357)&gt;0,VLOOKUP(A357,Body!$A$4:$F$259,6,0),"")</f>
        <v/>
      </c>
      <c r="I357" s="69" t="str">
        <f>IF(N(A357)&gt;0,VLOOKUP(A357,Body!$A$4:$F$259,2,0),"")</f>
        <v/>
      </c>
    </row>
    <row r="358" spans="1:9" ht="12" customHeight="1">
      <c r="A358" s="17"/>
      <c r="B358" s="17" t="str">
        <f>Start.listina!O99</f>
        <v/>
      </c>
      <c r="C358" s="141" t="str">
        <f>Start.listina!P99</f>
        <v xml:space="preserve"> </v>
      </c>
      <c r="D358" s="17" t="str">
        <f>Start.listina!Q99</f>
        <v xml:space="preserve"> </v>
      </c>
      <c r="E358" s="17" t="str">
        <f>Start.listina!R99</f>
        <v xml:space="preserve"> </v>
      </c>
      <c r="F358" s="17"/>
      <c r="G358" s="142"/>
      <c r="H358" s="69"/>
      <c r="I358" s="69"/>
    </row>
    <row r="359" spans="1:9" ht="12" customHeight="1">
      <c r="A359" s="17"/>
      <c r="B359" s="17" t="str">
        <f>Start.listina!U99</f>
        <v/>
      </c>
      <c r="C359" s="141" t="str">
        <f>Start.listina!V99</f>
        <v xml:space="preserve"> </v>
      </c>
      <c r="D359" s="17" t="str">
        <f>Start.listina!W99</f>
        <v xml:space="preserve"> </v>
      </c>
      <c r="E359" s="17" t="str">
        <f>Start.listina!X99</f>
        <v xml:space="preserve"> </v>
      </c>
      <c r="F359" s="17"/>
      <c r="G359" s="142"/>
      <c r="H359" s="69"/>
      <c r="I359" s="69"/>
    </row>
    <row r="360" spans="1:9" ht="12" customHeight="1">
      <c r="A360" s="17"/>
      <c r="B360" s="17" t="str">
        <f>Start.listina!AA99</f>
        <v/>
      </c>
      <c r="C360" s="141" t="str">
        <f>Start.listina!AB99</f>
        <v xml:space="preserve"> </v>
      </c>
      <c r="D360" s="17" t="str">
        <f>Start.listina!AC99</f>
        <v xml:space="preserve"> </v>
      </c>
      <c r="E360" s="17" t="str">
        <f>Start.listina!AD99</f>
        <v xml:space="preserve"> </v>
      </c>
      <c r="F360" s="17"/>
      <c r="G360" s="142"/>
      <c r="H360" s="69"/>
      <c r="I360" s="69"/>
    </row>
    <row r="361" spans="1:9" ht="12" customHeight="1">
      <c r="A361" s="17">
        <f>Start.listina!AH100</f>
        <v>0</v>
      </c>
      <c r="B361" s="17" t="str">
        <f>Start.listina!I100</f>
        <v/>
      </c>
      <c r="C361" s="141" t="str">
        <f>Start.listina!J100</f>
        <v xml:space="preserve"> </v>
      </c>
      <c r="D361" s="17" t="str">
        <f>Start.listina!K100</f>
        <v xml:space="preserve"> </v>
      </c>
      <c r="E361" s="17" t="str">
        <f>Start.listina!L100</f>
        <v xml:space="preserve"> </v>
      </c>
      <c r="F361" s="17"/>
      <c r="G361" s="142" t="str">
        <f>IF(N(A361)&gt;0,VLOOKUP(A361,Body!$A$4:$F$259,5,0),"")</f>
        <v/>
      </c>
      <c r="H361" s="69" t="str">
        <f>IF(N(A361)&gt;0,VLOOKUP(A361,Body!$A$4:$F$259,6,0),"")</f>
        <v/>
      </c>
      <c r="I361" s="69" t="str">
        <f>IF(N(A361)&gt;0,VLOOKUP(A361,Body!$A$4:$F$259,2,0),"")</f>
        <v/>
      </c>
    </row>
    <row r="362" spans="1:9" ht="12" customHeight="1">
      <c r="A362" s="17"/>
      <c r="B362" s="17" t="str">
        <f>Start.listina!O100</f>
        <v/>
      </c>
      <c r="C362" s="141" t="str">
        <f>Start.listina!P100</f>
        <v xml:space="preserve"> </v>
      </c>
      <c r="D362" s="17" t="str">
        <f>Start.listina!Q100</f>
        <v xml:space="preserve"> </v>
      </c>
      <c r="E362" s="17" t="str">
        <f>Start.listina!R100</f>
        <v xml:space="preserve"> </v>
      </c>
      <c r="F362" s="17"/>
      <c r="G362" s="142"/>
      <c r="H362" s="69"/>
      <c r="I362" s="69"/>
    </row>
    <row r="363" spans="1:9" ht="12" customHeight="1">
      <c r="A363" s="17"/>
      <c r="B363" s="17" t="str">
        <f>Start.listina!U100</f>
        <v/>
      </c>
      <c r="C363" s="141" t="str">
        <f>Start.listina!V100</f>
        <v xml:space="preserve"> </v>
      </c>
      <c r="D363" s="17" t="str">
        <f>Start.listina!W100</f>
        <v xml:space="preserve"> </v>
      </c>
      <c r="E363" s="17" t="str">
        <f>Start.listina!X100</f>
        <v xml:space="preserve"> </v>
      </c>
      <c r="F363" s="17"/>
      <c r="G363" s="142"/>
      <c r="H363" s="69"/>
      <c r="I363" s="69"/>
    </row>
    <row r="364" spans="1:9" ht="12" customHeight="1">
      <c r="A364" s="17"/>
      <c r="B364" s="17" t="str">
        <f>Start.listina!AA100</f>
        <v/>
      </c>
      <c r="C364" s="141" t="str">
        <f>Start.listina!AB100</f>
        <v xml:space="preserve"> </v>
      </c>
      <c r="D364" s="17" t="str">
        <f>Start.listina!AC100</f>
        <v xml:space="preserve"> </v>
      </c>
      <c r="E364" s="17" t="str">
        <f>Start.listina!AD100</f>
        <v xml:space="preserve"> </v>
      </c>
      <c r="F364" s="17"/>
      <c r="G364" s="142"/>
      <c r="H364" s="69"/>
      <c r="I364" s="69"/>
    </row>
    <row r="365" spans="1:9" ht="12" customHeight="1">
      <c r="A365" s="17">
        <f>Start.listina!AH101</f>
        <v>0</v>
      </c>
      <c r="B365" s="17" t="str">
        <f>Start.listina!I101</f>
        <v/>
      </c>
      <c r="C365" s="141" t="str">
        <f>Start.listina!J101</f>
        <v xml:space="preserve"> </v>
      </c>
      <c r="D365" s="17" t="str">
        <f>Start.listina!K101</f>
        <v xml:space="preserve"> </v>
      </c>
      <c r="E365" s="17" t="str">
        <f>Start.listina!L101</f>
        <v xml:space="preserve"> </v>
      </c>
      <c r="F365" s="17"/>
      <c r="G365" s="142" t="str">
        <f>IF(N(A365)&gt;0,VLOOKUP(A365,Body!$A$4:$F$259,5,0),"")</f>
        <v/>
      </c>
      <c r="H365" s="69" t="str">
        <f>IF(N(A365)&gt;0,VLOOKUP(A365,Body!$A$4:$F$259,6,0),"")</f>
        <v/>
      </c>
      <c r="I365" s="69" t="str">
        <f>IF(N(A365)&gt;0,VLOOKUP(A365,Body!$A$4:$F$259,2,0),"")</f>
        <v/>
      </c>
    </row>
    <row r="366" spans="1:9" ht="12" customHeight="1">
      <c r="A366" s="17"/>
      <c r="B366" s="17" t="str">
        <f>Start.listina!O101</f>
        <v/>
      </c>
      <c r="C366" s="141" t="str">
        <f>Start.listina!P101</f>
        <v xml:space="preserve"> </v>
      </c>
      <c r="D366" s="17" t="str">
        <f>Start.listina!Q101</f>
        <v xml:space="preserve"> </v>
      </c>
      <c r="E366" s="17" t="str">
        <f>Start.listina!R101</f>
        <v xml:space="preserve"> </v>
      </c>
      <c r="F366" s="17"/>
      <c r="G366" s="142"/>
      <c r="H366" s="69"/>
      <c r="I366" s="69"/>
    </row>
    <row r="367" spans="1:9" ht="12" customHeight="1">
      <c r="A367" s="17"/>
      <c r="B367" s="17" t="str">
        <f>Start.listina!U101</f>
        <v/>
      </c>
      <c r="C367" s="141" t="str">
        <f>Start.listina!V101</f>
        <v xml:space="preserve"> </v>
      </c>
      <c r="D367" s="17" t="str">
        <f>Start.listina!W101</f>
        <v xml:space="preserve"> </v>
      </c>
      <c r="E367" s="17" t="str">
        <f>Start.listina!X101</f>
        <v xml:space="preserve"> </v>
      </c>
      <c r="F367" s="17"/>
      <c r="G367" s="142"/>
      <c r="H367" s="69"/>
      <c r="I367" s="69"/>
    </row>
    <row r="368" spans="1:9" ht="12" customHeight="1">
      <c r="A368" s="17"/>
      <c r="B368" s="17" t="str">
        <f>Start.listina!AA101</f>
        <v/>
      </c>
      <c r="C368" s="141" t="str">
        <f>Start.listina!AB101</f>
        <v xml:space="preserve"> </v>
      </c>
      <c r="D368" s="17" t="str">
        <f>Start.listina!AC101</f>
        <v xml:space="preserve"> </v>
      </c>
      <c r="E368" s="17" t="str">
        <f>Start.listina!AD101</f>
        <v xml:space="preserve"> </v>
      </c>
      <c r="F368" s="17"/>
      <c r="G368" s="142"/>
      <c r="H368" s="69"/>
      <c r="I368" s="69"/>
    </row>
    <row r="369" spans="1:9" ht="12" customHeight="1">
      <c r="A369" s="17">
        <f>Start.listina!AH102</f>
        <v>0</v>
      </c>
      <c r="B369" s="17" t="str">
        <f>Start.listina!I102</f>
        <v/>
      </c>
      <c r="C369" s="141" t="str">
        <f>Start.listina!J102</f>
        <v xml:space="preserve"> </v>
      </c>
      <c r="D369" s="17" t="str">
        <f>Start.listina!K102</f>
        <v xml:space="preserve"> </v>
      </c>
      <c r="E369" s="17" t="str">
        <f>Start.listina!L102</f>
        <v xml:space="preserve"> </v>
      </c>
      <c r="F369" s="17"/>
      <c r="G369" s="142" t="str">
        <f>IF(N(A369)&gt;0,VLOOKUP(A369,Body!$A$4:$F$259,5,0),"")</f>
        <v/>
      </c>
      <c r="H369" s="69" t="str">
        <f>IF(N(A369)&gt;0,VLOOKUP(A369,Body!$A$4:$F$259,6,0),"")</f>
        <v/>
      </c>
      <c r="I369" s="69" t="str">
        <f>IF(N(A369)&gt;0,VLOOKUP(A369,Body!$A$4:$F$259,2,0),"")</f>
        <v/>
      </c>
    </row>
    <row r="370" spans="1:9" ht="12" customHeight="1">
      <c r="A370" s="17"/>
      <c r="B370" s="17" t="str">
        <f>Start.listina!O102</f>
        <v/>
      </c>
      <c r="C370" s="141" t="str">
        <f>Start.listina!P102</f>
        <v xml:space="preserve"> </v>
      </c>
      <c r="D370" s="17" t="str">
        <f>Start.listina!Q102</f>
        <v xml:space="preserve"> </v>
      </c>
      <c r="E370" s="17" t="str">
        <f>Start.listina!R102</f>
        <v xml:space="preserve"> </v>
      </c>
      <c r="F370" s="17"/>
      <c r="G370" s="142"/>
      <c r="H370" s="69"/>
      <c r="I370" s="69"/>
    </row>
    <row r="371" spans="1:9" ht="12" customHeight="1">
      <c r="A371" s="17"/>
      <c r="B371" s="17" t="str">
        <f>Start.listina!U102</f>
        <v/>
      </c>
      <c r="C371" s="141" t="str">
        <f>Start.listina!V102</f>
        <v xml:space="preserve"> </v>
      </c>
      <c r="D371" s="17" t="str">
        <f>Start.listina!W102</f>
        <v xml:space="preserve"> </v>
      </c>
      <c r="E371" s="17" t="str">
        <f>Start.listina!X102</f>
        <v xml:space="preserve"> </v>
      </c>
      <c r="F371" s="17"/>
      <c r="G371" s="142"/>
      <c r="H371" s="69"/>
      <c r="I371" s="69"/>
    </row>
    <row r="372" spans="1:9" ht="12" customHeight="1">
      <c r="A372" s="17"/>
      <c r="B372" s="17" t="str">
        <f>Start.listina!AA102</f>
        <v/>
      </c>
      <c r="C372" s="141" t="str">
        <f>Start.listina!AB102</f>
        <v xml:space="preserve"> </v>
      </c>
      <c r="D372" s="17" t="str">
        <f>Start.listina!AC102</f>
        <v xml:space="preserve"> </v>
      </c>
      <c r="E372" s="17" t="str">
        <f>Start.listina!AD102</f>
        <v xml:space="preserve"> </v>
      </c>
      <c r="F372" s="17"/>
      <c r="G372" s="142"/>
      <c r="H372" s="69"/>
      <c r="I372" s="69"/>
    </row>
    <row r="373" spans="1:9" ht="12" customHeight="1">
      <c r="A373" s="17">
        <f>Start.listina!AH103</f>
        <v>0</v>
      </c>
      <c r="B373" s="17" t="str">
        <f>Start.listina!I103</f>
        <v/>
      </c>
      <c r="C373" s="141" t="str">
        <f>Start.listina!J103</f>
        <v xml:space="preserve"> </v>
      </c>
      <c r="D373" s="17" t="str">
        <f>Start.listina!K103</f>
        <v xml:space="preserve"> </v>
      </c>
      <c r="E373" s="17" t="str">
        <f>Start.listina!L103</f>
        <v xml:space="preserve"> </v>
      </c>
      <c r="F373" s="17"/>
      <c r="G373" s="142" t="str">
        <f>IF(N(A373)&gt;0,VLOOKUP(A373,Body!$A$4:$F$259,5,0),"")</f>
        <v/>
      </c>
      <c r="H373" s="69" t="str">
        <f>IF(N(A373)&gt;0,VLOOKUP(A373,Body!$A$4:$F$259,6,0),"")</f>
        <v/>
      </c>
      <c r="I373" s="69" t="str">
        <f>IF(N(A373)&gt;0,VLOOKUP(A373,Body!$A$4:$F$259,2,0),"")</f>
        <v/>
      </c>
    </row>
    <row r="374" spans="1:9" ht="12" customHeight="1">
      <c r="A374" s="17"/>
      <c r="B374" s="17" t="str">
        <f>Start.listina!O103</f>
        <v/>
      </c>
      <c r="C374" s="141" t="str">
        <f>Start.listina!P103</f>
        <v xml:space="preserve"> </v>
      </c>
      <c r="D374" s="17" t="str">
        <f>Start.listina!Q103</f>
        <v xml:space="preserve"> </v>
      </c>
      <c r="E374" s="17" t="str">
        <f>Start.listina!R103</f>
        <v xml:space="preserve"> </v>
      </c>
      <c r="F374" s="17"/>
      <c r="G374" s="142"/>
      <c r="H374" s="69"/>
      <c r="I374" s="69"/>
    </row>
    <row r="375" spans="1:9" ht="12" customHeight="1">
      <c r="A375" s="17"/>
      <c r="B375" s="17" t="str">
        <f>Start.listina!U103</f>
        <v/>
      </c>
      <c r="C375" s="141" t="str">
        <f>Start.listina!V103</f>
        <v xml:space="preserve"> </v>
      </c>
      <c r="D375" s="17" t="str">
        <f>Start.listina!W103</f>
        <v xml:space="preserve"> </v>
      </c>
      <c r="E375" s="17" t="str">
        <f>Start.listina!X103</f>
        <v xml:space="preserve"> </v>
      </c>
      <c r="F375" s="17"/>
      <c r="G375" s="142"/>
      <c r="H375" s="69"/>
      <c r="I375" s="69"/>
    </row>
    <row r="376" spans="1:9" ht="12" customHeight="1">
      <c r="A376" s="17"/>
      <c r="B376" s="17" t="str">
        <f>Start.listina!AA103</f>
        <v/>
      </c>
      <c r="C376" s="141" t="str">
        <f>Start.listina!AB103</f>
        <v xml:space="preserve"> </v>
      </c>
      <c r="D376" s="17" t="str">
        <f>Start.listina!AC103</f>
        <v xml:space="preserve"> </v>
      </c>
      <c r="E376" s="17" t="str">
        <f>Start.listina!AD103</f>
        <v xml:space="preserve"> </v>
      </c>
      <c r="F376" s="17"/>
      <c r="G376" s="142"/>
      <c r="H376" s="69"/>
      <c r="I376" s="69"/>
    </row>
    <row r="377" spans="1:9" ht="12" customHeight="1">
      <c r="A377" s="17">
        <f>Start.listina!AH104</f>
        <v>0</v>
      </c>
      <c r="B377" s="17" t="str">
        <f>Start.listina!I104</f>
        <v/>
      </c>
      <c r="C377" s="141" t="str">
        <f>Start.listina!J104</f>
        <v xml:space="preserve"> </v>
      </c>
      <c r="D377" s="17" t="str">
        <f>Start.listina!K104</f>
        <v xml:space="preserve"> </v>
      </c>
      <c r="E377" s="17" t="str">
        <f>Start.listina!L104</f>
        <v xml:space="preserve"> </v>
      </c>
      <c r="F377" s="17"/>
      <c r="G377" s="142" t="str">
        <f>IF(N(A377)&gt;0,VLOOKUP(A377,Body!$A$4:$F$259,5,0),"")</f>
        <v/>
      </c>
      <c r="H377" s="69" t="str">
        <f>IF(N(A377)&gt;0,VLOOKUP(A377,Body!$A$4:$F$259,6,0),"")</f>
        <v/>
      </c>
      <c r="I377" s="69" t="str">
        <f>IF(N(A377)&gt;0,VLOOKUP(A377,Body!$A$4:$F$259,2,0),"")</f>
        <v/>
      </c>
    </row>
    <row r="378" spans="1:9" ht="12" customHeight="1">
      <c r="A378" s="17"/>
      <c r="B378" s="17" t="str">
        <f>Start.listina!O104</f>
        <v/>
      </c>
      <c r="C378" s="141" t="str">
        <f>Start.listina!P104</f>
        <v xml:space="preserve"> </v>
      </c>
      <c r="D378" s="17" t="str">
        <f>Start.listina!Q104</f>
        <v xml:space="preserve"> </v>
      </c>
      <c r="E378" s="17" t="str">
        <f>Start.listina!R104</f>
        <v xml:space="preserve"> </v>
      </c>
      <c r="F378" s="17"/>
      <c r="G378" s="142"/>
      <c r="H378" s="69"/>
      <c r="I378" s="69"/>
    </row>
    <row r="379" spans="1:9" ht="12" customHeight="1">
      <c r="A379" s="17"/>
      <c r="B379" s="17" t="str">
        <f>Start.listina!U104</f>
        <v/>
      </c>
      <c r="C379" s="141" t="str">
        <f>Start.listina!V104</f>
        <v xml:space="preserve"> </v>
      </c>
      <c r="D379" s="17" t="str">
        <f>Start.listina!W104</f>
        <v xml:space="preserve"> </v>
      </c>
      <c r="E379" s="17" t="str">
        <f>Start.listina!X104</f>
        <v xml:space="preserve"> </v>
      </c>
      <c r="F379" s="17"/>
      <c r="G379" s="142"/>
      <c r="H379" s="69"/>
      <c r="I379" s="69"/>
    </row>
    <row r="380" spans="1:9" ht="12" customHeight="1">
      <c r="A380" s="17"/>
      <c r="B380" s="17" t="str">
        <f>Start.listina!AA104</f>
        <v/>
      </c>
      <c r="C380" s="141" t="str">
        <f>Start.listina!AB104</f>
        <v xml:space="preserve"> </v>
      </c>
      <c r="D380" s="17" t="str">
        <f>Start.listina!AC104</f>
        <v xml:space="preserve"> </v>
      </c>
      <c r="E380" s="17" t="str">
        <f>Start.listina!AD104</f>
        <v xml:space="preserve"> </v>
      </c>
      <c r="F380" s="17"/>
      <c r="G380" s="142"/>
      <c r="H380" s="69"/>
      <c r="I380" s="69"/>
    </row>
    <row r="381" spans="1:9" ht="12" customHeight="1">
      <c r="A381" s="17">
        <f>Start.listina!AH105</f>
        <v>0</v>
      </c>
      <c r="B381" s="17" t="str">
        <f>Start.listina!I105</f>
        <v/>
      </c>
      <c r="C381" s="141" t="str">
        <f>Start.listina!J105</f>
        <v xml:space="preserve"> </v>
      </c>
      <c r="D381" s="17" t="str">
        <f>Start.listina!K105</f>
        <v xml:space="preserve"> </v>
      </c>
      <c r="E381" s="17" t="str">
        <f>Start.listina!L105</f>
        <v xml:space="preserve"> </v>
      </c>
      <c r="F381" s="17"/>
      <c r="G381" s="142" t="str">
        <f>IF(N(A381)&gt;0,VLOOKUP(A381,Body!$A$4:$F$259,5,0),"")</f>
        <v/>
      </c>
      <c r="H381" s="69" t="str">
        <f>IF(N(A381)&gt;0,VLOOKUP(A381,Body!$A$4:$F$259,6,0),"")</f>
        <v/>
      </c>
      <c r="I381" s="69" t="str">
        <f>IF(N(A381)&gt;0,VLOOKUP(A381,Body!$A$4:$F$259,2,0),"")</f>
        <v/>
      </c>
    </row>
    <row r="382" spans="1:9" ht="12" customHeight="1">
      <c r="A382" s="17"/>
      <c r="B382" s="17" t="str">
        <f>Start.listina!O105</f>
        <v/>
      </c>
      <c r="C382" s="141" t="str">
        <f>Start.listina!P105</f>
        <v xml:space="preserve"> </v>
      </c>
      <c r="D382" s="17" t="str">
        <f>Start.listina!Q105</f>
        <v xml:space="preserve"> </v>
      </c>
      <c r="E382" s="17" t="str">
        <f>Start.listina!R105</f>
        <v xml:space="preserve"> </v>
      </c>
      <c r="F382" s="17"/>
      <c r="G382" s="142"/>
      <c r="H382" s="69"/>
      <c r="I382" s="69"/>
    </row>
    <row r="383" spans="1:9" ht="12" customHeight="1">
      <c r="A383" s="17"/>
      <c r="B383" s="17" t="str">
        <f>Start.listina!U105</f>
        <v/>
      </c>
      <c r="C383" s="141" t="str">
        <f>Start.listina!V105</f>
        <v xml:space="preserve"> </v>
      </c>
      <c r="D383" s="17" t="str">
        <f>Start.listina!W105</f>
        <v xml:space="preserve"> </v>
      </c>
      <c r="E383" s="17" t="str">
        <f>Start.listina!X105</f>
        <v xml:space="preserve"> </v>
      </c>
      <c r="F383" s="17"/>
      <c r="G383" s="142"/>
      <c r="H383" s="69"/>
      <c r="I383" s="69"/>
    </row>
    <row r="384" spans="1:9" ht="12" customHeight="1">
      <c r="A384" s="17"/>
      <c r="B384" s="17" t="str">
        <f>Start.listina!AA105</f>
        <v/>
      </c>
      <c r="C384" s="141" t="str">
        <f>Start.listina!AB105</f>
        <v xml:space="preserve"> </v>
      </c>
      <c r="D384" s="17" t="str">
        <f>Start.listina!AC105</f>
        <v xml:space="preserve"> </v>
      </c>
      <c r="E384" s="17" t="str">
        <f>Start.listina!AD105</f>
        <v xml:space="preserve"> </v>
      </c>
      <c r="F384" s="17"/>
      <c r="G384" s="142"/>
      <c r="H384" s="69"/>
      <c r="I384" s="69"/>
    </row>
    <row r="385" spans="1:9" ht="12" customHeight="1">
      <c r="A385" s="17">
        <f>Start.listina!AH106</f>
        <v>0</v>
      </c>
      <c r="B385" s="17" t="str">
        <f>Start.listina!I106</f>
        <v/>
      </c>
      <c r="C385" s="141" t="str">
        <f>Start.listina!J106</f>
        <v xml:space="preserve"> </v>
      </c>
      <c r="D385" s="17" t="str">
        <f>Start.listina!K106</f>
        <v xml:space="preserve"> </v>
      </c>
      <c r="E385" s="17" t="str">
        <f>Start.listina!L106</f>
        <v xml:space="preserve"> </v>
      </c>
      <c r="F385" s="17"/>
      <c r="G385" s="142" t="str">
        <f>IF(N(A385)&gt;0,VLOOKUP(A385,Body!$A$4:$F$259,5,0),"")</f>
        <v/>
      </c>
      <c r="H385" s="69" t="str">
        <f>IF(N(A385)&gt;0,VLOOKUP(A385,Body!$A$4:$F$259,6,0),"")</f>
        <v/>
      </c>
      <c r="I385" s="69" t="str">
        <f>IF(N(A385)&gt;0,VLOOKUP(A385,Body!$A$4:$F$259,2,0),"")</f>
        <v/>
      </c>
    </row>
    <row r="386" spans="1:9" ht="12" customHeight="1">
      <c r="A386" s="17"/>
      <c r="B386" s="17" t="str">
        <f>Start.listina!O106</f>
        <v/>
      </c>
      <c r="C386" s="141" t="str">
        <f>Start.listina!P106</f>
        <v xml:space="preserve"> </v>
      </c>
      <c r="D386" s="17" t="str">
        <f>Start.listina!Q106</f>
        <v xml:space="preserve"> </v>
      </c>
      <c r="E386" s="17" t="str">
        <f>Start.listina!R106</f>
        <v xml:space="preserve"> </v>
      </c>
      <c r="F386" s="17"/>
      <c r="G386" s="142"/>
      <c r="H386" s="69"/>
      <c r="I386" s="69"/>
    </row>
    <row r="387" spans="1:9" ht="12" customHeight="1">
      <c r="A387" s="17"/>
      <c r="B387" s="17" t="str">
        <f>Start.listina!U106</f>
        <v/>
      </c>
      <c r="C387" s="141" t="str">
        <f>Start.listina!V106</f>
        <v xml:space="preserve"> </v>
      </c>
      <c r="D387" s="17" t="str">
        <f>Start.listina!W106</f>
        <v xml:space="preserve"> </v>
      </c>
      <c r="E387" s="17" t="str">
        <f>Start.listina!X106</f>
        <v xml:space="preserve"> </v>
      </c>
      <c r="F387" s="17"/>
      <c r="G387" s="142"/>
      <c r="H387" s="69"/>
      <c r="I387" s="69"/>
    </row>
    <row r="388" spans="1:9" ht="12" customHeight="1">
      <c r="A388" s="17"/>
      <c r="B388" s="17" t="str">
        <f>Start.listina!AA106</f>
        <v/>
      </c>
      <c r="C388" s="141" t="str">
        <f>Start.listina!AB106</f>
        <v xml:space="preserve"> </v>
      </c>
      <c r="D388" s="17" t="str">
        <f>Start.listina!AC106</f>
        <v xml:space="preserve"> </v>
      </c>
      <c r="E388" s="17" t="str">
        <f>Start.listina!AD106</f>
        <v xml:space="preserve"> </v>
      </c>
      <c r="F388" s="17"/>
      <c r="G388" s="142"/>
      <c r="H388" s="69"/>
      <c r="I388" s="69"/>
    </row>
    <row r="389" spans="1:9" ht="12" customHeight="1">
      <c r="A389" s="17">
        <f>Start.listina!AH107</f>
        <v>0</v>
      </c>
      <c r="B389" s="17" t="str">
        <f>Start.listina!I107</f>
        <v/>
      </c>
      <c r="C389" s="141" t="str">
        <f>Start.listina!J107</f>
        <v xml:space="preserve"> </v>
      </c>
      <c r="D389" s="17" t="str">
        <f>Start.listina!K107</f>
        <v xml:space="preserve"> </v>
      </c>
      <c r="E389" s="17" t="str">
        <f>Start.listina!L107</f>
        <v xml:space="preserve"> </v>
      </c>
      <c r="F389" s="17"/>
      <c r="G389" s="142" t="str">
        <f>IF(N(A389)&gt;0,VLOOKUP(A389,Body!$A$4:$F$259,5,0),"")</f>
        <v/>
      </c>
      <c r="H389" s="69" t="str">
        <f>IF(N(A389)&gt;0,VLOOKUP(A389,Body!$A$4:$F$259,6,0),"")</f>
        <v/>
      </c>
      <c r="I389" s="69" t="str">
        <f>IF(N(A389)&gt;0,VLOOKUP(A389,Body!$A$4:$F$259,2,0),"")</f>
        <v/>
      </c>
    </row>
    <row r="390" spans="1:9" ht="12" customHeight="1">
      <c r="A390" s="17"/>
      <c r="B390" s="17" t="str">
        <f>Start.listina!O107</f>
        <v/>
      </c>
      <c r="C390" s="141" t="str">
        <f>Start.listina!P107</f>
        <v xml:space="preserve"> </v>
      </c>
      <c r="D390" s="17" t="str">
        <f>Start.listina!Q107</f>
        <v xml:space="preserve"> </v>
      </c>
      <c r="E390" s="17" t="str">
        <f>Start.listina!R107</f>
        <v xml:space="preserve"> </v>
      </c>
      <c r="F390" s="17"/>
      <c r="G390" s="142"/>
      <c r="H390" s="69"/>
      <c r="I390" s="69"/>
    </row>
    <row r="391" spans="1:9" ht="12" customHeight="1">
      <c r="A391" s="17"/>
      <c r="B391" s="17" t="str">
        <f>Start.listina!U107</f>
        <v/>
      </c>
      <c r="C391" s="141" t="str">
        <f>Start.listina!V107</f>
        <v xml:space="preserve"> </v>
      </c>
      <c r="D391" s="17" t="str">
        <f>Start.listina!W107</f>
        <v xml:space="preserve"> </v>
      </c>
      <c r="E391" s="17" t="str">
        <f>Start.listina!X107</f>
        <v xml:space="preserve"> </v>
      </c>
      <c r="F391" s="17"/>
      <c r="G391" s="142"/>
      <c r="H391" s="69"/>
      <c r="I391" s="69"/>
    </row>
    <row r="392" spans="1:9" ht="12" customHeight="1">
      <c r="A392" s="17"/>
      <c r="B392" s="17" t="str">
        <f>Start.listina!AA107</f>
        <v/>
      </c>
      <c r="C392" s="141" t="str">
        <f>Start.listina!AB107</f>
        <v xml:space="preserve"> </v>
      </c>
      <c r="D392" s="17" t="str">
        <f>Start.listina!AC107</f>
        <v xml:space="preserve"> </v>
      </c>
      <c r="E392" s="17" t="str">
        <f>Start.listina!AD107</f>
        <v xml:space="preserve"> </v>
      </c>
      <c r="F392" s="17"/>
      <c r="G392" s="142"/>
      <c r="H392" s="69"/>
      <c r="I392" s="69"/>
    </row>
    <row r="393" spans="1:9" ht="12" customHeight="1">
      <c r="A393" s="17">
        <f>Start.listina!AH108</f>
        <v>0</v>
      </c>
      <c r="B393" s="17" t="str">
        <f>Start.listina!I108</f>
        <v/>
      </c>
      <c r="C393" s="141" t="str">
        <f>Start.listina!J108</f>
        <v xml:space="preserve"> </v>
      </c>
      <c r="D393" s="17" t="str">
        <f>Start.listina!K108</f>
        <v xml:space="preserve"> </v>
      </c>
      <c r="E393" s="17" t="str">
        <f>Start.listina!L108</f>
        <v xml:space="preserve"> </v>
      </c>
      <c r="F393" s="17"/>
      <c r="G393" s="142" t="str">
        <f>IF(N(A393)&gt;0,VLOOKUP(A393,Body!$A$4:$F$259,5,0),"")</f>
        <v/>
      </c>
      <c r="H393" s="69" t="str">
        <f>IF(N(A393)&gt;0,VLOOKUP(A393,Body!$A$4:$F$259,6,0),"")</f>
        <v/>
      </c>
      <c r="I393" s="69" t="str">
        <f>IF(N(A393)&gt;0,VLOOKUP(A393,Body!$A$4:$F$259,2,0),"")</f>
        <v/>
      </c>
    </row>
    <row r="394" spans="1:9" ht="12" customHeight="1">
      <c r="A394" s="17"/>
      <c r="B394" s="17" t="str">
        <f>Start.listina!O108</f>
        <v/>
      </c>
      <c r="C394" s="141" t="str">
        <f>Start.listina!P108</f>
        <v xml:space="preserve"> </v>
      </c>
      <c r="D394" s="17" t="str">
        <f>Start.listina!Q108</f>
        <v xml:space="preserve"> </v>
      </c>
      <c r="E394" s="17" t="str">
        <f>Start.listina!R108</f>
        <v xml:space="preserve"> </v>
      </c>
      <c r="F394" s="17"/>
      <c r="G394" s="142"/>
      <c r="H394" s="69"/>
      <c r="I394" s="69"/>
    </row>
    <row r="395" spans="1:9" ht="12" customHeight="1">
      <c r="A395" s="17"/>
      <c r="B395" s="17" t="str">
        <f>Start.listina!U108</f>
        <v/>
      </c>
      <c r="C395" s="141" t="str">
        <f>Start.listina!V108</f>
        <v xml:space="preserve"> </v>
      </c>
      <c r="D395" s="17" t="str">
        <f>Start.listina!W108</f>
        <v xml:space="preserve"> </v>
      </c>
      <c r="E395" s="17" t="str">
        <f>Start.listina!X108</f>
        <v xml:space="preserve"> </v>
      </c>
      <c r="F395" s="17"/>
      <c r="G395" s="142"/>
      <c r="H395" s="69"/>
      <c r="I395" s="69"/>
    </row>
    <row r="396" spans="1:9" ht="12" customHeight="1">
      <c r="A396" s="17"/>
      <c r="B396" s="17" t="str">
        <f>Start.listina!AA108</f>
        <v/>
      </c>
      <c r="C396" s="141" t="str">
        <f>Start.listina!AB108</f>
        <v xml:space="preserve"> </v>
      </c>
      <c r="D396" s="17" t="str">
        <f>Start.listina!AC108</f>
        <v xml:space="preserve"> </v>
      </c>
      <c r="E396" s="17" t="str">
        <f>Start.listina!AD108</f>
        <v xml:space="preserve"> </v>
      </c>
      <c r="F396" s="17"/>
      <c r="G396" s="142"/>
      <c r="H396" s="69"/>
      <c r="I396" s="69"/>
    </row>
    <row r="397" spans="1:9" ht="12" customHeight="1">
      <c r="A397" s="17">
        <f>Start.listina!AH109</f>
        <v>0</v>
      </c>
      <c r="B397" s="17" t="str">
        <f>Start.listina!I109</f>
        <v/>
      </c>
      <c r="C397" s="141" t="str">
        <f>Start.listina!J109</f>
        <v xml:space="preserve"> </v>
      </c>
      <c r="D397" s="17" t="str">
        <f>Start.listina!K109</f>
        <v xml:space="preserve"> </v>
      </c>
      <c r="E397" s="17" t="str">
        <f>Start.listina!L109</f>
        <v xml:space="preserve"> </v>
      </c>
      <c r="F397" s="17"/>
      <c r="G397" s="142" t="str">
        <f>IF(N(A397)&gt;0,VLOOKUP(A397,Body!$A$4:$F$259,5,0),"")</f>
        <v/>
      </c>
      <c r="H397" s="69" t="str">
        <f>IF(N(A397)&gt;0,VLOOKUP(A397,Body!$A$4:$F$259,6,0),"")</f>
        <v/>
      </c>
      <c r="I397" s="69" t="str">
        <f>IF(N(A397)&gt;0,VLOOKUP(A397,Body!$A$4:$F$259,2,0),"")</f>
        <v/>
      </c>
    </row>
    <row r="398" spans="1:9" ht="12" customHeight="1">
      <c r="A398" s="17"/>
      <c r="B398" s="17" t="str">
        <f>Start.listina!O109</f>
        <v/>
      </c>
      <c r="C398" s="141" t="str">
        <f>Start.listina!P109</f>
        <v xml:space="preserve"> </v>
      </c>
      <c r="D398" s="17" t="str">
        <f>Start.listina!Q109</f>
        <v xml:space="preserve"> </v>
      </c>
      <c r="E398" s="17" t="str">
        <f>Start.listina!R109</f>
        <v xml:space="preserve"> </v>
      </c>
      <c r="F398" s="17"/>
      <c r="G398" s="142"/>
      <c r="H398" s="69"/>
      <c r="I398" s="69"/>
    </row>
    <row r="399" spans="1:9" ht="12" customHeight="1">
      <c r="A399" s="17"/>
      <c r="B399" s="17" t="str">
        <f>Start.listina!U109</f>
        <v/>
      </c>
      <c r="C399" s="141" t="str">
        <f>Start.listina!V109</f>
        <v xml:space="preserve"> </v>
      </c>
      <c r="D399" s="17" t="str">
        <f>Start.listina!W109</f>
        <v xml:space="preserve"> </v>
      </c>
      <c r="E399" s="17" t="str">
        <f>Start.listina!X109</f>
        <v xml:space="preserve"> </v>
      </c>
      <c r="F399" s="17"/>
      <c r="G399" s="142"/>
      <c r="H399" s="69"/>
      <c r="I399" s="69"/>
    </row>
    <row r="400" spans="1:9" ht="12" customHeight="1">
      <c r="A400" s="17"/>
      <c r="B400" s="17" t="str">
        <f>Start.listina!AA109</f>
        <v/>
      </c>
      <c r="C400" s="141" t="str">
        <f>Start.listina!AB109</f>
        <v xml:space="preserve"> </v>
      </c>
      <c r="D400" s="17" t="str">
        <f>Start.listina!AC109</f>
        <v xml:space="preserve"> </v>
      </c>
      <c r="E400" s="17" t="str">
        <f>Start.listina!AD109</f>
        <v xml:space="preserve"> </v>
      </c>
      <c r="F400" s="17"/>
      <c r="G400" s="142"/>
      <c r="H400" s="69"/>
      <c r="I400" s="69"/>
    </row>
    <row r="401" spans="1:9" ht="12" customHeight="1">
      <c r="A401" s="17">
        <f>Start.listina!AH110</f>
        <v>0</v>
      </c>
      <c r="B401" s="17" t="str">
        <f>Start.listina!I110</f>
        <v/>
      </c>
      <c r="C401" s="141" t="str">
        <f>Start.listina!J110</f>
        <v xml:space="preserve"> </v>
      </c>
      <c r="D401" s="17" t="str">
        <f>Start.listina!K110</f>
        <v xml:space="preserve"> </v>
      </c>
      <c r="E401" s="17" t="str">
        <f>Start.listina!L110</f>
        <v xml:space="preserve"> </v>
      </c>
      <c r="F401" s="17"/>
      <c r="G401" s="142" t="str">
        <f>IF(N(A401)&gt;0,VLOOKUP(A401,Body!$A$4:$F$259,5,0),"")</f>
        <v/>
      </c>
      <c r="H401" s="69" t="str">
        <f>IF(N(A401)&gt;0,VLOOKUP(A401,Body!$A$4:$F$259,6,0),"")</f>
        <v/>
      </c>
      <c r="I401" s="69" t="str">
        <f>IF(N(A401)&gt;0,VLOOKUP(A401,Body!$A$4:$F$259,2,0),"")</f>
        <v/>
      </c>
    </row>
    <row r="402" spans="1:9" ht="12" customHeight="1">
      <c r="A402" s="17"/>
      <c r="B402" s="17" t="str">
        <f>Start.listina!O110</f>
        <v/>
      </c>
      <c r="C402" s="141" t="str">
        <f>Start.listina!P110</f>
        <v xml:space="preserve"> </v>
      </c>
      <c r="D402" s="17" t="str">
        <f>Start.listina!Q110</f>
        <v xml:space="preserve"> </v>
      </c>
      <c r="E402" s="17" t="str">
        <f>Start.listina!R110</f>
        <v xml:space="preserve"> </v>
      </c>
      <c r="F402" s="17"/>
      <c r="G402" s="142"/>
      <c r="H402" s="69"/>
      <c r="I402" s="69"/>
    </row>
    <row r="403" spans="1:9" ht="12" customHeight="1">
      <c r="A403" s="17"/>
      <c r="B403" s="17" t="str">
        <f>Start.listina!U110</f>
        <v/>
      </c>
      <c r="C403" s="141" t="str">
        <f>Start.listina!V110</f>
        <v xml:space="preserve"> </v>
      </c>
      <c r="D403" s="17" t="str">
        <f>Start.listina!W110</f>
        <v xml:space="preserve"> </v>
      </c>
      <c r="E403" s="17" t="str">
        <f>Start.listina!X110</f>
        <v xml:space="preserve"> </v>
      </c>
      <c r="F403" s="17"/>
      <c r="G403" s="142"/>
      <c r="H403" s="69"/>
      <c r="I403" s="69"/>
    </row>
    <row r="404" spans="1:9" ht="12" customHeight="1">
      <c r="A404" s="17"/>
      <c r="B404" s="17" t="str">
        <f>Start.listina!AA110</f>
        <v/>
      </c>
      <c r="C404" s="141" t="str">
        <f>Start.listina!AB110</f>
        <v xml:space="preserve"> </v>
      </c>
      <c r="D404" s="17" t="str">
        <f>Start.listina!AC110</f>
        <v xml:space="preserve"> </v>
      </c>
      <c r="E404" s="17" t="str">
        <f>Start.listina!AD110</f>
        <v xml:space="preserve"> </v>
      </c>
      <c r="F404" s="17"/>
      <c r="G404" s="142"/>
      <c r="H404" s="69"/>
      <c r="I404" s="69"/>
    </row>
    <row r="405" spans="1:9" ht="12" customHeight="1">
      <c r="A405" s="17">
        <f>Start.listina!AH111</f>
        <v>0</v>
      </c>
      <c r="B405" s="17" t="str">
        <f>Start.listina!I111</f>
        <v/>
      </c>
      <c r="C405" s="141" t="str">
        <f>Start.listina!J111</f>
        <v xml:space="preserve"> </v>
      </c>
      <c r="D405" s="17" t="str">
        <f>Start.listina!K111</f>
        <v xml:space="preserve"> </v>
      </c>
      <c r="E405" s="17" t="str">
        <f>Start.listina!L111</f>
        <v xml:space="preserve"> </v>
      </c>
      <c r="F405" s="17"/>
      <c r="G405" s="142" t="str">
        <f>IF(N(A405)&gt;0,VLOOKUP(A405,Body!$A$4:$F$259,5,0),"")</f>
        <v/>
      </c>
      <c r="H405" s="69" t="str">
        <f>IF(N(A405)&gt;0,VLOOKUP(A405,Body!$A$4:$F$259,6,0),"")</f>
        <v/>
      </c>
      <c r="I405" s="69" t="str">
        <f>IF(N(A405)&gt;0,VLOOKUP(A405,Body!$A$4:$F$259,2,0),"")</f>
        <v/>
      </c>
    </row>
    <row r="406" spans="1:9" ht="12" customHeight="1">
      <c r="A406" s="17"/>
      <c r="B406" s="17" t="str">
        <f>Start.listina!O111</f>
        <v/>
      </c>
      <c r="C406" s="141" t="str">
        <f>Start.listina!P111</f>
        <v xml:space="preserve"> </v>
      </c>
      <c r="D406" s="17" t="str">
        <f>Start.listina!Q111</f>
        <v xml:space="preserve"> </v>
      </c>
      <c r="E406" s="17" t="str">
        <f>Start.listina!R111</f>
        <v xml:space="preserve"> </v>
      </c>
      <c r="F406" s="17"/>
      <c r="G406" s="142"/>
      <c r="H406" s="69"/>
      <c r="I406" s="69"/>
    </row>
    <row r="407" spans="1:9" ht="12" customHeight="1">
      <c r="A407" s="17"/>
      <c r="B407" s="17" t="str">
        <f>Start.listina!U111</f>
        <v/>
      </c>
      <c r="C407" s="141" t="str">
        <f>Start.listina!V111</f>
        <v xml:space="preserve"> </v>
      </c>
      <c r="D407" s="17" t="str">
        <f>Start.listina!W111</f>
        <v xml:space="preserve"> </v>
      </c>
      <c r="E407" s="17" t="str">
        <f>Start.listina!X111</f>
        <v xml:space="preserve"> </v>
      </c>
      <c r="F407" s="17"/>
      <c r="G407" s="142"/>
      <c r="H407" s="69"/>
      <c r="I407" s="69"/>
    </row>
    <row r="408" spans="1:9" ht="12" customHeight="1">
      <c r="A408" s="17"/>
      <c r="B408" s="17" t="str">
        <f>Start.listina!AA111</f>
        <v/>
      </c>
      <c r="C408" s="141" t="str">
        <f>Start.listina!AB111</f>
        <v xml:space="preserve"> </v>
      </c>
      <c r="D408" s="17" t="str">
        <f>Start.listina!AC111</f>
        <v xml:space="preserve"> </v>
      </c>
      <c r="E408" s="17" t="str">
        <f>Start.listina!AD111</f>
        <v xml:space="preserve"> </v>
      </c>
      <c r="F408" s="17"/>
      <c r="G408" s="142"/>
      <c r="H408" s="69"/>
      <c r="I408" s="69"/>
    </row>
    <row r="409" spans="1:9" ht="12" customHeight="1">
      <c r="A409" s="17">
        <f>Start.listina!AH112</f>
        <v>0</v>
      </c>
      <c r="B409" s="17" t="str">
        <f>Start.listina!I112</f>
        <v/>
      </c>
      <c r="C409" s="141" t="str">
        <f>Start.listina!J112</f>
        <v xml:space="preserve"> </v>
      </c>
      <c r="D409" s="17" t="str">
        <f>Start.listina!K112</f>
        <v xml:space="preserve"> </v>
      </c>
      <c r="E409" s="17" t="str">
        <f>Start.listina!L112</f>
        <v xml:space="preserve"> </v>
      </c>
      <c r="F409" s="17"/>
      <c r="G409" s="142" t="str">
        <f>IF(N(A409)&gt;0,VLOOKUP(A409,Body!$A$4:$F$259,5,0),"")</f>
        <v/>
      </c>
      <c r="H409" s="69" t="str">
        <f>IF(N(A409)&gt;0,VLOOKUP(A409,Body!$A$4:$F$259,6,0),"")</f>
        <v/>
      </c>
      <c r="I409" s="69" t="str">
        <f>IF(N(A409)&gt;0,VLOOKUP(A409,Body!$A$4:$F$259,2,0),"")</f>
        <v/>
      </c>
    </row>
    <row r="410" spans="1:9" ht="12" customHeight="1">
      <c r="A410" s="17"/>
      <c r="B410" s="17" t="str">
        <f>Start.listina!O112</f>
        <v/>
      </c>
      <c r="C410" s="141" t="str">
        <f>Start.listina!P112</f>
        <v xml:space="preserve"> </v>
      </c>
      <c r="D410" s="17" t="str">
        <f>Start.listina!Q112</f>
        <v xml:space="preserve"> </v>
      </c>
      <c r="E410" s="17" t="str">
        <f>Start.listina!R112</f>
        <v xml:space="preserve"> </v>
      </c>
      <c r="F410" s="17"/>
      <c r="G410" s="142"/>
      <c r="H410" s="69"/>
      <c r="I410" s="69"/>
    </row>
    <row r="411" spans="1:9" ht="12" customHeight="1">
      <c r="A411" s="17"/>
      <c r="B411" s="17" t="str">
        <f>Start.listina!U112</f>
        <v/>
      </c>
      <c r="C411" s="141" t="str">
        <f>Start.listina!V112</f>
        <v xml:space="preserve"> </v>
      </c>
      <c r="D411" s="17" t="str">
        <f>Start.listina!W112</f>
        <v xml:space="preserve"> </v>
      </c>
      <c r="E411" s="17" t="str">
        <f>Start.listina!X112</f>
        <v xml:space="preserve"> </v>
      </c>
      <c r="F411" s="17"/>
      <c r="G411" s="142"/>
      <c r="H411" s="69"/>
      <c r="I411" s="69"/>
    </row>
    <row r="412" spans="1:9" ht="12" customHeight="1">
      <c r="A412" s="17"/>
      <c r="B412" s="17" t="str">
        <f>Start.listina!AA112</f>
        <v/>
      </c>
      <c r="C412" s="141" t="str">
        <f>Start.listina!AB112</f>
        <v xml:space="preserve"> </v>
      </c>
      <c r="D412" s="17" t="str">
        <f>Start.listina!AC112</f>
        <v xml:space="preserve"> </v>
      </c>
      <c r="E412" s="17" t="str">
        <f>Start.listina!AD112</f>
        <v xml:space="preserve"> </v>
      </c>
      <c r="F412" s="17"/>
      <c r="G412" s="142"/>
      <c r="H412" s="69"/>
      <c r="I412" s="69"/>
    </row>
    <row r="413" spans="1:9" ht="12" customHeight="1">
      <c r="A413" s="17">
        <f>Start.listina!AH113</f>
        <v>0</v>
      </c>
      <c r="B413" s="17" t="str">
        <f>Start.listina!I113</f>
        <v/>
      </c>
      <c r="C413" s="141" t="str">
        <f>Start.listina!J113</f>
        <v xml:space="preserve"> </v>
      </c>
      <c r="D413" s="17" t="str">
        <f>Start.listina!K113</f>
        <v xml:space="preserve"> </v>
      </c>
      <c r="E413" s="17" t="str">
        <f>Start.listina!L113</f>
        <v xml:space="preserve"> </v>
      </c>
      <c r="F413" s="17"/>
      <c r="G413" s="142" t="str">
        <f>IF(N(A413)&gt;0,VLOOKUP(A413,Body!$A$4:$F$259,5,0),"")</f>
        <v/>
      </c>
      <c r="H413" s="69" t="str">
        <f>IF(N(A413)&gt;0,VLOOKUP(A413,Body!$A$4:$F$259,6,0),"")</f>
        <v/>
      </c>
      <c r="I413" s="69" t="str">
        <f>IF(N(A413)&gt;0,VLOOKUP(A413,Body!$A$4:$F$259,2,0),"")</f>
        <v/>
      </c>
    </row>
    <row r="414" spans="1:9" ht="12" customHeight="1">
      <c r="A414" s="17"/>
      <c r="B414" s="17" t="str">
        <f>Start.listina!O113</f>
        <v/>
      </c>
      <c r="C414" s="141" t="str">
        <f>Start.listina!P113</f>
        <v xml:space="preserve"> </v>
      </c>
      <c r="D414" s="17" t="str">
        <f>Start.listina!Q113</f>
        <v xml:space="preserve"> </v>
      </c>
      <c r="E414" s="17" t="str">
        <f>Start.listina!R113</f>
        <v xml:space="preserve"> </v>
      </c>
      <c r="F414" s="17"/>
      <c r="G414" s="142"/>
      <c r="H414" s="69"/>
      <c r="I414" s="69"/>
    </row>
    <row r="415" spans="1:9" ht="12" customHeight="1">
      <c r="A415" s="17"/>
      <c r="B415" s="17" t="str">
        <f>Start.listina!U113</f>
        <v/>
      </c>
      <c r="C415" s="141" t="str">
        <f>Start.listina!V113</f>
        <v xml:space="preserve"> </v>
      </c>
      <c r="D415" s="17" t="str">
        <f>Start.listina!W113</f>
        <v xml:space="preserve"> </v>
      </c>
      <c r="E415" s="17" t="str">
        <f>Start.listina!X113</f>
        <v xml:space="preserve"> </v>
      </c>
      <c r="F415" s="17"/>
      <c r="G415" s="142"/>
      <c r="H415" s="69"/>
      <c r="I415" s="69"/>
    </row>
    <row r="416" spans="1:9" ht="12" customHeight="1">
      <c r="A416" s="17"/>
      <c r="B416" s="17" t="str">
        <f>Start.listina!AA113</f>
        <v/>
      </c>
      <c r="C416" s="141" t="str">
        <f>Start.listina!AB113</f>
        <v xml:space="preserve"> </v>
      </c>
      <c r="D416" s="17" t="str">
        <f>Start.listina!AC113</f>
        <v xml:space="preserve"> </v>
      </c>
      <c r="E416" s="17" t="str">
        <f>Start.listina!AD113</f>
        <v xml:space="preserve"> </v>
      </c>
      <c r="F416" s="17"/>
      <c r="G416" s="142"/>
      <c r="H416" s="69"/>
      <c r="I416" s="69"/>
    </row>
    <row r="417" spans="1:9" ht="12" customHeight="1">
      <c r="A417" s="17">
        <f>Start.listina!AH114</f>
        <v>0</v>
      </c>
      <c r="B417" s="17" t="str">
        <f>Start.listina!I114</f>
        <v/>
      </c>
      <c r="C417" s="141" t="str">
        <f>Start.listina!J114</f>
        <v xml:space="preserve"> </v>
      </c>
      <c r="D417" s="17" t="str">
        <f>Start.listina!K114</f>
        <v xml:space="preserve"> </v>
      </c>
      <c r="E417" s="17" t="str">
        <f>Start.listina!L114</f>
        <v xml:space="preserve"> </v>
      </c>
      <c r="F417" s="17"/>
      <c r="G417" s="142" t="str">
        <f>IF(N(A417)&gt;0,VLOOKUP(A417,Body!$A$4:$F$259,5,0),"")</f>
        <v/>
      </c>
      <c r="H417" s="69" t="str">
        <f>IF(N(A417)&gt;0,VLOOKUP(A417,Body!$A$4:$F$259,6,0),"")</f>
        <v/>
      </c>
      <c r="I417" s="69" t="str">
        <f>IF(N(A417)&gt;0,VLOOKUP(A417,Body!$A$4:$F$259,2,0),"")</f>
        <v/>
      </c>
    </row>
    <row r="418" spans="1:9" ht="12" customHeight="1">
      <c r="A418" s="17"/>
      <c r="B418" s="17" t="str">
        <f>Start.listina!O114</f>
        <v/>
      </c>
      <c r="C418" s="141" t="str">
        <f>Start.listina!P114</f>
        <v xml:space="preserve"> </v>
      </c>
      <c r="D418" s="17" t="str">
        <f>Start.listina!Q114</f>
        <v xml:space="preserve"> </v>
      </c>
      <c r="E418" s="17" t="str">
        <f>Start.listina!R114</f>
        <v xml:space="preserve"> </v>
      </c>
      <c r="F418" s="17"/>
      <c r="G418" s="142"/>
      <c r="H418" s="69"/>
      <c r="I418" s="69"/>
    </row>
    <row r="419" spans="1:9" ht="12" customHeight="1">
      <c r="A419" s="17"/>
      <c r="B419" s="17" t="str">
        <f>Start.listina!U114</f>
        <v/>
      </c>
      <c r="C419" s="141" t="str">
        <f>Start.listina!V114</f>
        <v xml:space="preserve"> </v>
      </c>
      <c r="D419" s="17" t="str">
        <f>Start.listina!W114</f>
        <v xml:space="preserve"> </v>
      </c>
      <c r="E419" s="17" t="str">
        <f>Start.listina!X114</f>
        <v xml:space="preserve"> </v>
      </c>
      <c r="F419" s="17"/>
      <c r="G419" s="142"/>
      <c r="H419" s="69"/>
      <c r="I419" s="69"/>
    </row>
    <row r="420" spans="1:9" ht="12" customHeight="1">
      <c r="A420" s="17"/>
      <c r="B420" s="17" t="str">
        <f>Start.listina!AA114</f>
        <v/>
      </c>
      <c r="C420" s="141" t="str">
        <f>Start.listina!AB114</f>
        <v xml:space="preserve"> </v>
      </c>
      <c r="D420" s="17" t="str">
        <f>Start.listina!AC114</f>
        <v xml:space="preserve"> </v>
      </c>
      <c r="E420" s="17" t="str">
        <f>Start.listina!AD114</f>
        <v xml:space="preserve"> </v>
      </c>
      <c r="F420" s="17"/>
      <c r="G420" s="142"/>
      <c r="H420" s="69"/>
      <c r="I420" s="69"/>
    </row>
    <row r="421" spans="1:9" ht="12" customHeight="1">
      <c r="A421" s="17">
        <f>Start.listina!AH115</f>
        <v>0</v>
      </c>
      <c r="B421" s="17" t="str">
        <f>Start.listina!I115</f>
        <v/>
      </c>
      <c r="C421" s="141" t="str">
        <f>Start.listina!J115</f>
        <v xml:space="preserve"> </v>
      </c>
      <c r="D421" s="17" t="str">
        <f>Start.listina!K115</f>
        <v xml:space="preserve"> </v>
      </c>
      <c r="E421" s="17" t="str">
        <f>Start.listina!L115</f>
        <v xml:space="preserve"> </v>
      </c>
      <c r="F421" s="17"/>
      <c r="G421" s="142" t="str">
        <f>IF(N(A421)&gt;0,VLOOKUP(A421,Body!$A$4:$F$259,5,0),"")</f>
        <v/>
      </c>
      <c r="H421" s="69" t="str">
        <f>IF(N(A421)&gt;0,VLOOKUP(A421,Body!$A$4:$F$259,6,0),"")</f>
        <v/>
      </c>
      <c r="I421" s="69" t="str">
        <f>IF(N(A421)&gt;0,VLOOKUP(A421,Body!$A$4:$F$259,2,0),"")</f>
        <v/>
      </c>
    </row>
    <row r="422" spans="1:9" ht="12" customHeight="1">
      <c r="A422" s="17"/>
      <c r="B422" s="17" t="str">
        <f>Start.listina!O115</f>
        <v/>
      </c>
      <c r="C422" s="141" t="str">
        <f>Start.listina!P115</f>
        <v xml:space="preserve"> </v>
      </c>
      <c r="D422" s="17" t="str">
        <f>Start.listina!Q115</f>
        <v xml:space="preserve"> </v>
      </c>
      <c r="E422" s="17" t="str">
        <f>Start.listina!R115</f>
        <v xml:space="preserve"> </v>
      </c>
      <c r="F422" s="17"/>
      <c r="G422" s="142"/>
      <c r="H422" s="69"/>
      <c r="I422" s="69"/>
    </row>
    <row r="423" spans="1:9" ht="12" customHeight="1">
      <c r="A423" s="17"/>
      <c r="B423" s="17" t="str">
        <f>Start.listina!U115</f>
        <v/>
      </c>
      <c r="C423" s="141" t="str">
        <f>Start.listina!V115</f>
        <v xml:space="preserve"> </v>
      </c>
      <c r="D423" s="17" t="str">
        <f>Start.listina!W115</f>
        <v xml:space="preserve"> </v>
      </c>
      <c r="E423" s="17" t="str">
        <f>Start.listina!X115</f>
        <v xml:space="preserve"> </v>
      </c>
      <c r="F423" s="17"/>
      <c r="G423" s="142"/>
      <c r="H423" s="69"/>
      <c r="I423" s="69"/>
    </row>
    <row r="424" spans="1:9" ht="12" customHeight="1">
      <c r="A424" s="17"/>
      <c r="B424" s="17" t="str">
        <f>Start.listina!AA115</f>
        <v/>
      </c>
      <c r="C424" s="141" t="str">
        <f>Start.listina!AB115</f>
        <v xml:space="preserve"> </v>
      </c>
      <c r="D424" s="17" t="str">
        <f>Start.listina!AC115</f>
        <v xml:space="preserve"> </v>
      </c>
      <c r="E424" s="17" t="str">
        <f>Start.listina!AD115</f>
        <v xml:space="preserve"> </v>
      </c>
      <c r="F424" s="17"/>
      <c r="G424" s="142"/>
      <c r="H424" s="69"/>
      <c r="I424" s="69"/>
    </row>
    <row r="425" spans="1:9" ht="12" customHeight="1">
      <c r="A425" s="17">
        <f>Start.listina!AH116</f>
        <v>0</v>
      </c>
      <c r="B425" s="17" t="str">
        <f>Start.listina!I116</f>
        <v/>
      </c>
      <c r="C425" s="141" t="str">
        <f>Start.listina!J116</f>
        <v xml:space="preserve"> </v>
      </c>
      <c r="D425" s="17" t="str">
        <f>Start.listina!K116</f>
        <v xml:space="preserve"> </v>
      </c>
      <c r="E425" s="17" t="str">
        <f>Start.listina!L116</f>
        <v xml:space="preserve"> </v>
      </c>
      <c r="F425" s="17"/>
      <c r="G425" s="142" t="str">
        <f>IF(N(A425)&gt;0,VLOOKUP(A425,Body!$A$4:$F$259,5,0),"")</f>
        <v/>
      </c>
      <c r="H425" s="69" t="str">
        <f>IF(N(A425)&gt;0,VLOOKUP(A425,Body!$A$4:$F$259,6,0),"")</f>
        <v/>
      </c>
      <c r="I425" s="69" t="str">
        <f>IF(N(A425)&gt;0,VLOOKUP(A425,Body!$A$4:$F$259,2,0),"")</f>
        <v/>
      </c>
    </row>
    <row r="426" spans="1:9" ht="12" customHeight="1">
      <c r="A426" s="17"/>
      <c r="B426" s="17" t="str">
        <f>Start.listina!O116</f>
        <v/>
      </c>
      <c r="C426" s="141" t="str">
        <f>Start.listina!P116</f>
        <v xml:space="preserve"> </v>
      </c>
      <c r="D426" s="17" t="str">
        <f>Start.listina!Q116</f>
        <v xml:space="preserve"> </v>
      </c>
      <c r="E426" s="17" t="str">
        <f>Start.listina!R116</f>
        <v xml:space="preserve"> </v>
      </c>
      <c r="F426" s="17"/>
      <c r="G426" s="142"/>
      <c r="H426" s="69"/>
      <c r="I426" s="69"/>
    </row>
    <row r="427" spans="1:9" ht="12" customHeight="1">
      <c r="A427" s="17"/>
      <c r="B427" s="17" t="str">
        <f>Start.listina!U116</f>
        <v/>
      </c>
      <c r="C427" s="141" t="str">
        <f>Start.listina!V116</f>
        <v xml:space="preserve"> </v>
      </c>
      <c r="D427" s="17" t="str">
        <f>Start.listina!W116</f>
        <v xml:space="preserve"> </v>
      </c>
      <c r="E427" s="17" t="str">
        <f>Start.listina!X116</f>
        <v xml:space="preserve"> </v>
      </c>
      <c r="F427" s="17"/>
      <c r="G427" s="142"/>
      <c r="H427" s="69"/>
      <c r="I427" s="69"/>
    </row>
    <row r="428" spans="1:9" ht="12" customHeight="1">
      <c r="A428" s="17"/>
      <c r="B428" s="17" t="str">
        <f>Start.listina!AA116</f>
        <v/>
      </c>
      <c r="C428" s="141" t="str">
        <f>Start.listina!AB116</f>
        <v xml:space="preserve"> </v>
      </c>
      <c r="D428" s="17" t="str">
        <f>Start.listina!AC116</f>
        <v xml:space="preserve"> </v>
      </c>
      <c r="E428" s="17" t="str">
        <f>Start.listina!AD116</f>
        <v xml:space="preserve"> </v>
      </c>
      <c r="F428" s="17"/>
      <c r="G428" s="142"/>
      <c r="H428" s="69"/>
      <c r="I428" s="69"/>
    </row>
    <row r="429" spans="1:9" ht="12" customHeight="1">
      <c r="A429" s="17">
        <f>Start.listina!AH117</f>
        <v>0</v>
      </c>
      <c r="B429" s="17" t="str">
        <f>Start.listina!I117</f>
        <v/>
      </c>
      <c r="C429" s="141" t="str">
        <f>Start.listina!J117</f>
        <v xml:space="preserve"> </v>
      </c>
      <c r="D429" s="17" t="str">
        <f>Start.listina!K117</f>
        <v xml:space="preserve"> </v>
      </c>
      <c r="E429" s="17" t="str">
        <f>Start.listina!L117</f>
        <v xml:space="preserve"> </v>
      </c>
      <c r="F429" s="17"/>
      <c r="G429" s="142" t="str">
        <f>IF(N(A429)&gt;0,VLOOKUP(A429,Body!$A$4:$F$259,5,0),"")</f>
        <v/>
      </c>
      <c r="H429" s="69" t="str">
        <f>IF(N(A429)&gt;0,VLOOKUP(A429,Body!$A$4:$F$259,6,0),"")</f>
        <v/>
      </c>
      <c r="I429" s="69" t="str">
        <f>IF(N(A429)&gt;0,VLOOKUP(A429,Body!$A$4:$F$259,2,0),"")</f>
        <v/>
      </c>
    </row>
    <row r="430" spans="1:9" ht="12" customHeight="1">
      <c r="A430" s="17"/>
      <c r="B430" s="17" t="str">
        <f>Start.listina!O117</f>
        <v/>
      </c>
      <c r="C430" s="141" t="str">
        <f>Start.listina!P117</f>
        <v xml:space="preserve"> </v>
      </c>
      <c r="D430" s="17" t="str">
        <f>Start.listina!Q117</f>
        <v xml:space="preserve"> </v>
      </c>
      <c r="E430" s="17" t="str">
        <f>Start.listina!R117</f>
        <v xml:space="preserve"> </v>
      </c>
      <c r="F430" s="17"/>
      <c r="G430" s="142"/>
      <c r="H430" s="69"/>
      <c r="I430" s="69"/>
    </row>
    <row r="431" spans="1:9" ht="12" customHeight="1">
      <c r="A431" s="17"/>
      <c r="B431" s="17" t="str">
        <f>Start.listina!U117</f>
        <v/>
      </c>
      <c r="C431" s="141" t="str">
        <f>Start.listina!V117</f>
        <v xml:space="preserve"> </v>
      </c>
      <c r="D431" s="17" t="str">
        <f>Start.listina!W117</f>
        <v xml:space="preserve"> </v>
      </c>
      <c r="E431" s="17" t="str">
        <f>Start.listina!X117</f>
        <v xml:space="preserve"> </v>
      </c>
      <c r="F431" s="17"/>
      <c r="G431" s="142"/>
      <c r="H431" s="69"/>
      <c r="I431" s="69"/>
    </row>
    <row r="432" spans="1:9" ht="12" customHeight="1">
      <c r="A432" s="17"/>
      <c r="B432" s="17" t="str">
        <f>Start.listina!AA117</f>
        <v/>
      </c>
      <c r="C432" s="141" t="str">
        <f>Start.listina!AB117</f>
        <v xml:space="preserve"> </v>
      </c>
      <c r="D432" s="17" t="str">
        <f>Start.listina!AC117</f>
        <v xml:space="preserve"> </v>
      </c>
      <c r="E432" s="17" t="str">
        <f>Start.listina!AD117</f>
        <v xml:space="preserve"> </v>
      </c>
      <c r="F432" s="17"/>
      <c r="G432" s="142"/>
      <c r="H432" s="69"/>
      <c r="I432" s="69"/>
    </row>
    <row r="433" spans="1:9" ht="12" customHeight="1">
      <c r="A433" s="17">
        <f>Start.listina!AH118</f>
        <v>0</v>
      </c>
      <c r="B433" s="17" t="str">
        <f>Start.listina!I118</f>
        <v/>
      </c>
      <c r="C433" s="141" t="str">
        <f>Start.listina!J118</f>
        <v xml:space="preserve"> </v>
      </c>
      <c r="D433" s="17" t="str">
        <f>Start.listina!K118</f>
        <v xml:space="preserve"> </v>
      </c>
      <c r="E433" s="17" t="str">
        <f>Start.listina!L118</f>
        <v xml:space="preserve"> </v>
      </c>
      <c r="F433" s="17"/>
      <c r="G433" s="142" t="str">
        <f>IF(N(A433)&gt;0,VLOOKUP(A433,Body!$A$4:$F$259,5,0),"")</f>
        <v/>
      </c>
      <c r="H433" s="69" t="str">
        <f>IF(N(A433)&gt;0,VLOOKUP(A433,Body!$A$4:$F$259,6,0),"")</f>
        <v/>
      </c>
      <c r="I433" s="69" t="str">
        <f>IF(N(A433)&gt;0,VLOOKUP(A433,Body!$A$4:$F$259,2,0),"")</f>
        <v/>
      </c>
    </row>
    <row r="434" spans="1:9" ht="12" customHeight="1">
      <c r="A434" s="17"/>
      <c r="B434" s="17" t="str">
        <f>Start.listina!O118</f>
        <v/>
      </c>
      <c r="C434" s="141" t="str">
        <f>Start.listina!P118</f>
        <v xml:space="preserve"> </v>
      </c>
      <c r="D434" s="17" t="str">
        <f>Start.listina!Q118</f>
        <v xml:space="preserve"> </v>
      </c>
      <c r="E434" s="17" t="str">
        <f>Start.listina!R118</f>
        <v xml:space="preserve"> </v>
      </c>
      <c r="F434" s="17"/>
      <c r="G434" s="142"/>
      <c r="H434" s="69"/>
      <c r="I434" s="69"/>
    </row>
    <row r="435" spans="1:9" ht="12" customHeight="1">
      <c r="A435" s="17"/>
      <c r="B435" s="17" t="str">
        <f>Start.listina!U118</f>
        <v/>
      </c>
      <c r="C435" s="141" t="str">
        <f>Start.listina!V118</f>
        <v xml:space="preserve"> </v>
      </c>
      <c r="D435" s="17" t="str">
        <f>Start.listina!W118</f>
        <v xml:space="preserve"> </v>
      </c>
      <c r="E435" s="17" t="str">
        <f>Start.listina!X118</f>
        <v xml:space="preserve"> </v>
      </c>
      <c r="F435" s="17"/>
      <c r="G435" s="142"/>
      <c r="H435" s="69"/>
      <c r="I435" s="69"/>
    </row>
    <row r="436" spans="1:9" ht="12" customHeight="1">
      <c r="A436" s="17"/>
      <c r="B436" s="17" t="str">
        <f>Start.listina!AA118</f>
        <v/>
      </c>
      <c r="C436" s="141" t="str">
        <f>Start.listina!AB118</f>
        <v xml:space="preserve"> </v>
      </c>
      <c r="D436" s="17" t="str">
        <f>Start.listina!AC118</f>
        <v xml:space="preserve"> </v>
      </c>
      <c r="E436" s="17" t="str">
        <f>Start.listina!AD118</f>
        <v xml:space="preserve"> </v>
      </c>
      <c r="F436" s="17"/>
      <c r="G436" s="142"/>
      <c r="H436" s="69"/>
      <c r="I436" s="69"/>
    </row>
    <row r="437" spans="1:9" ht="12" customHeight="1">
      <c r="A437" s="17">
        <f>Start.listina!AH119</f>
        <v>0</v>
      </c>
      <c r="B437" s="17" t="str">
        <f>Start.listina!I119</f>
        <v/>
      </c>
      <c r="C437" s="141" t="str">
        <f>Start.listina!J119</f>
        <v xml:space="preserve"> </v>
      </c>
      <c r="D437" s="17" t="str">
        <f>Start.listina!K119</f>
        <v xml:space="preserve"> </v>
      </c>
      <c r="E437" s="17" t="str">
        <f>Start.listina!L119</f>
        <v xml:space="preserve"> </v>
      </c>
      <c r="F437" s="17"/>
      <c r="G437" s="142" t="str">
        <f>IF(N(A437)&gt;0,VLOOKUP(A437,Body!$A$4:$F$259,5,0),"")</f>
        <v/>
      </c>
      <c r="H437" s="69" t="str">
        <f>IF(N(A437)&gt;0,VLOOKUP(A437,Body!$A$4:$F$259,6,0),"")</f>
        <v/>
      </c>
      <c r="I437" s="69" t="str">
        <f>IF(N(A437)&gt;0,VLOOKUP(A437,Body!$A$4:$F$259,2,0),"")</f>
        <v/>
      </c>
    </row>
    <row r="438" spans="1:9" ht="12" customHeight="1">
      <c r="A438" s="17"/>
      <c r="B438" s="17" t="str">
        <f>Start.listina!O119</f>
        <v/>
      </c>
      <c r="C438" s="141" t="str">
        <f>Start.listina!P119</f>
        <v xml:space="preserve"> </v>
      </c>
      <c r="D438" s="17" t="str">
        <f>Start.listina!Q119</f>
        <v xml:space="preserve"> </v>
      </c>
      <c r="E438" s="17" t="str">
        <f>Start.listina!R119</f>
        <v xml:space="preserve"> </v>
      </c>
      <c r="F438" s="17"/>
      <c r="G438" s="142"/>
      <c r="H438" s="69"/>
      <c r="I438" s="69"/>
    </row>
    <row r="439" spans="1:9" ht="12" customHeight="1">
      <c r="A439" s="17"/>
      <c r="B439" s="17" t="str">
        <f>Start.listina!U119</f>
        <v/>
      </c>
      <c r="C439" s="141" t="str">
        <f>Start.listina!V119</f>
        <v xml:space="preserve"> </v>
      </c>
      <c r="D439" s="17" t="str">
        <f>Start.listina!W119</f>
        <v xml:space="preserve"> </v>
      </c>
      <c r="E439" s="17" t="str">
        <f>Start.listina!X119</f>
        <v xml:space="preserve"> </v>
      </c>
      <c r="F439" s="17"/>
      <c r="G439" s="142"/>
      <c r="H439" s="69"/>
      <c r="I439" s="69"/>
    </row>
    <row r="440" spans="1:9" ht="12" customHeight="1">
      <c r="A440" s="17"/>
      <c r="B440" s="17" t="str">
        <f>Start.listina!AA119</f>
        <v/>
      </c>
      <c r="C440" s="141" t="str">
        <f>Start.listina!AB119</f>
        <v xml:space="preserve"> </v>
      </c>
      <c r="D440" s="17" t="str">
        <f>Start.listina!AC119</f>
        <v xml:space="preserve"> </v>
      </c>
      <c r="E440" s="17" t="str">
        <f>Start.listina!AD119</f>
        <v xml:space="preserve"> </v>
      </c>
      <c r="F440" s="17"/>
      <c r="G440" s="142"/>
      <c r="H440" s="69"/>
      <c r="I440" s="69"/>
    </row>
    <row r="441" spans="1:9" ht="12" customHeight="1">
      <c r="A441" s="17">
        <f>Start.listina!AH120</f>
        <v>0</v>
      </c>
      <c r="B441" s="17" t="str">
        <f>Start.listina!I120</f>
        <v/>
      </c>
      <c r="C441" s="141" t="str">
        <f>Start.listina!J120</f>
        <v xml:space="preserve"> </v>
      </c>
      <c r="D441" s="17" t="str">
        <f>Start.listina!K120</f>
        <v xml:space="preserve"> </v>
      </c>
      <c r="E441" s="17" t="str">
        <f>Start.listina!L120</f>
        <v xml:space="preserve"> </v>
      </c>
      <c r="F441" s="17"/>
      <c r="G441" s="142" t="str">
        <f>IF(N(A441)&gt;0,VLOOKUP(A441,Body!$A$4:$F$259,5,0),"")</f>
        <v/>
      </c>
      <c r="H441" s="69" t="str">
        <f>IF(N(A441)&gt;0,VLOOKUP(A441,Body!$A$4:$F$259,6,0),"")</f>
        <v/>
      </c>
      <c r="I441" s="69" t="str">
        <f>IF(N(A441)&gt;0,VLOOKUP(A441,Body!$A$4:$F$259,2,0),"")</f>
        <v/>
      </c>
    </row>
    <row r="442" spans="1:9" ht="12" customHeight="1">
      <c r="A442" s="17"/>
      <c r="B442" s="17" t="str">
        <f>Start.listina!O120</f>
        <v/>
      </c>
      <c r="C442" s="141" t="str">
        <f>Start.listina!P120</f>
        <v xml:space="preserve"> </v>
      </c>
      <c r="D442" s="17" t="str">
        <f>Start.listina!Q120</f>
        <v xml:space="preserve"> </v>
      </c>
      <c r="E442" s="17" t="str">
        <f>Start.listina!R120</f>
        <v xml:space="preserve"> </v>
      </c>
      <c r="F442" s="17"/>
      <c r="G442" s="142"/>
      <c r="H442" s="69"/>
      <c r="I442" s="69"/>
    </row>
    <row r="443" spans="1:9" ht="12" customHeight="1">
      <c r="A443" s="17"/>
      <c r="B443" s="17" t="str">
        <f>Start.listina!U120</f>
        <v/>
      </c>
      <c r="C443" s="141" t="str">
        <f>Start.listina!V120</f>
        <v xml:space="preserve"> </v>
      </c>
      <c r="D443" s="17" t="str">
        <f>Start.listina!W120</f>
        <v xml:space="preserve"> </v>
      </c>
      <c r="E443" s="17" t="str">
        <f>Start.listina!X120</f>
        <v xml:space="preserve"> </v>
      </c>
      <c r="F443" s="17"/>
      <c r="G443" s="142"/>
      <c r="H443" s="69"/>
      <c r="I443" s="69"/>
    </row>
    <row r="444" spans="1:9" ht="12" customHeight="1">
      <c r="A444" s="17"/>
      <c r="B444" s="17" t="str">
        <f>Start.listina!AA120</f>
        <v/>
      </c>
      <c r="C444" s="141" t="str">
        <f>Start.listina!AB120</f>
        <v xml:space="preserve"> </v>
      </c>
      <c r="D444" s="17" t="str">
        <f>Start.listina!AC120</f>
        <v xml:space="preserve"> </v>
      </c>
      <c r="E444" s="17" t="str">
        <f>Start.listina!AD120</f>
        <v xml:space="preserve"> </v>
      </c>
      <c r="F444" s="17"/>
      <c r="G444" s="142"/>
      <c r="H444" s="69"/>
      <c r="I444" s="69"/>
    </row>
    <row r="445" spans="1:9" ht="12" customHeight="1">
      <c r="A445" s="17">
        <f>Start.listina!AH121</f>
        <v>0</v>
      </c>
      <c r="B445" s="17" t="str">
        <f>Start.listina!I121</f>
        <v/>
      </c>
      <c r="C445" s="141" t="str">
        <f>Start.listina!J121</f>
        <v xml:space="preserve"> </v>
      </c>
      <c r="D445" s="17" t="str">
        <f>Start.listina!K121</f>
        <v xml:space="preserve"> </v>
      </c>
      <c r="E445" s="17" t="str">
        <f>Start.listina!L121</f>
        <v xml:space="preserve"> </v>
      </c>
      <c r="F445" s="17"/>
      <c r="G445" s="142" t="str">
        <f>IF(N(A445)&gt;0,VLOOKUP(A445,Body!$A$4:$F$259,5,0),"")</f>
        <v/>
      </c>
      <c r="H445" s="69" t="str">
        <f>IF(N(A445)&gt;0,VLOOKUP(A445,Body!$A$4:$F$259,6,0),"")</f>
        <v/>
      </c>
      <c r="I445" s="69" t="str">
        <f>IF(N(A445)&gt;0,VLOOKUP(A445,Body!$A$4:$F$259,2,0),"")</f>
        <v/>
      </c>
    </row>
    <row r="446" spans="1:9" ht="12" customHeight="1">
      <c r="A446" s="17"/>
      <c r="B446" s="17" t="str">
        <f>Start.listina!O121</f>
        <v/>
      </c>
      <c r="C446" s="141" t="str">
        <f>Start.listina!P121</f>
        <v xml:space="preserve"> </v>
      </c>
      <c r="D446" s="17" t="str">
        <f>Start.listina!Q121</f>
        <v xml:space="preserve"> </v>
      </c>
      <c r="E446" s="17" t="str">
        <f>Start.listina!R121</f>
        <v xml:space="preserve"> </v>
      </c>
      <c r="F446" s="17"/>
      <c r="G446" s="142"/>
      <c r="H446" s="69"/>
      <c r="I446" s="69"/>
    </row>
    <row r="447" spans="1:9" ht="12" customHeight="1">
      <c r="A447" s="17"/>
      <c r="B447" s="17" t="str">
        <f>Start.listina!U121</f>
        <v/>
      </c>
      <c r="C447" s="141" t="str">
        <f>Start.listina!V121</f>
        <v xml:space="preserve"> </v>
      </c>
      <c r="D447" s="17" t="str">
        <f>Start.listina!W121</f>
        <v xml:space="preserve"> </v>
      </c>
      <c r="E447" s="17" t="str">
        <f>Start.listina!X121</f>
        <v xml:space="preserve"> </v>
      </c>
      <c r="F447" s="17"/>
      <c r="G447" s="142"/>
      <c r="H447" s="69"/>
      <c r="I447" s="69"/>
    </row>
    <row r="448" spans="1:9" ht="12" customHeight="1">
      <c r="A448" s="17"/>
      <c r="B448" s="17" t="str">
        <f>Start.listina!AA121</f>
        <v/>
      </c>
      <c r="C448" s="141" t="str">
        <f>Start.listina!AB121</f>
        <v xml:space="preserve"> </v>
      </c>
      <c r="D448" s="17" t="str">
        <f>Start.listina!AC121</f>
        <v xml:space="preserve"> </v>
      </c>
      <c r="E448" s="17" t="str">
        <f>Start.listina!AD121</f>
        <v xml:space="preserve"> </v>
      </c>
      <c r="F448" s="17"/>
      <c r="G448" s="142"/>
      <c r="H448" s="69"/>
      <c r="I448" s="69"/>
    </row>
    <row r="449" spans="1:9" ht="12" customHeight="1">
      <c r="A449" s="17">
        <f>Start.listina!AH122</f>
        <v>0</v>
      </c>
      <c r="B449" s="17" t="str">
        <f>Start.listina!I122</f>
        <v/>
      </c>
      <c r="C449" s="141" t="str">
        <f>Start.listina!J122</f>
        <v xml:space="preserve"> </v>
      </c>
      <c r="D449" s="17" t="str">
        <f>Start.listina!K122</f>
        <v xml:space="preserve"> </v>
      </c>
      <c r="E449" s="17" t="str">
        <f>Start.listina!L122</f>
        <v xml:space="preserve"> </v>
      </c>
      <c r="F449" s="17"/>
      <c r="G449" s="142" t="str">
        <f>IF(N(A449)&gt;0,VLOOKUP(A449,Body!$A$4:$F$259,5,0),"")</f>
        <v/>
      </c>
      <c r="H449" s="69" t="str">
        <f>IF(N(A449)&gt;0,VLOOKUP(A449,Body!$A$4:$F$259,6,0),"")</f>
        <v/>
      </c>
      <c r="I449" s="69" t="str">
        <f>IF(N(A449)&gt;0,VLOOKUP(A449,Body!$A$4:$F$259,2,0),"")</f>
        <v/>
      </c>
    </row>
    <row r="450" spans="1:9" ht="12" customHeight="1">
      <c r="A450" s="17"/>
      <c r="B450" s="17" t="str">
        <f>Start.listina!O122</f>
        <v/>
      </c>
      <c r="C450" s="141" t="str">
        <f>Start.listina!P122</f>
        <v xml:space="preserve"> </v>
      </c>
      <c r="D450" s="17" t="str">
        <f>Start.listina!Q122</f>
        <v xml:space="preserve"> </v>
      </c>
      <c r="E450" s="17" t="str">
        <f>Start.listina!R122</f>
        <v xml:space="preserve"> </v>
      </c>
      <c r="F450" s="17"/>
      <c r="G450" s="142"/>
      <c r="H450" s="69"/>
      <c r="I450" s="69"/>
    </row>
    <row r="451" spans="1:9" ht="12" customHeight="1">
      <c r="A451" s="17"/>
      <c r="B451" s="17" t="str">
        <f>Start.listina!U122</f>
        <v/>
      </c>
      <c r="C451" s="141" t="str">
        <f>Start.listina!V122</f>
        <v xml:space="preserve"> </v>
      </c>
      <c r="D451" s="17" t="str">
        <f>Start.listina!W122</f>
        <v xml:space="preserve"> </v>
      </c>
      <c r="E451" s="17" t="str">
        <f>Start.listina!X122</f>
        <v xml:space="preserve"> </v>
      </c>
      <c r="F451" s="17"/>
      <c r="G451" s="142"/>
      <c r="H451" s="69"/>
      <c r="I451" s="69"/>
    </row>
    <row r="452" spans="1:9" ht="12" customHeight="1">
      <c r="A452" s="17"/>
      <c r="B452" s="17" t="str">
        <f>Start.listina!AA122</f>
        <v/>
      </c>
      <c r="C452" s="141" t="str">
        <f>Start.listina!AB122</f>
        <v xml:space="preserve"> </v>
      </c>
      <c r="D452" s="17" t="str">
        <f>Start.listina!AC122</f>
        <v xml:space="preserve"> </v>
      </c>
      <c r="E452" s="17" t="str">
        <f>Start.listina!AD122</f>
        <v xml:space="preserve"> </v>
      </c>
      <c r="F452" s="17"/>
      <c r="G452" s="142"/>
      <c r="H452" s="69"/>
      <c r="I452" s="69"/>
    </row>
    <row r="453" spans="1:9" ht="12" customHeight="1">
      <c r="A453" s="17">
        <f>Start.listina!AH123</f>
        <v>0</v>
      </c>
      <c r="B453" s="17" t="str">
        <f>Start.listina!I123</f>
        <v/>
      </c>
      <c r="C453" s="141" t="str">
        <f>Start.listina!J123</f>
        <v xml:space="preserve"> </v>
      </c>
      <c r="D453" s="17" t="str">
        <f>Start.listina!K123</f>
        <v xml:space="preserve"> </v>
      </c>
      <c r="E453" s="17" t="str">
        <f>Start.listina!L123</f>
        <v xml:space="preserve"> </v>
      </c>
      <c r="F453" s="17"/>
      <c r="G453" s="142" t="str">
        <f>IF(N(A453)&gt;0,VLOOKUP(A453,Body!$A$4:$F$259,5,0),"")</f>
        <v/>
      </c>
      <c r="H453" s="69" t="str">
        <f>IF(N(A453)&gt;0,VLOOKUP(A453,Body!$A$4:$F$259,6,0),"")</f>
        <v/>
      </c>
      <c r="I453" s="69" t="str">
        <f>IF(N(A453)&gt;0,VLOOKUP(A453,Body!$A$4:$F$259,2,0),"")</f>
        <v/>
      </c>
    </row>
    <row r="454" spans="1:9" ht="12" customHeight="1">
      <c r="A454" s="17"/>
      <c r="B454" s="17" t="str">
        <f>Start.listina!O123</f>
        <v/>
      </c>
      <c r="C454" s="141" t="str">
        <f>Start.listina!P123</f>
        <v xml:space="preserve"> </v>
      </c>
      <c r="D454" s="17" t="str">
        <f>Start.listina!Q123</f>
        <v xml:space="preserve"> </v>
      </c>
      <c r="E454" s="17" t="str">
        <f>Start.listina!R123</f>
        <v xml:space="preserve"> </v>
      </c>
      <c r="F454" s="17"/>
      <c r="G454" s="142"/>
      <c r="H454" s="69"/>
      <c r="I454" s="69"/>
    </row>
    <row r="455" spans="1:9" ht="12" customHeight="1">
      <c r="A455" s="17"/>
      <c r="B455" s="17" t="str">
        <f>Start.listina!U123</f>
        <v/>
      </c>
      <c r="C455" s="141" t="str">
        <f>Start.listina!V123</f>
        <v xml:space="preserve"> </v>
      </c>
      <c r="D455" s="17" t="str">
        <f>Start.listina!W123</f>
        <v xml:space="preserve"> </v>
      </c>
      <c r="E455" s="17" t="str">
        <f>Start.listina!X123</f>
        <v xml:space="preserve"> </v>
      </c>
      <c r="F455" s="17"/>
      <c r="G455" s="142"/>
      <c r="H455" s="69"/>
      <c r="I455" s="69"/>
    </row>
    <row r="456" spans="1:9" ht="12" customHeight="1">
      <c r="A456" s="17"/>
      <c r="B456" s="17" t="str">
        <f>Start.listina!AA123</f>
        <v/>
      </c>
      <c r="C456" s="141" t="str">
        <f>Start.listina!AB123</f>
        <v xml:space="preserve"> </v>
      </c>
      <c r="D456" s="17" t="str">
        <f>Start.listina!AC123</f>
        <v xml:space="preserve"> </v>
      </c>
      <c r="E456" s="17" t="str">
        <f>Start.listina!AD123</f>
        <v xml:space="preserve"> </v>
      </c>
      <c r="F456" s="17"/>
      <c r="G456" s="142"/>
      <c r="H456" s="69"/>
      <c r="I456" s="69"/>
    </row>
    <row r="457" spans="1:9" ht="12" customHeight="1">
      <c r="A457" s="17">
        <f>Start.listina!AH124</f>
        <v>0</v>
      </c>
      <c r="B457" s="17" t="str">
        <f>Start.listina!I124</f>
        <v/>
      </c>
      <c r="C457" s="141" t="str">
        <f>Start.listina!J124</f>
        <v xml:space="preserve"> </v>
      </c>
      <c r="D457" s="17" t="str">
        <f>Start.listina!K124</f>
        <v xml:space="preserve"> </v>
      </c>
      <c r="E457" s="17" t="str">
        <f>Start.listina!L124</f>
        <v xml:space="preserve"> </v>
      </c>
      <c r="F457" s="17"/>
      <c r="G457" s="142" t="str">
        <f>IF(N(A457)&gt;0,VLOOKUP(A457,Body!$A$4:$F$259,5,0),"")</f>
        <v/>
      </c>
      <c r="H457" s="69" t="str">
        <f>IF(N(A457)&gt;0,VLOOKUP(A457,Body!$A$4:$F$259,6,0),"")</f>
        <v/>
      </c>
      <c r="I457" s="69" t="str">
        <f>IF(N(A457)&gt;0,VLOOKUP(A457,Body!$A$4:$F$259,2,0),"")</f>
        <v/>
      </c>
    </row>
    <row r="458" spans="1:9" ht="12" customHeight="1">
      <c r="A458" s="17"/>
      <c r="B458" s="17" t="str">
        <f>Start.listina!O124</f>
        <v/>
      </c>
      <c r="C458" s="141" t="str">
        <f>Start.listina!P124</f>
        <v xml:space="preserve"> </v>
      </c>
      <c r="D458" s="17" t="str">
        <f>Start.listina!Q124</f>
        <v xml:space="preserve"> </v>
      </c>
      <c r="E458" s="17" t="str">
        <f>Start.listina!R124</f>
        <v xml:space="preserve"> </v>
      </c>
      <c r="F458" s="17"/>
      <c r="G458" s="142"/>
      <c r="H458" s="69"/>
      <c r="I458" s="69"/>
    </row>
    <row r="459" spans="1:9" ht="12" customHeight="1">
      <c r="A459" s="17"/>
      <c r="B459" s="17" t="str">
        <f>Start.listina!U124</f>
        <v/>
      </c>
      <c r="C459" s="141" t="str">
        <f>Start.listina!V124</f>
        <v xml:space="preserve"> </v>
      </c>
      <c r="D459" s="17" t="str">
        <f>Start.listina!W124</f>
        <v xml:space="preserve"> </v>
      </c>
      <c r="E459" s="17" t="str">
        <f>Start.listina!X124</f>
        <v xml:space="preserve"> </v>
      </c>
      <c r="F459" s="17"/>
      <c r="G459" s="142"/>
      <c r="H459" s="69"/>
      <c r="I459" s="69"/>
    </row>
    <row r="460" spans="1:9" ht="12" customHeight="1">
      <c r="A460" s="17"/>
      <c r="B460" s="17" t="str">
        <f>Start.listina!AA124</f>
        <v/>
      </c>
      <c r="C460" s="141" t="str">
        <f>Start.listina!AB124</f>
        <v xml:space="preserve"> </v>
      </c>
      <c r="D460" s="17" t="str">
        <f>Start.listina!AC124</f>
        <v xml:space="preserve"> </v>
      </c>
      <c r="E460" s="17" t="str">
        <f>Start.listina!AD124</f>
        <v xml:space="preserve"> </v>
      </c>
      <c r="F460" s="17"/>
      <c r="G460" s="142"/>
      <c r="H460" s="69"/>
      <c r="I460" s="69"/>
    </row>
    <row r="461" spans="1:9" ht="12" customHeight="1">
      <c r="A461" s="17">
        <f>Start.listina!AH125</f>
        <v>0</v>
      </c>
      <c r="B461" s="17" t="str">
        <f>Start.listina!I125</f>
        <v/>
      </c>
      <c r="C461" s="141" t="str">
        <f>Start.listina!J125</f>
        <v xml:space="preserve"> </v>
      </c>
      <c r="D461" s="17" t="str">
        <f>Start.listina!K125</f>
        <v xml:space="preserve"> </v>
      </c>
      <c r="E461" s="17" t="str">
        <f>Start.listina!L125</f>
        <v xml:space="preserve"> </v>
      </c>
      <c r="F461" s="17"/>
      <c r="G461" s="142" t="str">
        <f>IF(N(A461)&gt;0,VLOOKUP(A461,Body!$A$4:$F$259,5,0),"")</f>
        <v/>
      </c>
      <c r="H461" s="69" t="str">
        <f>IF(N(A461)&gt;0,VLOOKUP(A461,Body!$A$4:$F$259,6,0),"")</f>
        <v/>
      </c>
      <c r="I461" s="69" t="str">
        <f>IF(N(A461)&gt;0,VLOOKUP(A461,Body!$A$4:$F$259,2,0),"")</f>
        <v/>
      </c>
    </row>
    <row r="462" spans="1:9" ht="12" customHeight="1">
      <c r="A462" s="17"/>
      <c r="B462" s="17" t="str">
        <f>Start.listina!O125</f>
        <v/>
      </c>
      <c r="C462" s="141" t="str">
        <f>Start.listina!P125</f>
        <v xml:space="preserve"> </v>
      </c>
      <c r="D462" s="17" t="str">
        <f>Start.listina!Q125</f>
        <v xml:space="preserve"> </v>
      </c>
      <c r="E462" s="17" t="str">
        <f>Start.listina!R125</f>
        <v xml:space="preserve"> </v>
      </c>
      <c r="F462" s="17"/>
      <c r="G462" s="142"/>
      <c r="H462" s="69"/>
      <c r="I462" s="69"/>
    </row>
    <row r="463" spans="1:9" ht="12" customHeight="1">
      <c r="A463" s="17"/>
      <c r="B463" s="17" t="str">
        <f>Start.listina!U125</f>
        <v/>
      </c>
      <c r="C463" s="141" t="str">
        <f>Start.listina!V125</f>
        <v xml:space="preserve"> </v>
      </c>
      <c r="D463" s="17" t="str">
        <f>Start.listina!W125</f>
        <v xml:space="preserve"> </v>
      </c>
      <c r="E463" s="17" t="str">
        <f>Start.listina!X125</f>
        <v xml:space="preserve"> </v>
      </c>
      <c r="F463" s="17"/>
      <c r="G463" s="142"/>
      <c r="H463" s="69"/>
      <c r="I463" s="69"/>
    </row>
    <row r="464" spans="1:9" ht="12" customHeight="1">
      <c r="A464" s="17"/>
      <c r="B464" s="17" t="str">
        <f>Start.listina!AA125</f>
        <v/>
      </c>
      <c r="C464" s="141" t="str">
        <f>Start.listina!AB125</f>
        <v xml:space="preserve"> </v>
      </c>
      <c r="D464" s="17" t="str">
        <f>Start.listina!AC125</f>
        <v xml:space="preserve"> </v>
      </c>
      <c r="E464" s="17" t="str">
        <f>Start.listina!AD125</f>
        <v xml:space="preserve"> </v>
      </c>
      <c r="F464" s="17"/>
      <c r="G464" s="142"/>
      <c r="H464" s="69"/>
      <c r="I464" s="69"/>
    </row>
    <row r="465" spans="1:9" ht="12" customHeight="1">
      <c r="A465" s="17">
        <f>Start.listina!AH126</f>
        <v>0</v>
      </c>
      <c r="B465" s="17" t="str">
        <f>Start.listina!I126</f>
        <v/>
      </c>
      <c r="C465" s="141" t="str">
        <f>Start.listina!J126</f>
        <v xml:space="preserve"> </v>
      </c>
      <c r="D465" s="17" t="str">
        <f>Start.listina!K126</f>
        <v xml:space="preserve"> </v>
      </c>
      <c r="E465" s="17" t="str">
        <f>Start.listina!L126</f>
        <v xml:space="preserve"> </v>
      </c>
      <c r="F465" s="17"/>
      <c r="G465" s="142" t="str">
        <f>IF(N(A465)&gt;0,VLOOKUP(A465,Body!$A$4:$F$259,5,0),"")</f>
        <v/>
      </c>
      <c r="H465" s="69" t="str">
        <f>IF(N(A465)&gt;0,VLOOKUP(A465,Body!$A$4:$F$259,6,0),"")</f>
        <v/>
      </c>
      <c r="I465" s="69" t="str">
        <f>IF(N(A465)&gt;0,VLOOKUP(A465,Body!$A$4:$F$259,2,0),"")</f>
        <v/>
      </c>
    </row>
    <row r="466" spans="1:9" ht="12" customHeight="1">
      <c r="A466" s="17"/>
      <c r="B466" s="17" t="str">
        <f>Start.listina!O126</f>
        <v/>
      </c>
      <c r="C466" s="141" t="str">
        <f>Start.listina!P126</f>
        <v xml:space="preserve"> </v>
      </c>
      <c r="D466" s="17" t="str">
        <f>Start.listina!Q126</f>
        <v xml:space="preserve"> </v>
      </c>
      <c r="E466" s="17" t="str">
        <f>Start.listina!R126</f>
        <v xml:space="preserve"> </v>
      </c>
      <c r="F466" s="17"/>
      <c r="G466" s="142"/>
      <c r="H466" s="69"/>
      <c r="I466" s="69"/>
    </row>
    <row r="467" spans="1:9" ht="12" customHeight="1">
      <c r="A467" s="17"/>
      <c r="B467" s="17" t="str">
        <f>Start.listina!U126</f>
        <v/>
      </c>
      <c r="C467" s="141" t="str">
        <f>Start.listina!V126</f>
        <v xml:space="preserve"> </v>
      </c>
      <c r="D467" s="17" t="str">
        <f>Start.listina!W126</f>
        <v xml:space="preserve"> </v>
      </c>
      <c r="E467" s="17" t="str">
        <f>Start.listina!X126</f>
        <v xml:space="preserve"> </v>
      </c>
      <c r="F467" s="17"/>
      <c r="G467" s="142"/>
      <c r="H467" s="69"/>
      <c r="I467" s="69"/>
    </row>
    <row r="468" spans="1:9" ht="12" customHeight="1">
      <c r="A468" s="17"/>
      <c r="B468" s="17" t="str">
        <f>Start.listina!AA126</f>
        <v/>
      </c>
      <c r="C468" s="141" t="str">
        <f>Start.listina!AB126</f>
        <v xml:space="preserve"> </v>
      </c>
      <c r="D468" s="17" t="str">
        <f>Start.listina!AC126</f>
        <v xml:space="preserve"> </v>
      </c>
      <c r="E468" s="17" t="str">
        <f>Start.listina!AD126</f>
        <v xml:space="preserve"> </v>
      </c>
      <c r="F468" s="17"/>
      <c r="G468" s="142"/>
      <c r="H468" s="69"/>
      <c r="I468" s="69"/>
    </row>
    <row r="469" spans="1:9" ht="12" customHeight="1">
      <c r="A469" s="17">
        <f>Start.listina!AH127</f>
        <v>0</v>
      </c>
      <c r="B469" s="17" t="str">
        <f>Start.listina!I127</f>
        <v/>
      </c>
      <c r="C469" s="141" t="str">
        <f>Start.listina!J127</f>
        <v xml:space="preserve"> </v>
      </c>
      <c r="D469" s="17" t="str">
        <f>Start.listina!K127</f>
        <v xml:space="preserve"> </v>
      </c>
      <c r="E469" s="17" t="str">
        <f>Start.listina!L127</f>
        <v xml:space="preserve"> </v>
      </c>
      <c r="F469" s="17"/>
      <c r="G469" s="142" t="str">
        <f>IF(N(A469)&gt;0,VLOOKUP(A469,Body!$A$4:$F$259,5,0),"")</f>
        <v/>
      </c>
      <c r="H469" s="69" t="str">
        <f>IF(N(A469)&gt;0,VLOOKUP(A469,Body!$A$4:$F$259,6,0),"")</f>
        <v/>
      </c>
      <c r="I469" s="69" t="str">
        <f>IF(N(A469)&gt;0,VLOOKUP(A469,Body!$A$4:$F$259,2,0),"")</f>
        <v/>
      </c>
    </row>
    <row r="470" spans="1:9" ht="12" customHeight="1">
      <c r="A470" s="17"/>
      <c r="B470" s="17" t="str">
        <f>Start.listina!O127</f>
        <v/>
      </c>
      <c r="C470" s="141" t="str">
        <f>Start.listina!P127</f>
        <v xml:space="preserve"> </v>
      </c>
      <c r="D470" s="17" t="str">
        <f>Start.listina!Q127</f>
        <v xml:space="preserve"> </v>
      </c>
      <c r="E470" s="17" t="str">
        <f>Start.listina!R127</f>
        <v xml:space="preserve"> </v>
      </c>
      <c r="F470" s="17"/>
      <c r="G470" s="142"/>
      <c r="H470" s="69"/>
      <c r="I470" s="69"/>
    </row>
    <row r="471" spans="1:9" ht="12" customHeight="1">
      <c r="A471" s="17"/>
      <c r="B471" s="17" t="str">
        <f>Start.listina!U127</f>
        <v/>
      </c>
      <c r="C471" s="141" t="str">
        <f>Start.listina!V127</f>
        <v xml:space="preserve"> </v>
      </c>
      <c r="D471" s="17" t="str">
        <f>Start.listina!W127</f>
        <v xml:space="preserve"> </v>
      </c>
      <c r="E471" s="17" t="str">
        <f>Start.listina!X127</f>
        <v xml:space="preserve"> </v>
      </c>
      <c r="F471" s="17"/>
      <c r="G471" s="142"/>
      <c r="H471" s="69"/>
      <c r="I471" s="69"/>
    </row>
    <row r="472" spans="1:9" ht="12" customHeight="1">
      <c r="A472" s="17"/>
      <c r="B472" s="17" t="str">
        <f>Start.listina!AA127</f>
        <v/>
      </c>
      <c r="C472" s="141" t="str">
        <f>Start.listina!AB127</f>
        <v xml:space="preserve"> </v>
      </c>
      <c r="D472" s="17" t="str">
        <f>Start.listina!AC127</f>
        <v xml:space="preserve"> </v>
      </c>
      <c r="E472" s="17" t="str">
        <f>Start.listina!AD127</f>
        <v xml:space="preserve"> </v>
      </c>
      <c r="F472" s="17"/>
      <c r="G472" s="142"/>
      <c r="H472" s="69"/>
      <c r="I472" s="69"/>
    </row>
    <row r="473" spans="1:9" ht="12" customHeight="1">
      <c r="A473" s="17">
        <f>Start.listina!AH128</f>
        <v>0</v>
      </c>
      <c r="B473" s="17" t="str">
        <f>Start.listina!I128</f>
        <v/>
      </c>
      <c r="C473" s="141" t="str">
        <f>Start.listina!J128</f>
        <v xml:space="preserve"> </v>
      </c>
      <c r="D473" s="17" t="str">
        <f>Start.listina!K128</f>
        <v xml:space="preserve"> </v>
      </c>
      <c r="E473" s="17" t="str">
        <f>Start.listina!L128</f>
        <v xml:space="preserve"> </v>
      </c>
      <c r="F473" s="17"/>
      <c r="G473" s="142" t="str">
        <f>IF(N(A473)&gt;0,VLOOKUP(A473,Body!$A$4:$F$259,5,0),"")</f>
        <v/>
      </c>
      <c r="H473" s="69" t="str">
        <f>IF(N(A473)&gt;0,VLOOKUP(A473,Body!$A$4:$F$259,6,0),"")</f>
        <v/>
      </c>
      <c r="I473" s="69" t="str">
        <f>IF(N(A473)&gt;0,VLOOKUP(A473,Body!$A$4:$F$259,2,0),"")</f>
        <v/>
      </c>
    </row>
    <row r="474" spans="1:9" ht="12" customHeight="1">
      <c r="A474" s="17"/>
      <c r="B474" s="17" t="str">
        <f>Start.listina!O128</f>
        <v/>
      </c>
      <c r="C474" s="141" t="str">
        <f>Start.listina!P128</f>
        <v xml:space="preserve"> </v>
      </c>
      <c r="D474" s="17" t="str">
        <f>Start.listina!Q128</f>
        <v xml:space="preserve"> </v>
      </c>
      <c r="E474" s="17" t="str">
        <f>Start.listina!R128</f>
        <v xml:space="preserve"> </v>
      </c>
      <c r="F474" s="17"/>
      <c r="G474" s="142"/>
      <c r="H474" s="69"/>
      <c r="I474" s="69"/>
    </row>
    <row r="475" spans="1:9" ht="12" customHeight="1">
      <c r="A475" s="17"/>
      <c r="B475" s="17" t="str">
        <f>Start.listina!U128</f>
        <v/>
      </c>
      <c r="C475" s="141" t="str">
        <f>Start.listina!V128</f>
        <v xml:space="preserve"> </v>
      </c>
      <c r="D475" s="17" t="str">
        <f>Start.listina!W128</f>
        <v xml:space="preserve"> </v>
      </c>
      <c r="E475" s="17" t="str">
        <f>Start.listina!X128</f>
        <v xml:space="preserve"> </v>
      </c>
      <c r="F475" s="17"/>
      <c r="G475" s="142"/>
      <c r="H475" s="69"/>
      <c r="I475" s="69"/>
    </row>
    <row r="476" spans="1:9" ht="12" customHeight="1">
      <c r="A476" s="17"/>
      <c r="B476" s="17" t="str">
        <f>Start.listina!AA128</f>
        <v/>
      </c>
      <c r="C476" s="141" t="str">
        <f>Start.listina!AB128</f>
        <v xml:space="preserve"> </v>
      </c>
      <c r="D476" s="17" t="str">
        <f>Start.listina!AC128</f>
        <v xml:space="preserve"> </v>
      </c>
      <c r="E476" s="17" t="str">
        <f>Start.listina!AD128</f>
        <v xml:space="preserve"> </v>
      </c>
      <c r="F476" s="17"/>
      <c r="G476" s="142"/>
      <c r="H476" s="69"/>
      <c r="I476" s="69"/>
    </row>
    <row r="477" spans="1:9" ht="12" customHeight="1">
      <c r="A477" s="17">
        <f>Start.listina!AH129</f>
        <v>0</v>
      </c>
      <c r="B477" s="17" t="str">
        <f>Start.listina!I129</f>
        <v/>
      </c>
      <c r="C477" s="141" t="str">
        <f>Start.listina!J129</f>
        <v xml:space="preserve"> </v>
      </c>
      <c r="D477" s="17" t="str">
        <f>Start.listina!K129</f>
        <v xml:space="preserve"> </v>
      </c>
      <c r="E477" s="17" t="str">
        <f>Start.listina!L129</f>
        <v xml:space="preserve"> </v>
      </c>
      <c r="F477" s="17"/>
      <c r="G477" s="142" t="str">
        <f>IF(N(A477)&gt;0,VLOOKUP(A477,Body!$A$4:$F$259,5,0),"")</f>
        <v/>
      </c>
      <c r="H477" s="69" t="str">
        <f>IF(N(A477)&gt;0,VLOOKUP(A477,Body!$A$4:$F$259,6,0),"")</f>
        <v/>
      </c>
      <c r="I477" s="69" t="str">
        <f>IF(N(A477)&gt;0,VLOOKUP(A477,Body!$A$4:$F$259,2,0),"")</f>
        <v/>
      </c>
    </row>
    <row r="478" spans="1:9" ht="12" customHeight="1">
      <c r="A478" s="17"/>
      <c r="B478" s="17" t="str">
        <f>Start.listina!O129</f>
        <v/>
      </c>
      <c r="C478" s="141" t="str">
        <f>Start.listina!P129</f>
        <v xml:space="preserve"> </v>
      </c>
      <c r="D478" s="17" t="str">
        <f>Start.listina!Q129</f>
        <v xml:space="preserve"> </v>
      </c>
      <c r="E478" s="17" t="str">
        <f>Start.listina!R129</f>
        <v xml:space="preserve"> </v>
      </c>
      <c r="F478" s="17"/>
      <c r="G478" s="142"/>
      <c r="H478" s="69"/>
      <c r="I478" s="69"/>
    </row>
    <row r="479" spans="1:9" ht="12" customHeight="1">
      <c r="A479" s="17"/>
      <c r="B479" s="17" t="str">
        <f>Start.listina!U129</f>
        <v/>
      </c>
      <c r="C479" s="141" t="str">
        <f>Start.listina!V129</f>
        <v xml:space="preserve"> </v>
      </c>
      <c r="D479" s="17" t="str">
        <f>Start.listina!W129</f>
        <v xml:space="preserve"> </v>
      </c>
      <c r="E479" s="17" t="str">
        <f>Start.listina!X129</f>
        <v xml:space="preserve"> </v>
      </c>
      <c r="F479" s="17"/>
      <c r="G479" s="142"/>
      <c r="H479" s="69"/>
      <c r="I479" s="69"/>
    </row>
    <row r="480" spans="1:9" ht="12" customHeight="1">
      <c r="A480" s="17"/>
      <c r="B480" s="17" t="str">
        <f>Start.listina!AA129</f>
        <v/>
      </c>
      <c r="C480" s="141" t="str">
        <f>Start.listina!AB129</f>
        <v xml:space="preserve"> </v>
      </c>
      <c r="D480" s="17" t="str">
        <f>Start.listina!AC129</f>
        <v xml:space="preserve"> </v>
      </c>
      <c r="E480" s="17" t="str">
        <f>Start.listina!AD129</f>
        <v xml:space="preserve"> </v>
      </c>
      <c r="F480" s="17"/>
      <c r="G480" s="142"/>
      <c r="H480" s="69"/>
      <c r="I480" s="69"/>
    </row>
    <row r="481" spans="1:9" ht="12" customHeight="1">
      <c r="A481" s="17">
        <f>Start.listina!AH130</f>
        <v>0</v>
      </c>
      <c r="B481" s="17" t="str">
        <f>Start.listina!I130</f>
        <v/>
      </c>
      <c r="C481" s="141" t="str">
        <f>Start.listina!J130</f>
        <v xml:space="preserve"> </v>
      </c>
      <c r="D481" s="17" t="str">
        <f>Start.listina!K130</f>
        <v xml:space="preserve"> </v>
      </c>
      <c r="E481" s="17" t="str">
        <f>Start.listina!L130</f>
        <v xml:space="preserve"> </v>
      </c>
      <c r="F481" s="17"/>
      <c r="G481" s="142" t="str">
        <f>IF(N(A481)&gt;0,VLOOKUP(A481,Body!$A$4:$F$259,5,0),"")</f>
        <v/>
      </c>
      <c r="H481" s="69" t="str">
        <f>IF(N(A481)&gt;0,VLOOKUP(A481,Body!$A$4:$F$259,6,0),"")</f>
        <v/>
      </c>
      <c r="I481" s="69" t="str">
        <f>IF(N(A481)&gt;0,VLOOKUP(A481,Body!$A$4:$F$259,2,0),"")</f>
        <v/>
      </c>
    </row>
    <row r="482" spans="1:9" ht="12" customHeight="1">
      <c r="A482" s="17"/>
      <c r="B482" s="17" t="str">
        <f>Start.listina!O130</f>
        <v/>
      </c>
      <c r="C482" s="141" t="str">
        <f>Start.listina!P130</f>
        <v xml:space="preserve"> </v>
      </c>
      <c r="D482" s="17" t="str">
        <f>Start.listina!Q130</f>
        <v xml:space="preserve"> </v>
      </c>
      <c r="E482" s="17" t="str">
        <f>Start.listina!R130</f>
        <v xml:space="preserve"> </v>
      </c>
      <c r="F482" s="17"/>
      <c r="G482" s="142"/>
      <c r="H482" s="69"/>
      <c r="I482" s="69"/>
    </row>
    <row r="483" spans="1:9" ht="12" customHeight="1">
      <c r="A483" s="17"/>
      <c r="B483" s="17" t="str">
        <f>Start.listina!U130</f>
        <v/>
      </c>
      <c r="C483" s="141" t="str">
        <f>Start.listina!V130</f>
        <v xml:space="preserve"> </v>
      </c>
      <c r="D483" s="17" t="str">
        <f>Start.listina!W130</f>
        <v xml:space="preserve"> </v>
      </c>
      <c r="E483" s="17" t="str">
        <f>Start.listina!X130</f>
        <v xml:space="preserve"> </v>
      </c>
      <c r="F483" s="17"/>
      <c r="G483" s="142"/>
      <c r="H483" s="69"/>
      <c r="I483" s="69"/>
    </row>
    <row r="484" spans="1:9" ht="12" customHeight="1">
      <c r="A484" s="17"/>
      <c r="B484" s="17" t="str">
        <f>Start.listina!AA130</f>
        <v/>
      </c>
      <c r="C484" s="141" t="str">
        <f>Start.listina!AB130</f>
        <v xml:space="preserve"> </v>
      </c>
      <c r="D484" s="17" t="str">
        <f>Start.listina!AC130</f>
        <v xml:space="preserve"> </v>
      </c>
      <c r="E484" s="17" t="str">
        <f>Start.listina!AD130</f>
        <v xml:space="preserve"> </v>
      </c>
      <c r="F484" s="17"/>
      <c r="G484" s="142"/>
      <c r="H484" s="69"/>
      <c r="I484" s="69"/>
    </row>
    <row r="485" spans="1:9" ht="12" customHeight="1">
      <c r="A485" s="17">
        <f>Start.listina!AH131</f>
        <v>0</v>
      </c>
      <c r="B485" s="17" t="str">
        <f>Start.listina!I131</f>
        <v/>
      </c>
      <c r="C485" s="141" t="str">
        <f>Start.listina!J131</f>
        <v xml:space="preserve"> </v>
      </c>
      <c r="D485" s="17" t="str">
        <f>Start.listina!K131</f>
        <v xml:space="preserve"> </v>
      </c>
      <c r="E485" s="17" t="str">
        <f>Start.listina!L131</f>
        <v xml:space="preserve"> </v>
      </c>
      <c r="F485" s="17"/>
      <c r="G485" s="142" t="str">
        <f>IF(N(A485)&gt;0,VLOOKUP(A485,Body!$A$4:$F$259,5,0),"")</f>
        <v/>
      </c>
      <c r="H485" s="69" t="str">
        <f>IF(N(A485)&gt;0,VLOOKUP(A485,Body!$A$4:$F$259,6,0),"")</f>
        <v/>
      </c>
      <c r="I485" s="69" t="str">
        <f>IF(N(A485)&gt;0,VLOOKUP(A485,Body!$A$4:$F$259,2,0),"")</f>
        <v/>
      </c>
    </row>
    <row r="486" spans="1:9" ht="12" customHeight="1">
      <c r="A486" s="17"/>
      <c r="B486" s="17" t="str">
        <f>Start.listina!O131</f>
        <v/>
      </c>
      <c r="C486" s="141" t="str">
        <f>Start.listina!P131</f>
        <v xml:space="preserve"> </v>
      </c>
      <c r="D486" s="17" t="str">
        <f>Start.listina!Q131</f>
        <v xml:space="preserve"> </v>
      </c>
      <c r="E486" s="17" t="str">
        <f>Start.listina!R131</f>
        <v xml:space="preserve"> </v>
      </c>
      <c r="F486" s="17"/>
      <c r="G486" s="142"/>
      <c r="H486" s="69"/>
      <c r="I486" s="69"/>
    </row>
    <row r="487" spans="1:9" ht="12" customHeight="1">
      <c r="A487" s="17"/>
      <c r="B487" s="17" t="str">
        <f>Start.listina!U131</f>
        <v/>
      </c>
      <c r="C487" s="141" t="str">
        <f>Start.listina!V131</f>
        <v xml:space="preserve"> </v>
      </c>
      <c r="D487" s="17" t="str">
        <f>Start.listina!W131</f>
        <v xml:space="preserve"> </v>
      </c>
      <c r="E487" s="17" t="str">
        <f>Start.listina!X131</f>
        <v xml:space="preserve"> </v>
      </c>
      <c r="F487" s="17"/>
      <c r="G487" s="142"/>
      <c r="H487" s="69"/>
      <c r="I487" s="69"/>
    </row>
    <row r="488" spans="1:9" ht="12" customHeight="1">
      <c r="A488" s="17"/>
      <c r="B488" s="17" t="str">
        <f>Start.listina!AA131</f>
        <v/>
      </c>
      <c r="C488" s="141" t="str">
        <f>Start.listina!AB131</f>
        <v xml:space="preserve"> </v>
      </c>
      <c r="D488" s="17" t="str">
        <f>Start.listina!AC131</f>
        <v xml:space="preserve"> </v>
      </c>
      <c r="E488" s="17" t="str">
        <f>Start.listina!AD131</f>
        <v xml:space="preserve"> </v>
      </c>
      <c r="F488" s="17"/>
      <c r="G488" s="142"/>
      <c r="H488" s="69"/>
      <c r="I488" s="69"/>
    </row>
    <row r="489" spans="1:9" ht="12" customHeight="1">
      <c r="A489" s="17">
        <f>Start.listina!AH132</f>
        <v>0</v>
      </c>
      <c r="B489" s="17" t="str">
        <f>Start.listina!I132</f>
        <v/>
      </c>
      <c r="C489" s="141" t="str">
        <f>Start.listina!J132</f>
        <v xml:space="preserve"> </v>
      </c>
      <c r="D489" s="17" t="str">
        <f>Start.listina!K132</f>
        <v xml:space="preserve"> </v>
      </c>
      <c r="E489" s="17" t="str">
        <f>Start.listina!L132</f>
        <v xml:space="preserve"> </v>
      </c>
      <c r="F489" s="17"/>
      <c r="G489" s="142" t="str">
        <f>IF(N(A489)&gt;0,VLOOKUP(A489,Body!$A$4:$F$259,5,0),"")</f>
        <v/>
      </c>
      <c r="H489" s="69" t="str">
        <f>IF(N(A489)&gt;0,VLOOKUP(A489,Body!$A$4:$F$259,6,0),"")</f>
        <v/>
      </c>
      <c r="I489" s="69" t="str">
        <f>IF(N(A489)&gt;0,VLOOKUP(A489,Body!$A$4:$F$259,2,0),"")</f>
        <v/>
      </c>
    </row>
    <row r="490" spans="1:9" ht="12" customHeight="1">
      <c r="A490" s="17"/>
      <c r="B490" s="17" t="str">
        <f>Start.listina!O132</f>
        <v/>
      </c>
      <c r="C490" s="141" t="str">
        <f>Start.listina!P132</f>
        <v xml:space="preserve"> </v>
      </c>
      <c r="D490" s="17" t="str">
        <f>Start.listina!Q132</f>
        <v xml:space="preserve"> </v>
      </c>
      <c r="E490" s="17" t="str">
        <f>Start.listina!R132</f>
        <v xml:space="preserve"> </v>
      </c>
      <c r="F490" s="17"/>
      <c r="G490" s="142"/>
      <c r="H490" s="69"/>
      <c r="I490" s="69"/>
    </row>
    <row r="491" spans="1:9" ht="12" customHeight="1">
      <c r="A491" s="17"/>
      <c r="B491" s="17" t="str">
        <f>Start.listina!U132</f>
        <v/>
      </c>
      <c r="C491" s="141" t="str">
        <f>Start.listina!V132</f>
        <v xml:space="preserve"> </v>
      </c>
      <c r="D491" s="17" t="str">
        <f>Start.listina!W132</f>
        <v xml:space="preserve"> </v>
      </c>
      <c r="E491" s="17" t="str">
        <f>Start.listina!X132</f>
        <v xml:space="preserve"> </v>
      </c>
      <c r="F491" s="17"/>
      <c r="G491" s="142"/>
      <c r="H491" s="69"/>
      <c r="I491" s="69"/>
    </row>
    <row r="492" spans="1:9" ht="12" customHeight="1">
      <c r="A492" s="17"/>
      <c r="B492" s="17" t="str">
        <f>Start.listina!AA132</f>
        <v/>
      </c>
      <c r="C492" s="141" t="str">
        <f>Start.listina!AB132</f>
        <v xml:space="preserve"> </v>
      </c>
      <c r="D492" s="17" t="str">
        <f>Start.listina!AC132</f>
        <v xml:space="preserve"> </v>
      </c>
      <c r="E492" s="17" t="str">
        <f>Start.listina!AD132</f>
        <v xml:space="preserve"> </v>
      </c>
      <c r="F492" s="17"/>
      <c r="G492" s="142"/>
      <c r="H492" s="69"/>
      <c r="I492" s="69"/>
    </row>
    <row r="493" spans="1:9" ht="12" customHeight="1">
      <c r="A493" s="17">
        <f>Start.listina!AH133</f>
        <v>0</v>
      </c>
      <c r="B493" s="17" t="str">
        <f>Start.listina!I133</f>
        <v/>
      </c>
      <c r="C493" s="141" t="str">
        <f>Start.listina!J133</f>
        <v xml:space="preserve"> </v>
      </c>
      <c r="D493" s="17" t="str">
        <f>Start.listina!K133</f>
        <v xml:space="preserve"> </v>
      </c>
      <c r="E493" s="17" t="str">
        <f>Start.listina!L133</f>
        <v xml:space="preserve"> </v>
      </c>
      <c r="F493" s="17"/>
      <c r="G493" s="142" t="str">
        <f>IF(N(A493)&gt;0,VLOOKUP(A493,Body!$A$4:$F$259,5,0),"")</f>
        <v/>
      </c>
      <c r="H493" s="69" t="str">
        <f>IF(N(A493)&gt;0,VLOOKUP(A493,Body!$A$4:$F$259,6,0),"")</f>
        <v/>
      </c>
      <c r="I493" s="69" t="str">
        <f>IF(N(A493)&gt;0,VLOOKUP(A493,Body!$A$4:$F$259,2,0),"")</f>
        <v/>
      </c>
    </row>
    <row r="494" spans="1:9" ht="12" customHeight="1">
      <c r="A494" s="17"/>
      <c r="B494" s="17" t="str">
        <f>Start.listina!O133</f>
        <v/>
      </c>
      <c r="C494" s="141" t="str">
        <f>Start.listina!P133</f>
        <v xml:space="preserve"> </v>
      </c>
      <c r="D494" s="17" t="str">
        <f>Start.listina!Q133</f>
        <v xml:space="preserve"> </v>
      </c>
      <c r="E494" s="17" t="str">
        <f>Start.listina!R133</f>
        <v xml:space="preserve"> </v>
      </c>
      <c r="F494" s="17"/>
      <c r="G494" s="142"/>
      <c r="H494" s="69"/>
      <c r="I494" s="69"/>
    </row>
    <row r="495" spans="1:9" ht="12" customHeight="1">
      <c r="A495" s="17"/>
      <c r="B495" s="17" t="str">
        <f>Start.listina!U133</f>
        <v/>
      </c>
      <c r="C495" s="141" t="str">
        <f>Start.listina!V133</f>
        <v xml:space="preserve"> </v>
      </c>
      <c r="D495" s="17" t="str">
        <f>Start.listina!W133</f>
        <v xml:space="preserve"> </v>
      </c>
      <c r="E495" s="17" t="str">
        <f>Start.listina!X133</f>
        <v xml:space="preserve"> </v>
      </c>
      <c r="F495" s="17"/>
      <c r="G495" s="142"/>
      <c r="H495" s="69"/>
      <c r="I495" s="69"/>
    </row>
    <row r="496" spans="1:9" ht="12" customHeight="1">
      <c r="A496" s="17"/>
      <c r="B496" s="17" t="str">
        <f>Start.listina!AA133</f>
        <v/>
      </c>
      <c r="C496" s="141" t="str">
        <f>Start.listina!AB133</f>
        <v xml:space="preserve"> </v>
      </c>
      <c r="D496" s="17" t="str">
        <f>Start.listina!AC133</f>
        <v xml:space="preserve"> </v>
      </c>
      <c r="E496" s="17" t="str">
        <f>Start.listina!AD133</f>
        <v xml:space="preserve"> </v>
      </c>
      <c r="F496" s="17"/>
      <c r="G496" s="142"/>
      <c r="H496" s="69"/>
      <c r="I496" s="69"/>
    </row>
    <row r="497" spans="1:9" ht="12" customHeight="1">
      <c r="A497" s="17">
        <f>Start.listina!AH134</f>
        <v>0</v>
      </c>
      <c r="B497" s="17" t="str">
        <f>Start.listina!I134</f>
        <v/>
      </c>
      <c r="C497" s="141" t="str">
        <f>Start.listina!J134</f>
        <v xml:space="preserve"> </v>
      </c>
      <c r="D497" s="17" t="str">
        <f>Start.listina!K134</f>
        <v xml:space="preserve"> </v>
      </c>
      <c r="E497" s="17" t="str">
        <f>Start.listina!L134</f>
        <v xml:space="preserve"> </v>
      </c>
      <c r="F497" s="17"/>
      <c r="G497" s="142" t="str">
        <f>IF(N(A497)&gt;0,VLOOKUP(A497,Body!$A$4:$F$259,5,0),"")</f>
        <v/>
      </c>
      <c r="H497" s="69" t="str">
        <f>IF(N(A497)&gt;0,VLOOKUP(A497,Body!$A$4:$F$259,6,0),"")</f>
        <v/>
      </c>
      <c r="I497" s="69" t="str">
        <f>IF(N(A497)&gt;0,VLOOKUP(A497,Body!$A$4:$F$259,2,0),"")</f>
        <v/>
      </c>
    </row>
    <row r="498" spans="1:9" ht="12" customHeight="1">
      <c r="A498" s="17"/>
      <c r="B498" s="17" t="str">
        <f>Start.listina!O134</f>
        <v/>
      </c>
      <c r="C498" s="141" t="str">
        <f>Start.listina!P134</f>
        <v xml:space="preserve"> </v>
      </c>
      <c r="D498" s="17" t="str">
        <f>Start.listina!Q134</f>
        <v xml:space="preserve"> </v>
      </c>
      <c r="E498" s="17" t="str">
        <f>Start.listina!R134</f>
        <v xml:space="preserve"> </v>
      </c>
      <c r="F498" s="17"/>
      <c r="G498" s="142"/>
      <c r="H498" s="69"/>
      <c r="I498" s="69"/>
    </row>
    <row r="499" spans="1:9" ht="12" customHeight="1">
      <c r="A499" s="17"/>
      <c r="B499" s="17" t="str">
        <f>Start.listina!U134</f>
        <v/>
      </c>
      <c r="C499" s="141" t="str">
        <f>Start.listina!V134</f>
        <v xml:space="preserve"> </v>
      </c>
      <c r="D499" s="17" t="str">
        <f>Start.listina!W134</f>
        <v xml:space="preserve"> </v>
      </c>
      <c r="E499" s="17" t="str">
        <f>Start.listina!X134</f>
        <v xml:space="preserve"> </v>
      </c>
      <c r="F499" s="17"/>
      <c r="G499" s="142"/>
      <c r="H499" s="69"/>
      <c r="I499" s="69"/>
    </row>
    <row r="500" spans="1:9" ht="12" customHeight="1">
      <c r="A500" s="17"/>
      <c r="B500" s="17" t="str">
        <f>Start.listina!AA134</f>
        <v/>
      </c>
      <c r="C500" s="141" t="str">
        <f>Start.listina!AB134</f>
        <v xml:space="preserve"> </v>
      </c>
      <c r="D500" s="17" t="str">
        <f>Start.listina!AC134</f>
        <v xml:space="preserve"> </v>
      </c>
      <c r="E500" s="17" t="str">
        <f>Start.listina!AD134</f>
        <v xml:space="preserve"> </v>
      </c>
      <c r="F500" s="17"/>
      <c r="G500" s="142"/>
      <c r="H500" s="69"/>
      <c r="I500" s="69"/>
    </row>
    <row r="501" spans="1:9" ht="12" customHeight="1">
      <c r="A501" s="17">
        <f>Start.listina!AH135</f>
        <v>0</v>
      </c>
      <c r="B501" s="17" t="str">
        <f>Start.listina!I135</f>
        <v/>
      </c>
      <c r="C501" s="141" t="str">
        <f>Start.listina!J135</f>
        <v xml:space="preserve"> </v>
      </c>
      <c r="D501" s="17" t="str">
        <f>Start.listina!K135</f>
        <v xml:space="preserve"> </v>
      </c>
      <c r="E501" s="17" t="str">
        <f>Start.listina!L135</f>
        <v xml:space="preserve"> </v>
      </c>
      <c r="F501" s="17"/>
      <c r="G501" s="142" t="str">
        <f>IF(N(A501)&gt;0,VLOOKUP(A501,Body!$A$4:$F$259,5,0),"")</f>
        <v/>
      </c>
      <c r="H501" s="69" t="str">
        <f>IF(N(A501)&gt;0,VLOOKUP(A501,Body!$A$4:$F$259,6,0),"")</f>
        <v/>
      </c>
      <c r="I501" s="69" t="str">
        <f>IF(N(A501)&gt;0,VLOOKUP(A501,Body!$A$4:$F$259,2,0),"")</f>
        <v/>
      </c>
    </row>
    <row r="502" spans="1:9" ht="12" customHeight="1">
      <c r="A502" s="17"/>
      <c r="B502" s="17" t="str">
        <f>Start.listina!O135</f>
        <v/>
      </c>
      <c r="C502" s="141" t="str">
        <f>Start.listina!P135</f>
        <v xml:space="preserve"> </v>
      </c>
      <c r="D502" s="17" t="str">
        <f>Start.listina!Q135</f>
        <v xml:space="preserve"> </v>
      </c>
      <c r="E502" s="17" t="str">
        <f>Start.listina!R135</f>
        <v xml:space="preserve"> </v>
      </c>
      <c r="F502" s="17"/>
      <c r="G502" s="142"/>
      <c r="H502" s="69"/>
      <c r="I502" s="69"/>
    </row>
    <row r="503" spans="1:9" ht="12" customHeight="1">
      <c r="A503" s="17"/>
      <c r="B503" s="17" t="str">
        <f>Start.listina!U135</f>
        <v/>
      </c>
      <c r="C503" s="141" t="str">
        <f>Start.listina!V135</f>
        <v xml:space="preserve"> </v>
      </c>
      <c r="D503" s="17" t="str">
        <f>Start.listina!W135</f>
        <v xml:space="preserve"> </v>
      </c>
      <c r="E503" s="17" t="str">
        <f>Start.listina!X135</f>
        <v xml:space="preserve"> </v>
      </c>
      <c r="F503" s="17"/>
      <c r="G503" s="142"/>
      <c r="H503" s="69"/>
      <c r="I503" s="69"/>
    </row>
    <row r="504" spans="1:9" ht="12" customHeight="1">
      <c r="A504" s="17"/>
      <c r="B504" s="17" t="str">
        <f>Start.listina!AA135</f>
        <v/>
      </c>
      <c r="C504" s="141" t="str">
        <f>Start.listina!AB135</f>
        <v xml:space="preserve"> </v>
      </c>
      <c r="D504" s="17" t="str">
        <f>Start.listina!AC135</f>
        <v xml:space="preserve"> </v>
      </c>
      <c r="E504" s="17" t="str">
        <f>Start.listina!AD135</f>
        <v xml:space="preserve"> </v>
      </c>
      <c r="F504" s="17"/>
      <c r="G504" s="142"/>
      <c r="H504" s="69"/>
      <c r="I504" s="69"/>
    </row>
    <row r="505" spans="1:9" ht="12" customHeight="1">
      <c r="A505" s="17">
        <f>Start.listina!AH136</f>
        <v>0</v>
      </c>
      <c r="B505" s="17" t="str">
        <f>Start.listina!I136</f>
        <v/>
      </c>
      <c r="C505" s="141" t="str">
        <f>Start.listina!J136</f>
        <v xml:space="preserve"> </v>
      </c>
      <c r="D505" s="17" t="str">
        <f>Start.listina!K136</f>
        <v xml:space="preserve"> </v>
      </c>
      <c r="E505" s="17" t="str">
        <f>Start.listina!L136</f>
        <v xml:space="preserve"> </v>
      </c>
      <c r="F505" s="17"/>
      <c r="G505" s="142" t="str">
        <f>IF(N(A505)&gt;0,VLOOKUP(A505,Body!$A$4:$F$259,5,0),"")</f>
        <v/>
      </c>
      <c r="H505" s="69" t="str">
        <f>IF(N(A505)&gt;0,VLOOKUP(A505,Body!$A$4:$F$259,6,0),"")</f>
        <v/>
      </c>
      <c r="I505" s="69" t="str">
        <f>IF(N(A505)&gt;0,VLOOKUP(A505,Body!$A$4:$F$259,2,0),"")</f>
        <v/>
      </c>
    </row>
    <row r="506" spans="1:9" ht="12" customHeight="1">
      <c r="A506" s="17"/>
      <c r="B506" s="17" t="str">
        <f>Start.listina!O136</f>
        <v/>
      </c>
      <c r="C506" s="141" t="str">
        <f>Start.listina!P136</f>
        <v xml:space="preserve"> </v>
      </c>
      <c r="D506" s="17" t="str">
        <f>Start.listina!Q136</f>
        <v xml:space="preserve"> </v>
      </c>
      <c r="E506" s="17" t="str">
        <f>Start.listina!R136</f>
        <v xml:space="preserve"> </v>
      </c>
      <c r="F506" s="17"/>
      <c r="G506" s="142"/>
      <c r="H506" s="69"/>
      <c r="I506" s="69"/>
    </row>
    <row r="507" spans="1:9" ht="12" customHeight="1">
      <c r="A507" s="17"/>
      <c r="B507" s="17" t="str">
        <f>Start.listina!U136</f>
        <v/>
      </c>
      <c r="C507" s="141" t="str">
        <f>Start.listina!V136</f>
        <v xml:space="preserve"> </v>
      </c>
      <c r="D507" s="17" t="str">
        <f>Start.listina!W136</f>
        <v xml:space="preserve"> </v>
      </c>
      <c r="E507" s="17" t="str">
        <f>Start.listina!X136</f>
        <v xml:space="preserve"> </v>
      </c>
      <c r="F507" s="17"/>
      <c r="G507" s="142"/>
      <c r="H507" s="69"/>
      <c r="I507" s="69"/>
    </row>
    <row r="508" spans="1:9" ht="12" customHeight="1">
      <c r="A508" s="17"/>
      <c r="B508" s="17" t="str">
        <f>Start.listina!AA136</f>
        <v/>
      </c>
      <c r="C508" s="141" t="str">
        <f>Start.listina!AB136</f>
        <v xml:space="preserve"> </v>
      </c>
      <c r="D508" s="17" t="str">
        <f>Start.listina!AC136</f>
        <v xml:space="preserve"> </v>
      </c>
      <c r="E508" s="17" t="str">
        <f>Start.listina!AD136</f>
        <v xml:space="preserve"> </v>
      </c>
      <c r="F508" s="17"/>
      <c r="G508" s="142"/>
      <c r="H508" s="69"/>
      <c r="I508" s="69"/>
    </row>
    <row r="509" spans="1:9" ht="12" customHeight="1">
      <c r="A509" s="17">
        <f>Start.listina!AH137</f>
        <v>0</v>
      </c>
      <c r="B509" s="17" t="str">
        <f>Start.listina!I137</f>
        <v/>
      </c>
      <c r="C509" s="141" t="str">
        <f>Start.listina!J137</f>
        <v xml:space="preserve"> </v>
      </c>
      <c r="D509" s="17" t="str">
        <f>Start.listina!K137</f>
        <v xml:space="preserve"> </v>
      </c>
      <c r="E509" s="17" t="str">
        <f>Start.listina!L137</f>
        <v xml:space="preserve"> </v>
      </c>
      <c r="F509" s="17"/>
      <c r="G509" s="142" t="str">
        <f>IF(N(A509)&gt;0,VLOOKUP(A509,Body!$A$4:$F$259,5,0),"")</f>
        <v/>
      </c>
      <c r="H509" s="69" t="str">
        <f>IF(N(A509)&gt;0,VLOOKUP(A509,Body!$A$4:$F$259,6,0),"")</f>
        <v/>
      </c>
      <c r="I509" s="69" t="str">
        <f>IF(N(A509)&gt;0,VLOOKUP(A509,Body!$A$4:$F$259,2,0),"")</f>
        <v/>
      </c>
    </row>
    <row r="510" spans="1:9" ht="12" customHeight="1">
      <c r="A510" s="17"/>
      <c r="B510" s="17" t="str">
        <f>Start.listina!O137</f>
        <v/>
      </c>
      <c r="C510" s="141" t="str">
        <f>Start.listina!P137</f>
        <v xml:space="preserve"> </v>
      </c>
      <c r="D510" s="17" t="str">
        <f>Start.listina!Q137</f>
        <v xml:space="preserve"> </v>
      </c>
      <c r="E510" s="17" t="str">
        <f>Start.listina!R137</f>
        <v xml:space="preserve"> </v>
      </c>
      <c r="F510" s="17"/>
      <c r="G510" s="142"/>
      <c r="H510" s="69"/>
      <c r="I510" s="69"/>
    </row>
    <row r="511" spans="1:9" ht="12" customHeight="1">
      <c r="A511" s="17"/>
      <c r="B511" s="17" t="str">
        <f>Start.listina!U137</f>
        <v/>
      </c>
      <c r="C511" s="141" t="str">
        <f>Start.listina!V137</f>
        <v xml:space="preserve"> </v>
      </c>
      <c r="D511" s="17" t="str">
        <f>Start.listina!W137</f>
        <v xml:space="preserve"> </v>
      </c>
      <c r="E511" s="17" t="str">
        <f>Start.listina!X137</f>
        <v xml:space="preserve"> </v>
      </c>
      <c r="F511" s="17"/>
      <c r="G511" s="142"/>
      <c r="H511" s="69"/>
      <c r="I511" s="69"/>
    </row>
    <row r="512" spans="1:9" ht="12" customHeight="1">
      <c r="A512" s="17"/>
      <c r="B512" s="17" t="str">
        <f>Start.listina!AA137</f>
        <v/>
      </c>
      <c r="C512" s="141" t="str">
        <f>Start.listina!AB137</f>
        <v xml:space="preserve"> </v>
      </c>
      <c r="D512" s="17" t="str">
        <f>Start.listina!AC137</f>
        <v xml:space="preserve"> </v>
      </c>
      <c r="E512" s="17" t="str">
        <f>Start.listina!AD137</f>
        <v xml:space="preserve"> </v>
      </c>
      <c r="F512" s="17"/>
      <c r="G512" s="142"/>
      <c r="H512" s="69"/>
      <c r="I512" s="69"/>
    </row>
    <row r="513" spans="1:9" ht="12" customHeight="1">
      <c r="A513" s="17">
        <f>Start.listina!AH138</f>
        <v>0</v>
      </c>
      <c r="B513" s="17" t="str">
        <f>Start.listina!I138</f>
        <v/>
      </c>
      <c r="C513" s="141" t="str">
        <f>Start.listina!J138</f>
        <v xml:space="preserve"> </v>
      </c>
      <c r="D513" s="17" t="str">
        <f>Start.listina!K138</f>
        <v xml:space="preserve"> </v>
      </c>
      <c r="E513" s="17" t="str">
        <f>Start.listina!L138</f>
        <v xml:space="preserve"> </v>
      </c>
      <c r="F513" s="17"/>
      <c r="G513" s="142" t="str">
        <f>IF(N(A513)&gt;0,VLOOKUP(A513,Body!$A$4:$F$259,5,0),"")</f>
        <v/>
      </c>
      <c r="H513" s="69" t="str">
        <f>IF(N(A513)&gt;0,VLOOKUP(A513,Body!$A$4:$F$259,6,0),"")</f>
        <v/>
      </c>
      <c r="I513" s="69" t="str">
        <f>IF(N(A513)&gt;0,VLOOKUP(A513,Body!$A$4:$F$259,2,0),"")</f>
        <v/>
      </c>
    </row>
    <row r="514" spans="1:9" ht="12" customHeight="1">
      <c r="A514" s="17"/>
      <c r="B514" s="17" t="str">
        <f>Start.listina!O138</f>
        <v/>
      </c>
      <c r="C514" s="141" t="str">
        <f>Start.listina!P138</f>
        <v xml:space="preserve"> </v>
      </c>
      <c r="D514" s="17" t="str">
        <f>Start.listina!Q138</f>
        <v xml:space="preserve"> </v>
      </c>
      <c r="E514" s="17" t="str">
        <f>Start.listina!R138</f>
        <v xml:space="preserve"> </v>
      </c>
      <c r="F514" s="17"/>
      <c r="G514" s="142"/>
      <c r="H514" s="69"/>
      <c r="I514" s="69"/>
    </row>
    <row r="515" spans="1:9" ht="12" customHeight="1">
      <c r="A515" s="17"/>
      <c r="B515" s="17" t="str">
        <f>Start.listina!U138</f>
        <v/>
      </c>
      <c r="C515" s="141" t="str">
        <f>Start.listina!V138</f>
        <v xml:space="preserve"> </v>
      </c>
      <c r="D515" s="17" t="str">
        <f>Start.listina!W138</f>
        <v xml:space="preserve"> </v>
      </c>
      <c r="E515" s="17" t="str">
        <f>Start.listina!X138</f>
        <v xml:space="preserve"> </v>
      </c>
      <c r="F515" s="17"/>
      <c r="G515" s="142"/>
      <c r="H515" s="69"/>
      <c r="I515" s="69"/>
    </row>
    <row r="516" spans="1:9" ht="12" customHeight="1">
      <c r="A516" s="17"/>
      <c r="B516" s="17" t="str">
        <f>Start.listina!AA138</f>
        <v/>
      </c>
      <c r="C516" s="141" t="str">
        <f>Start.listina!AB138</f>
        <v xml:space="preserve"> </v>
      </c>
      <c r="D516" s="17" t="str">
        <f>Start.listina!AC138</f>
        <v xml:space="preserve"> </v>
      </c>
      <c r="E516" s="17" t="str">
        <f>Start.listina!AD138</f>
        <v xml:space="preserve"> </v>
      </c>
      <c r="F516" s="17"/>
      <c r="G516" s="142"/>
      <c r="H516" s="69"/>
      <c r="I516" s="69"/>
    </row>
    <row r="517" spans="1:9" ht="12" customHeight="1">
      <c r="A517" s="17">
        <f>Start.listina!AH523</f>
        <v>0</v>
      </c>
      <c r="B517" s="17">
        <f>Start.listina!I523</f>
        <v>0</v>
      </c>
      <c r="C517" s="17">
        <f>Start.listina!J523</f>
        <v>0</v>
      </c>
      <c r="D517" s="17">
        <f>Start.listina!K523</f>
        <v>0</v>
      </c>
      <c r="E517" s="17">
        <f>Start.listina!L523</f>
        <v>0</v>
      </c>
      <c r="F517" s="17"/>
      <c r="G517" s="142" t="str">
        <f>IF(N(A517)&gt;0,VLOOKUP(A517,Body!$A$4:$F$259,5,0),"")</f>
        <v/>
      </c>
      <c r="H517" s="69" t="str">
        <f>IF(N(A517)&gt;0,VLOOKUP(A517,Body!$A$4:$F$259,6,0),"")</f>
        <v/>
      </c>
      <c r="I517" s="69" t="str">
        <f>IF(N(A517)&gt;0,VLOOKUP(A517,Body!$A$4:$F$259,2,0),"")</f>
        <v/>
      </c>
    </row>
    <row r="518" spans="1:9" ht="12" customHeight="1">
      <c r="A518" s="17"/>
      <c r="B518" s="17">
        <f>Start.listina!O523</f>
        <v>0</v>
      </c>
      <c r="C518" s="17">
        <f>Start.listina!P523</f>
        <v>0</v>
      </c>
      <c r="D518" s="17">
        <f>Start.listina!Q523</f>
        <v>0</v>
      </c>
      <c r="E518" s="17">
        <f>Start.listina!R523</f>
        <v>0</v>
      </c>
      <c r="F518" s="17"/>
      <c r="G518" s="142"/>
      <c r="H518" s="69"/>
      <c r="I518" s="69"/>
    </row>
    <row r="519" spans="1:9" ht="12" customHeight="1">
      <c r="A519" s="17"/>
      <c r="B519" s="17">
        <f>Start.listina!U523</f>
        <v>0</v>
      </c>
      <c r="C519" s="17">
        <f>Start.listina!V523</f>
        <v>0</v>
      </c>
      <c r="D519" s="17">
        <f>Start.listina!W523</f>
        <v>0</v>
      </c>
      <c r="E519" s="17">
        <f>Start.listina!X523</f>
        <v>0</v>
      </c>
      <c r="F519" s="17"/>
      <c r="G519" s="142"/>
      <c r="H519" s="69"/>
      <c r="I519" s="69"/>
    </row>
    <row r="520" spans="1:9" ht="12" customHeight="1">
      <c r="A520" s="17"/>
      <c r="B520" s="17">
        <f>Start.listina!AA523</f>
        <v>0</v>
      </c>
      <c r="C520" s="17">
        <f>Start.listina!AB523</f>
        <v>0</v>
      </c>
      <c r="D520" s="17">
        <f>Start.listina!AC523</f>
        <v>0</v>
      </c>
      <c r="E520" s="17">
        <f>Start.listina!AD523</f>
        <v>0</v>
      </c>
      <c r="F520" s="17"/>
      <c r="G520" s="142"/>
      <c r="H520" s="69"/>
      <c r="I520" s="69"/>
    </row>
    <row r="521" spans="1:9" ht="12" customHeight="1">
      <c r="A521" s="17">
        <f>Start.listina!AH524</f>
        <v>0</v>
      </c>
      <c r="B521" s="17">
        <f>Start.listina!I524</f>
        <v>0</v>
      </c>
      <c r="C521" s="17">
        <f>Start.listina!J524</f>
        <v>0</v>
      </c>
      <c r="D521" s="17">
        <f>Start.listina!K524</f>
        <v>0</v>
      </c>
      <c r="E521" s="17">
        <f>Start.listina!L524</f>
        <v>0</v>
      </c>
      <c r="F521" s="17"/>
      <c r="G521" s="142" t="str">
        <f>IF(N(A521)&gt;0,VLOOKUP(A521,Body!$A$4:$F$259,5,0),"")</f>
        <v/>
      </c>
      <c r="H521" s="69" t="str">
        <f>IF(N(A521)&gt;0,VLOOKUP(A521,Body!$A$4:$F$259,6,0),"")</f>
        <v/>
      </c>
      <c r="I521" s="69" t="str">
        <f>IF(N(A521)&gt;0,VLOOKUP(A521,Body!$A$4:$F$259,2,0),"")</f>
        <v/>
      </c>
    </row>
    <row r="522" spans="1:9" ht="12" customHeight="1">
      <c r="A522" s="17"/>
      <c r="B522" s="17">
        <f>Start.listina!O524</f>
        <v>0</v>
      </c>
      <c r="C522" s="17">
        <f>Start.listina!P524</f>
        <v>0</v>
      </c>
      <c r="D522" s="17">
        <f>Start.listina!Q524</f>
        <v>0</v>
      </c>
      <c r="E522" s="17">
        <f>Start.listina!R524</f>
        <v>0</v>
      </c>
      <c r="F522" s="17"/>
      <c r="G522" s="142"/>
      <c r="H522" s="69"/>
      <c r="I522" s="69"/>
    </row>
    <row r="523" spans="1:9" ht="12" customHeight="1">
      <c r="A523" s="17"/>
      <c r="B523" s="17">
        <f>Start.listina!U524</f>
        <v>0</v>
      </c>
      <c r="C523" s="17">
        <f>Start.listina!V524</f>
        <v>0</v>
      </c>
      <c r="D523" s="17">
        <f>Start.listina!W524</f>
        <v>0</v>
      </c>
      <c r="E523" s="17">
        <f>Start.listina!X524</f>
        <v>0</v>
      </c>
      <c r="F523" s="17"/>
      <c r="G523" s="142"/>
      <c r="H523" s="69"/>
      <c r="I523" s="69"/>
    </row>
    <row r="524" spans="1:9" ht="12" customHeight="1">
      <c r="A524" s="17"/>
      <c r="B524" s="17">
        <f>Start.listina!AA524</f>
        <v>0</v>
      </c>
      <c r="C524" s="17">
        <f>Start.listina!AB524</f>
        <v>0</v>
      </c>
      <c r="D524" s="17">
        <f>Start.listina!AC524</f>
        <v>0</v>
      </c>
      <c r="E524" s="17">
        <f>Start.listina!AD524</f>
        <v>0</v>
      </c>
      <c r="F524" s="17"/>
      <c r="G524" s="142"/>
      <c r="H524" s="69"/>
      <c r="I524" s="69"/>
    </row>
    <row r="525" spans="1:9" ht="12" customHeight="1">
      <c r="A525" s="17">
        <f>Start.listina!AH525</f>
        <v>0</v>
      </c>
      <c r="B525" s="17">
        <f>Start.listina!I525</f>
        <v>0</v>
      </c>
      <c r="C525" s="17">
        <f>Start.listina!J525</f>
        <v>0</v>
      </c>
      <c r="D525" s="17">
        <f>Start.listina!K525</f>
        <v>0</v>
      </c>
      <c r="E525" s="17">
        <f>Start.listina!L525</f>
        <v>0</v>
      </c>
      <c r="F525" s="17"/>
      <c r="G525" s="142" t="str">
        <f>IF(N(A525)&gt;0,VLOOKUP(A525,Body!$A$4:$F$259,5,0),"")</f>
        <v/>
      </c>
      <c r="H525" s="69" t="str">
        <f>IF(N(A525)&gt;0,VLOOKUP(A525,Body!$A$4:$F$259,6,0),"")</f>
        <v/>
      </c>
      <c r="I525" s="69" t="str">
        <f>IF(N(A525)&gt;0,VLOOKUP(A525,Body!$A$4:$F$259,2,0),"")</f>
        <v/>
      </c>
    </row>
    <row r="526" spans="1:9" ht="12" customHeight="1">
      <c r="A526" s="17"/>
      <c r="B526" s="17">
        <f>Start.listina!O525</f>
        <v>0</v>
      </c>
      <c r="C526" s="17">
        <f>Start.listina!P525</f>
        <v>0</v>
      </c>
      <c r="D526" s="17">
        <f>Start.listina!Q525</f>
        <v>0</v>
      </c>
      <c r="E526" s="17">
        <f>Start.listina!R525</f>
        <v>0</v>
      </c>
      <c r="F526" s="17"/>
      <c r="G526" s="142"/>
      <c r="H526" s="69"/>
      <c r="I526" s="69"/>
    </row>
    <row r="527" spans="1:9" ht="12" customHeight="1">
      <c r="A527" s="17"/>
      <c r="B527" s="17">
        <f>Start.listina!U525</f>
        <v>0</v>
      </c>
      <c r="C527" s="17">
        <f>Start.listina!V525</f>
        <v>0</v>
      </c>
      <c r="D527" s="17">
        <f>Start.listina!W525</f>
        <v>0</v>
      </c>
      <c r="E527" s="17">
        <f>Start.listina!X525</f>
        <v>0</v>
      </c>
      <c r="F527" s="17"/>
      <c r="G527" s="142"/>
      <c r="H527" s="69"/>
      <c r="I527" s="69"/>
    </row>
    <row r="528" spans="1:9" ht="12" customHeight="1">
      <c r="A528" s="17"/>
      <c r="B528" s="17">
        <f>Start.listina!AA525</f>
        <v>0</v>
      </c>
      <c r="C528" s="17">
        <f>Start.listina!AB525</f>
        <v>0</v>
      </c>
      <c r="D528" s="17">
        <f>Start.listina!AC525</f>
        <v>0</v>
      </c>
      <c r="E528" s="17">
        <f>Start.listina!AD525</f>
        <v>0</v>
      </c>
      <c r="F528" s="17"/>
      <c r="G528" s="142"/>
      <c r="H528" s="69"/>
      <c r="I528" s="69"/>
    </row>
    <row r="529" spans="1:9" ht="12" customHeight="1">
      <c r="A529" s="17">
        <f>Start.listina!AH526</f>
        <v>0</v>
      </c>
      <c r="B529" s="17">
        <f>Start.listina!I526</f>
        <v>0</v>
      </c>
      <c r="C529" s="17">
        <f>Start.listina!J526</f>
        <v>0</v>
      </c>
      <c r="D529" s="17">
        <f>Start.listina!K526</f>
        <v>0</v>
      </c>
      <c r="E529" s="17">
        <f>Start.listina!L526</f>
        <v>0</v>
      </c>
      <c r="F529" s="17"/>
      <c r="G529" s="142" t="str">
        <f>IF(N(A529)&gt;0,VLOOKUP(A529,Body!$A$4:$F$259,5,0),"")</f>
        <v/>
      </c>
      <c r="H529" s="69" t="str">
        <f>IF(N(A529)&gt;0,VLOOKUP(A529,Body!$A$4:$F$259,6,0),"")</f>
        <v/>
      </c>
      <c r="I529" s="69" t="str">
        <f>IF(N(A529)&gt;0,VLOOKUP(A529,Body!$A$4:$F$259,2,0),"")</f>
        <v/>
      </c>
    </row>
    <row r="530" spans="1:9" ht="12" customHeight="1">
      <c r="A530" s="17"/>
      <c r="B530" s="17">
        <f>Start.listina!O526</f>
        <v>0</v>
      </c>
      <c r="C530" s="17">
        <f>Start.listina!P526</f>
        <v>0</v>
      </c>
      <c r="D530" s="17">
        <f>Start.listina!Q526</f>
        <v>0</v>
      </c>
      <c r="E530" s="17">
        <f>Start.listina!R526</f>
        <v>0</v>
      </c>
      <c r="F530" s="17"/>
      <c r="G530" s="142"/>
      <c r="H530" s="69"/>
      <c r="I530" s="69"/>
    </row>
    <row r="531" spans="1:9" ht="12" customHeight="1">
      <c r="A531" s="17"/>
      <c r="B531" s="17">
        <f>Start.listina!U526</f>
        <v>0</v>
      </c>
      <c r="C531" s="17">
        <f>Start.listina!V526</f>
        <v>0</v>
      </c>
      <c r="D531" s="17">
        <f>Start.listina!W526</f>
        <v>0</v>
      </c>
      <c r="E531" s="17">
        <f>Start.listina!X526</f>
        <v>0</v>
      </c>
      <c r="F531" s="17"/>
      <c r="G531" s="142"/>
      <c r="H531" s="69"/>
      <c r="I531" s="69"/>
    </row>
    <row r="532" spans="1:9" ht="12" customHeight="1">
      <c r="A532" s="17"/>
      <c r="B532" s="17">
        <f>Start.listina!AA526</f>
        <v>0</v>
      </c>
      <c r="C532" s="17">
        <f>Start.listina!AB526</f>
        <v>0</v>
      </c>
      <c r="D532" s="17">
        <f>Start.listina!AC526</f>
        <v>0</v>
      </c>
      <c r="E532" s="17">
        <f>Start.listina!AD526</f>
        <v>0</v>
      </c>
      <c r="F532" s="17"/>
      <c r="G532" s="142"/>
      <c r="H532" s="69"/>
      <c r="I532" s="69"/>
    </row>
    <row r="533" spans="1:9" ht="12" customHeight="1">
      <c r="A533" s="17">
        <f>Start.listina!AH527</f>
        <v>0</v>
      </c>
      <c r="B533" s="17">
        <f>Start.listina!I527</f>
        <v>0</v>
      </c>
      <c r="C533" s="17">
        <f>Start.listina!J527</f>
        <v>0</v>
      </c>
      <c r="D533" s="17">
        <f>Start.listina!K527</f>
        <v>0</v>
      </c>
      <c r="E533" s="17">
        <f>Start.listina!L527</f>
        <v>0</v>
      </c>
      <c r="F533" s="17"/>
      <c r="G533" s="142" t="str">
        <f>IF(N(A533)&gt;0,VLOOKUP(A533,Body!$A$4:$F$259,5,0),"")</f>
        <v/>
      </c>
      <c r="H533" s="69" t="str">
        <f>IF(N(A533)&gt;0,VLOOKUP(A533,Body!$A$4:$F$259,6,0),"")</f>
        <v/>
      </c>
      <c r="I533" s="69" t="str">
        <f>IF(N(A533)&gt;0,VLOOKUP(A533,Body!$A$4:$F$259,2,0),"")</f>
        <v/>
      </c>
    </row>
    <row r="534" spans="1:9" ht="12" customHeight="1">
      <c r="A534" s="17"/>
      <c r="B534" s="17">
        <f>Start.listina!O527</f>
        <v>0</v>
      </c>
      <c r="C534" s="17">
        <f>Start.listina!P527</f>
        <v>0</v>
      </c>
      <c r="D534" s="17">
        <f>Start.listina!Q527</f>
        <v>0</v>
      </c>
      <c r="E534" s="17">
        <f>Start.listina!R527</f>
        <v>0</v>
      </c>
      <c r="F534" s="17"/>
      <c r="G534" s="142"/>
      <c r="H534" s="69"/>
      <c r="I534" s="69"/>
    </row>
    <row r="535" spans="1:9" ht="12" customHeight="1">
      <c r="A535" s="17"/>
      <c r="B535" s="17">
        <f>Start.listina!U527</f>
        <v>0</v>
      </c>
      <c r="C535" s="17">
        <f>Start.listina!V527</f>
        <v>0</v>
      </c>
      <c r="D535" s="17">
        <f>Start.listina!W527</f>
        <v>0</v>
      </c>
      <c r="E535" s="17">
        <f>Start.listina!X527</f>
        <v>0</v>
      </c>
      <c r="F535" s="17"/>
      <c r="G535" s="142"/>
      <c r="H535" s="69"/>
      <c r="I535" s="69"/>
    </row>
    <row r="536" spans="1:9" ht="12" customHeight="1">
      <c r="A536" s="17"/>
      <c r="B536" s="17">
        <f>Start.listina!AA527</f>
        <v>0</v>
      </c>
      <c r="C536" s="17">
        <f>Start.listina!AB527</f>
        <v>0</v>
      </c>
      <c r="D536" s="17">
        <f>Start.listina!AC527</f>
        <v>0</v>
      </c>
      <c r="E536" s="17">
        <f>Start.listina!AD527</f>
        <v>0</v>
      </c>
      <c r="F536" s="17"/>
      <c r="G536" s="142"/>
      <c r="H536" s="69"/>
      <c r="I536" s="69"/>
    </row>
    <row r="537" spans="1:9" ht="12" customHeight="1">
      <c r="A537" s="17">
        <f>Start.listina!AH528</f>
        <v>0</v>
      </c>
      <c r="B537" s="17">
        <f>Start.listina!I528</f>
        <v>0</v>
      </c>
      <c r="C537" s="17">
        <f>Start.listina!J528</f>
        <v>0</v>
      </c>
      <c r="D537" s="17">
        <f>Start.listina!K528</f>
        <v>0</v>
      </c>
      <c r="E537" s="17">
        <f>Start.listina!L528</f>
        <v>0</v>
      </c>
      <c r="F537" s="17"/>
      <c r="G537" s="142" t="str">
        <f>IF(N(A537)&gt;0,VLOOKUP(A537,Body!$A$4:$F$259,5,0),"")</f>
        <v/>
      </c>
      <c r="H537" s="69" t="str">
        <f>IF(N(A537)&gt;0,VLOOKUP(A537,Body!$A$4:$F$259,6,0),"")</f>
        <v/>
      </c>
      <c r="I537" s="69" t="str">
        <f>IF(N(A537)&gt;0,VLOOKUP(A537,Body!$A$4:$F$259,2,0),"")</f>
        <v/>
      </c>
    </row>
    <row r="538" spans="1:9" ht="12" customHeight="1">
      <c r="A538" s="17"/>
      <c r="B538" s="17">
        <f>Start.listina!O528</f>
        <v>0</v>
      </c>
      <c r="C538" s="17">
        <f>Start.listina!P528</f>
        <v>0</v>
      </c>
      <c r="D538" s="17">
        <f>Start.listina!Q528</f>
        <v>0</v>
      </c>
      <c r="E538" s="17">
        <f>Start.listina!R528</f>
        <v>0</v>
      </c>
      <c r="F538" s="17"/>
      <c r="G538" s="142"/>
      <c r="H538" s="69"/>
      <c r="I538" s="69"/>
    </row>
    <row r="539" spans="1:9" ht="12" customHeight="1">
      <c r="A539" s="17"/>
      <c r="B539" s="17">
        <f>Start.listina!U528</f>
        <v>0</v>
      </c>
      <c r="C539" s="17">
        <f>Start.listina!V528</f>
        <v>0</v>
      </c>
      <c r="D539" s="17">
        <f>Start.listina!W528</f>
        <v>0</v>
      </c>
      <c r="E539" s="17">
        <f>Start.listina!X528</f>
        <v>0</v>
      </c>
      <c r="F539" s="17"/>
      <c r="G539" s="142"/>
      <c r="H539" s="69"/>
      <c r="I539" s="69"/>
    </row>
    <row r="540" spans="1:9" ht="12" customHeight="1">
      <c r="A540" s="17"/>
      <c r="B540" s="17">
        <f>Start.listina!AA528</f>
        <v>0</v>
      </c>
      <c r="C540" s="17">
        <f>Start.listina!AB528</f>
        <v>0</v>
      </c>
      <c r="D540" s="17">
        <f>Start.listina!AC528</f>
        <v>0</v>
      </c>
      <c r="E540" s="17">
        <f>Start.listina!AD528</f>
        <v>0</v>
      </c>
      <c r="F540" s="17"/>
      <c r="G540" s="142"/>
      <c r="H540" s="69"/>
      <c r="I540" s="69"/>
    </row>
    <row r="541" spans="1:9" ht="12" customHeight="1">
      <c r="A541" s="17">
        <f>Start.listina!AH529</f>
        <v>0</v>
      </c>
      <c r="B541" s="17">
        <f>Start.listina!I529</f>
        <v>0</v>
      </c>
      <c r="C541" s="17">
        <f>Start.listina!J529</f>
        <v>0</v>
      </c>
      <c r="D541" s="17">
        <f>Start.listina!K529</f>
        <v>0</v>
      </c>
      <c r="E541" s="17">
        <f>Start.listina!L529</f>
        <v>0</v>
      </c>
      <c r="F541" s="17"/>
      <c r="G541" s="142" t="str">
        <f>IF(N(A541)&gt;0,VLOOKUP(A541,Body!$A$4:$F$259,5,0),"")</f>
        <v/>
      </c>
      <c r="H541" s="69" t="str">
        <f>IF(N(A541)&gt;0,VLOOKUP(A541,Body!$A$4:$F$259,6,0),"")</f>
        <v/>
      </c>
      <c r="I541" s="69" t="str">
        <f>IF(N(A541)&gt;0,VLOOKUP(A541,Body!$A$4:$F$259,2,0),"")</f>
        <v/>
      </c>
    </row>
    <row r="542" spans="1:9" ht="12" customHeight="1">
      <c r="A542" s="17"/>
      <c r="B542" s="17">
        <f>Start.listina!O529</f>
        <v>0</v>
      </c>
      <c r="C542" s="17">
        <f>Start.listina!P529</f>
        <v>0</v>
      </c>
      <c r="D542" s="17">
        <f>Start.listina!Q529</f>
        <v>0</v>
      </c>
      <c r="E542" s="17">
        <f>Start.listina!R529</f>
        <v>0</v>
      </c>
      <c r="F542" s="17"/>
      <c r="G542" s="142"/>
      <c r="H542" s="69"/>
      <c r="I542" s="69"/>
    </row>
    <row r="543" spans="1:9" ht="12" customHeight="1">
      <c r="A543" s="17"/>
      <c r="B543" s="17">
        <f>Start.listina!U529</f>
        <v>0</v>
      </c>
      <c r="C543" s="17">
        <f>Start.listina!V529</f>
        <v>0</v>
      </c>
      <c r="D543" s="17">
        <f>Start.listina!W529</f>
        <v>0</v>
      </c>
      <c r="E543" s="17">
        <f>Start.listina!X529</f>
        <v>0</v>
      </c>
      <c r="F543" s="17"/>
      <c r="G543" s="142"/>
      <c r="H543" s="69"/>
      <c r="I543" s="69"/>
    </row>
    <row r="544" spans="1:9" ht="12" customHeight="1">
      <c r="A544" s="17"/>
      <c r="B544" s="17">
        <f>Start.listina!AA529</f>
        <v>0</v>
      </c>
      <c r="C544" s="17">
        <f>Start.listina!AB529</f>
        <v>0</v>
      </c>
      <c r="D544" s="17">
        <f>Start.listina!AC529</f>
        <v>0</v>
      </c>
      <c r="E544" s="17">
        <f>Start.listina!AD529</f>
        <v>0</v>
      </c>
      <c r="F544" s="17"/>
      <c r="G544" s="142"/>
      <c r="H544" s="69"/>
      <c r="I544" s="69"/>
    </row>
    <row r="545" spans="1:9" ht="12" customHeight="1">
      <c r="A545" s="17">
        <f>Start.listina!AH530</f>
        <v>0</v>
      </c>
      <c r="B545" s="17">
        <f>Start.listina!I530</f>
        <v>0</v>
      </c>
      <c r="C545" s="17">
        <f>Start.listina!J530</f>
        <v>0</v>
      </c>
      <c r="D545" s="17">
        <f>Start.listina!K530</f>
        <v>0</v>
      </c>
      <c r="E545" s="17">
        <f>Start.listina!L530</f>
        <v>0</v>
      </c>
      <c r="F545" s="17"/>
      <c r="G545" s="142" t="str">
        <f>IF(N(A545)&gt;0,VLOOKUP(A545,Body!$A$4:$F$259,5,0),"")</f>
        <v/>
      </c>
      <c r="H545" s="69" t="str">
        <f>IF(N(A545)&gt;0,VLOOKUP(A545,Body!$A$4:$F$259,6,0),"")</f>
        <v/>
      </c>
      <c r="I545" s="69" t="str">
        <f>IF(N(A545)&gt;0,VLOOKUP(A545,Body!$A$4:$F$259,2,0),"")</f>
        <v/>
      </c>
    </row>
    <row r="546" spans="1:9" ht="12" customHeight="1">
      <c r="A546" s="17"/>
      <c r="B546" s="17">
        <f>Start.listina!O530</f>
        <v>0</v>
      </c>
      <c r="C546" s="17">
        <f>Start.listina!P530</f>
        <v>0</v>
      </c>
      <c r="D546" s="17">
        <f>Start.listina!Q530</f>
        <v>0</v>
      </c>
      <c r="E546" s="17">
        <f>Start.listina!R530</f>
        <v>0</v>
      </c>
      <c r="F546" s="17"/>
      <c r="G546" s="142"/>
      <c r="H546" s="69"/>
      <c r="I546" s="69"/>
    </row>
    <row r="547" spans="1:9" ht="12" customHeight="1">
      <c r="A547" s="17"/>
      <c r="B547" s="17">
        <f>Start.listina!U530</f>
        <v>0</v>
      </c>
      <c r="C547" s="17">
        <f>Start.listina!V530</f>
        <v>0</v>
      </c>
      <c r="D547" s="17">
        <f>Start.listina!W530</f>
        <v>0</v>
      </c>
      <c r="E547" s="17">
        <f>Start.listina!X530</f>
        <v>0</v>
      </c>
      <c r="F547" s="17"/>
      <c r="G547" s="142"/>
      <c r="H547" s="69"/>
      <c r="I547" s="69"/>
    </row>
    <row r="548" spans="1:9" ht="12" customHeight="1">
      <c r="A548" s="17"/>
      <c r="B548" s="17">
        <f>Start.listina!AA530</f>
        <v>0</v>
      </c>
      <c r="C548" s="17">
        <f>Start.listina!AB530</f>
        <v>0</v>
      </c>
      <c r="D548" s="17">
        <f>Start.listina!AC530</f>
        <v>0</v>
      </c>
      <c r="E548" s="17">
        <f>Start.listina!AD530</f>
        <v>0</v>
      </c>
      <c r="F548" s="17"/>
      <c r="G548" s="142"/>
      <c r="H548" s="69"/>
      <c r="I548" s="69"/>
    </row>
    <row r="549" spans="1:9" ht="12" customHeight="1">
      <c r="A549" s="17">
        <f>Start.listina!AH531</f>
        <v>0</v>
      </c>
      <c r="B549" s="17">
        <f>Start.listina!I531</f>
        <v>0</v>
      </c>
      <c r="C549" s="17">
        <f>Start.listina!J531</f>
        <v>0</v>
      </c>
      <c r="D549" s="17">
        <f>Start.listina!K531</f>
        <v>0</v>
      </c>
      <c r="E549" s="17">
        <f>Start.listina!L531</f>
        <v>0</v>
      </c>
      <c r="F549" s="17"/>
      <c r="G549" s="142" t="str">
        <f>IF(N(A549)&gt;0,VLOOKUP(A549,Body!$A$4:$F$259,5,0),"")</f>
        <v/>
      </c>
      <c r="H549" s="69" t="str">
        <f>IF(N(A549)&gt;0,VLOOKUP(A549,Body!$A$4:$F$259,6,0),"")</f>
        <v/>
      </c>
      <c r="I549" s="69" t="str">
        <f>IF(N(A549)&gt;0,VLOOKUP(A549,Body!$A$4:$F$259,2,0),"")</f>
        <v/>
      </c>
    </row>
    <row r="550" spans="1:9" ht="12" customHeight="1">
      <c r="A550" s="17"/>
      <c r="B550" s="17">
        <f>Start.listina!O531</f>
        <v>0</v>
      </c>
      <c r="C550" s="17">
        <f>Start.listina!P531</f>
        <v>0</v>
      </c>
      <c r="D550" s="17">
        <f>Start.listina!Q531</f>
        <v>0</v>
      </c>
      <c r="E550" s="17">
        <f>Start.listina!R531</f>
        <v>0</v>
      </c>
      <c r="F550" s="17"/>
      <c r="G550" s="142"/>
      <c r="H550" s="69"/>
      <c r="I550" s="69"/>
    </row>
    <row r="551" spans="1:9" ht="12" customHeight="1">
      <c r="A551" s="17"/>
      <c r="B551" s="17">
        <f>Start.listina!U531</f>
        <v>0</v>
      </c>
      <c r="C551" s="17">
        <f>Start.listina!V531</f>
        <v>0</v>
      </c>
      <c r="D551" s="17">
        <f>Start.listina!W531</f>
        <v>0</v>
      </c>
      <c r="E551" s="17">
        <f>Start.listina!X531</f>
        <v>0</v>
      </c>
      <c r="F551" s="17"/>
      <c r="G551" s="142"/>
      <c r="H551" s="69"/>
      <c r="I551" s="69"/>
    </row>
    <row r="552" spans="1:9" ht="12" customHeight="1">
      <c r="A552" s="17"/>
      <c r="B552" s="17">
        <f>Start.listina!AA531</f>
        <v>0</v>
      </c>
      <c r="C552" s="17">
        <f>Start.listina!AB531</f>
        <v>0</v>
      </c>
      <c r="D552" s="17">
        <f>Start.listina!AC531</f>
        <v>0</v>
      </c>
      <c r="E552" s="17">
        <f>Start.listina!AD531</f>
        <v>0</v>
      </c>
      <c r="F552" s="17"/>
      <c r="G552" s="142"/>
      <c r="H552" s="69"/>
      <c r="I552" s="69"/>
    </row>
    <row r="553" spans="1:9" ht="12" customHeight="1">
      <c r="A553" s="17">
        <f>Start.listina!AH532</f>
        <v>0</v>
      </c>
      <c r="B553" s="17">
        <f>Start.listina!I532</f>
        <v>0</v>
      </c>
      <c r="C553" s="17">
        <f>Start.listina!J532</f>
        <v>0</v>
      </c>
      <c r="D553" s="17">
        <f>Start.listina!K532</f>
        <v>0</v>
      </c>
      <c r="E553" s="17">
        <f>Start.listina!L532</f>
        <v>0</v>
      </c>
      <c r="F553" s="17"/>
      <c r="G553" s="142" t="str">
        <f>IF(N(A553)&gt;0,VLOOKUP(A553,Body!$A$4:$F$259,5,0),"")</f>
        <v/>
      </c>
      <c r="H553" s="69" t="str">
        <f>IF(N(A553)&gt;0,VLOOKUP(A553,Body!$A$4:$F$259,6,0),"")</f>
        <v/>
      </c>
      <c r="I553" s="69" t="str">
        <f>IF(N(A553)&gt;0,VLOOKUP(A553,Body!$A$4:$F$259,2,0),"")</f>
        <v/>
      </c>
    </row>
    <row r="554" spans="1:9" ht="12" customHeight="1">
      <c r="A554" s="17"/>
      <c r="B554" s="17">
        <f>Start.listina!O532</f>
        <v>0</v>
      </c>
      <c r="C554" s="17">
        <f>Start.listina!P532</f>
        <v>0</v>
      </c>
      <c r="D554" s="17">
        <f>Start.listina!Q532</f>
        <v>0</v>
      </c>
      <c r="E554" s="17">
        <f>Start.listina!R532</f>
        <v>0</v>
      </c>
      <c r="F554" s="17"/>
      <c r="G554" s="142"/>
      <c r="H554" s="69"/>
      <c r="I554" s="69"/>
    </row>
    <row r="555" spans="1:9" ht="12" customHeight="1">
      <c r="A555" s="17"/>
      <c r="B555" s="17">
        <f>Start.listina!U532</f>
        <v>0</v>
      </c>
      <c r="C555" s="17">
        <f>Start.listina!V532</f>
        <v>0</v>
      </c>
      <c r="D555" s="17">
        <f>Start.listina!W532</f>
        <v>0</v>
      </c>
      <c r="E555" s="17">
        <f>Start.listina!X532</f>
        <v>0</v>
      </c>
      <c r="F555" s="17"/>
      <c r="G555" s="142"/>
      <c r="H555" s="69"/>
      <c r="I555" s="69"/>
    </row>
    <row r="556" spans="1:9" ht="12" customHeight="1">
      <c r="A556" s="17"/>
      <c r="B556" s="17">
        <f>Start.listina!AA532</f>
        <v>0</v>
      </c>
      <c r="C556" s="17">
        <f>Start.listina!AB532</f>
        <v>0</v>
      </c>
      <c r="D556" s="17">
        <f>Start.listina!AC532</f>
        <v>0</v>
      </c>
      <c r="E556" s="17">
        <f>Start.listina!AD532</f>
        <v>0</v>
      </c>
      <c r="F556" s="17"/>
      <c r="G556" s="142"/>
      <c r="H556" s="69"/>
      <c r="I556" s="69"/>
    </row>
    <row r="557" spans="1:9" ht="12" customHeight="1">
      <c r="A557" s="17">
        <f>Start.listina!AH533</f>
        <v>0</v>
      </c>
      <c r="B557" s="17">
        <f>Start.listina!I533</f>
        <v>0</v>
      </c>
      <c r="C557" s="17">
        <f>Start.listina!J533</f>
        <v>0</v>
      </c>
      <c r="D557" s="17">
        <f>Start.listina!K533</f>
        <v>0</v>
      </c>
      <c r="E557" s="17">
        <f>Start.listina!L533</f>
        <v>0</v>
      </c>
      <c r="F557" s="17"/>
      <c r="G557" s="142" t="str">
        <f>IF(N(A557)&gt;0,VLOOKUP(A557,Body!$A$4:$F$259,5,0),"")</f>
        <v/>
      </c>
      <c r="H557" s="69" t="str">
        <f>IF(N(A557)&gt;0,VLOOKUP(A557,Body!$A$4:$F$259,6,0),"")</f>
        <v/>
      </c>
      <c r="I557" s="69" t="str">
        <f>IF(N(A557)&gt;0,VLOOKUP(A557,Body!$A$4:$F$259,2,0),"")</f>
        <v/>
      </c>
    </row>
    <row r="558" spans="1:9" ht="12" customHeight="1">
      <c r="A558" s="17"/>
      <c r="B558" s="17">
        <f>Start.listina!O533</f>
        <v>0</v>
      </c>
      <c r="C558" s="17">
        <f>Start.listina!P533</f>
        <v>0</v>
      </c>
      <c r="D558" s="17">
        <f>Start.listina!Q533</f>
        <v>0</v>
      </c>
      <c r="E558" s="17">
        <f>Start.listina!R533</f>
        <v>0</v>
      </c>
      <c r="F558" s="17"/>
      <c r="G558" s="142"/>
      <c r="H558" s="69"/>
      <c r="I558" s="69"/>
    </row>
    <row r="559" spans="1:9" ht="12" customHeight="1">
      <c r="A559" s="17"/>
      <c r="B559" s="17">
        <f>Start.listina!U533</f>
        <v>0</v>
      </c>
      <c r="C559" s="17">
        <f>Start.listina!V533</f>
        <v>0</v>
      </c>
      <c r="D559" s="17">
        <f>Start.listina!W533</f>
        <v>0</v>
      </c>
      <c r="E559" s="17">
        <f>Start.listina!X533</f>
        <v>0</v>
      </c>
      <c r="F559" s="17"/>
      <c r="G559" s="142"/>
      <c r="H559" s="69"/>
      <c r="I559" s="69"/>
    </row>
    <row r="560" spans="1:9" ht="12" customHeight="1">
      <c r="A560" s="17"/>
      <c r="B560" s="17">
        <f>Start.listina!AA533</f>
        <v>0</v>
      </c>
      <c r="C560" s="17">
        <f>Start.listina!AB533</f>
        <v>0</v>
      </c>
      <c r="D560" s="17">
        <f>Start.listina!AC533</f>
        <v>0</v>
      </c>
      <c r="E560" s="17">
        <f>Start.listina!AD533</f>
        <v>0</v>
      </c>
      <c r="F560" s="17"/>
      <c r="G560" s="142"/>
      <c r="H560" s="69"/>
      <c r="I560" s="69"/>
    </row>
    <row r="561" spans="1:9" ht="12" customHeight="1">
      <c r="A561" s="17">
        <f>Start.listina!AH534</f>
        <v>0</v>
      </c>
      <c r="B561" s="17">
        <f>Start.listina!I534</f>
        <v>0</v>
      </c>
      <c r="C561" s="17">
        <f>Start.listina!J534</f>
        <v>0</v>
      </c>
      <c r="D561" s="17">
        <f>Start.listina!K534</f>
        <v>0</v>
      </c>
      <c r="E561" s="17">
        <f>Start.listina!L534</f>
        <v>0</v>
      </c>
      <c r="F561" s="17"/>
      <c r="G561" s="142" t="str">
        <f>IF(N(A561)&gt;0,VLOOKUP(A561,Body!$A$4:$F$259,5,0),"")</f>
        <v/>
      </c>
      <c r="H561" s="69" t="str">
        <f>IF(N(A561)&gt;0,VLOOKUP(A561,Body!$A$4:$F$259,6,0),"")</f>
        <v/>
      </c>
      <c r="I561" s="69" t="str">
        <f>IF(N(A561)&gt;0,VLOOKUP(A561,Body!$A$4:$F$259,2,0),"")</f>
        <v/>
      </c>
    </row>
    <row r="562" spans="1:9" ht="12" customHeight="1">
      <c r="A562" s="17"/>
      <c r="B562" s="17">
        <f>Start.listina!O534</f>
        <v>0</v>
      </c>
      <c r="C562" s="17">
        <f>Start.listina!P534</f>
        <v>0</v>
      </c>
      <c r="D562" s="17">
        <f>Start.listina!Q534</f>
        <v>0</v>
      </c>
      <c r="E562" s="17">
        <f>Start.listina!R534</f>
        <v>0</v>
      </c>
      <c r="F562" s="17"/>
      <c r="G562" s="142"/>
      <c r="H562" s="69"/>
      <c r="I562" s="69"/>
    </row>
    <row r="563" spans="1:9" ht="12" customHeight="1">
      <c r="A563" s="17"/>
      <c r="B563" s="17">
        <f>Start.listina!U534</f>
        <v>0</v>
      </c>
      <c r="C563" s="17">
        <f>Start.listina!V534</f>
        <v>0</v>
      </c>
      <c r="D563" s="17">
        <f>Start.listina!W534</f>
        <v>0</v>
      </c>
      <c r="E563" s="17">
        <f>Start.listina!X534</f>
        <v>0</v>
      </c>
      <c r="F563" s="17"/>
      <c r="G563" s="142"/>
      <c r="H563" s="69"/>
      <c r="I563" s="69"/>
    </row>
    <row r="564" spans="1:9" ht="12" customHeight="1">
      <c r="A564" s="17"/>
      <c r="B564" s="17">
        <f>Start.listina!AA534</f>
        <v>0</v>
      </c>
      <c r="C564" s="17">
        <f>Start.listina!AB534</f>
        <v>0</v>
      </c>
      <c r="D564" s="17">
        <f>Start.listina!AC534</f>
        <v>0</v>
      </c>
      <c r="E564" s="17">
        <f>Start.listina!AD534</f>
        <v>0</v>
      </c>
      <c r="F564" s="17"/>
      <c r="G564" s="142"/>
      <c r="H564" s="69"/>
      <c r="I564" s="69"/>
    </row>
    <row r="565" spans="1:9" ht="12" customHeight="1">
      <c r="A565" s="17">
        <f>Start.listina!AH535</f>
        <v>0</v>
      </c>
      <c r="B565" s="17">
        <f>Start.listina!I535</f>
        <v>0</v>
      </c>
      <c r="C565" s="17">
        <f>Start.listina!J535</f>
        <v>0</v>
      </c>
      <c r="D565" s="17">
        <f>Start.listina!K535</f>
        <v>0</v>
      </c>
      <c r="E565" s="17">
        <f>Start.listina!L535</f>
        <v>0</v>
      </c>
      <c r="F565" s="17"/>
      <c r="G565" s="142" t="str">
        <f>IF(N(A565)&gt;0,VLOOKUP(A565,Body!$A$4:$F$259,5,0),"")</f>
        <v/>
      </c>
      <c r="H565" s="69" t="str">
        <f>IF(N(A565)&gt;0,VLOOKUP(A565,Body!$A$4:$F$259,6,0),"")</f>
        <v/>
      </c>
      <c r="I565" s="69" t="str">
        <f>IF(N(A565)&gt;0,VLOOKUP(A565,Body!$A$4:$F$259,2,0),"")</f>
        <v/>
      </c>
    </row>
    <row r="566" spans="1:9" ht="12" customHeight="1">
      <c r="A566" s="17"/>
      <c r="B566" s="17">
        <f>Start.listina!O535</f>
        <v>0</v>
      </c>
      <c r="C566" s="17">
        <f>Start.listina!P535</f>
        <v>0</v>
      </c>
      <c r="D566" s="17">
        <f>Start.listina!Q535</f>
        <v>0</v>
      </c>
      <c r="E566" s="17">
        <f>Start.listina!R535</f>
        <v>0</v>
      </c>
      <c r="F566" s="17"/>
      <c r="G566" s="142"/>
      <c r="H566" s="69"/>
      <c r="I566" s="69"/>
    </row>
    <row r="567" spans="1:9" ht="12" customHeight="1">
      <c r="A567" s="17"/>
      <c r="B567" s="17">
        <f>Start.listina!U535</f>
        <v>0</v>
      </c>
      <c r="C567" s="17">
        <f>Start.listina!V535</f>
        <v>0</v>
      </c>
      <c r="D567" s="17">
        <f>Start.listina!W535</f>
        <v>0</v>
      </c>
      <c r="E567" s="17">
        <f>Start.listina!X535</f>
        <v>0</v>
      </c>
      <c r="F567" s="17"/>
      <c r="G567" s="142"/>
      <c r="H567" s="69"/>
      <c r="I567" s="69"/>
    </row>
    <row r="568" spans="1:9" ht="12" customHeight="1">
      <c r="A568" s="17"/>
      <c r="B568" s="17">
        <f>Start.listina!AA535</f>
        <v>0</v>
      </c>
      <c r="C568" s="17">
        <f>Start.listina!AB535</f>
        <v>0</v>
      </c>
      <c r="D568" s="17">
        <f>Start.listina!AC535</f>
        <v>0</v>
      </c>
      <c r="E568" s="17">
        <f>Start.listina!AD535</f>
        <v>0</v>
      </c>
      <c r="F568" s="17"/>
      <c r="G568" s="142"/>
      <c r="H568" s="69"/>
      <c r="I568" s="69"/>
    </row>
    <row r="569" spans="1:9" ht="12" customHeight="1">
      <c r="A569" s="17">
        <f>Start.listina!AH536</f>
        <v>0</v>
      </c>
      <c r="B569" s="17">
        <f>Start.listina!I536</f>
        <v>0</v>
      </c>
      <c r="C569" s="17">
        <f>Start.listina!J536</f>
        <v>0</v>
      </c>
      <c r="D569" s="17">
        <f>Start.listina!K536</f>
        <v>0</v>
      </c>
      <c r="E569" s="17">
        <f>Start.listina!L536</f>
        <v>0</v>
      </c>
      <c r="F569" s="17"/>
      <c r="G569" s="142" t="str">
        <f>IF(N(A569)&gt;0,VLOOKUP(A569,Body!$A$4:$F$259,5,0),"")</f>
        <v/>
      </c>
      <c r="H569" s="69" t="str">
        <f>IF(N(A569)&gt;0,VLOOKUP(A569,Body!$A$4:$F$259,6,0),"")</f>
        <v/>
      </c>
      <c r="I569" s="69" t="str">
        <f>IF(N(A569)&gt;0,VLOOKUP(A569,Body!$A$4:$F$259,2,0),"")</f>
        <v/>
      </c>
    </row>
    <row r="570" spans="1:9" ht="12" customHeight="1">
      <c r="A570" s="17"/>
      <c r="B570" s="17">
        <f>Start.listina!O536</f>
        <v>0</v>
      </c>
      <c r="C570" s="17">
        <f>Start.listina!P536</f>
        <v>0</v>
      </c>
      <c r="D570" s="17">
        <f>Start.listina!Q536</f>
        <v>0</v>
      </c>
      <c r="E570" s="17">
        <f>Start.listina!R536</f>
        <v>0</v>
      </c>
      <c r="F570" s="17"/>
      <c r="G570" s="142"/>
      <c r="H570" s="69"/>
      <c r="I570" s="69"/>
    </row>
    <row r="571" spans="1:9" ht="12" customHeight="1">
      <c r="A571" s="17"/>
      <c r="B571" s="17">
        <f>Start.listina!U536</f>
        <v>0</v>
      </c>
      <c r="C571" s="17">
        <f>Start.listina!V536</f>
        <v>0</v>
      </c>
      <c r="D571" s="17">
        <f>Start.listina!W536</f>
        <v>0</v>
      </c>
      <c r="E571" s="17">
        <f>Start.listina!X536</f>
        <v>0</v>
      </c>
      <c r="F571" s="17"/>
      <c r="G571" s="142"/>
      <c r="H571" s="69"/>
      <c r="I571" s="69"/>
    </row>
    <row r="572" spans="1:9" ht="12" customHeight="1">
      <c r="A572" s="17"/>
      <c r="B572" s="17">
        <f>Start.listina!AA536</f>
        <v>0</v>
      </c>
      <c r="C572" s="17">
        <f>Start.listina!AB536</f>
        <v>0</v>
      </c>
      <c r="D572" s="17">
        <f>Start.listina!AC536</f>
        <v>0</v>
      </c>
      <c r="E572" s="17">
        <f>Start.listina!AD536</f>
        <v>0</v>
      </c>
      <c r="F572" s="17"/>
      <c r="G572" s="142"/>
      <c r="H572" s="69"/>
      <c r="I572" s="69"/>
    </row>
    <row r="573" spans="1:9" ht="12" customHeight="1">
      <c r="A573" s="17">
        <f>Start.listina!AH537</f>
        <v>0</v>
      </c>
      <c r="B573" s="17">
        <f>Start.listina!I537</f>
        <v>0</v>
      </c>
      <c r="C573" s="17">
        <f>Start.listina!J537</f>
        <v>0</v>
      </c>
      <c r="D573" s="17">
        <f>Start.listina!K537</f>
        <v>0</v>
      </c>
      <c r="E573" s="17">
        <f>Start.listina!L537</f>
        <v>0</v>
      </c>
      <c r="F573" s="17"/>
      <c r="G573" s="142" t="str">
        <f>IF(N(A573)&gt;0,VLOOKUP(A573,Body!$A$4:$F$259,5,0),"")</f>
        <v/>
      </c>
      <c r="H573" s="69" t="str">
        <f>IF(N(A573)&gt;0,VLOOKUP(A573,Body!$A$4:$F$259,6,0),"")</f>
        <v/>
      </c>
      <c r="I573" s="69" t="str">
        <f>IF(N(A573)&gt;0,VLOOKUP(A573,Body!$A$4:$F$259,2,0),"")</f>
        <v/>
      </c>
    </row>
    <row r="574" spans="1:9" ht="12" customHeight="1">
      <c r="A574" s="17"/>
      <c r="B574" s="17">
        <f>Start.listina!O537</f>
        <v>0</v>
      </c>
      <c r="C574" s="17">
        <f>Start.listina!P537</f>
        <v>0</v>
      </c>
      <c r="D574" s="17">
        <f>Start.listina!Q537</f>
        <v>0</v>
      </c>
      <c r="E574" s="17">
        <f>Start.listina!R537</f>
        <v>0</v>
      </c>
      <c r="F574" s="17"/>
      <c r="G574" s="142"/>
      <c r="H574" s="69"/>
      <c r="I574" s="69"/>
    </row>
    <row r="575" spans="1:9" ht="12" customHeight="1">
      <c r="A575" s="17"/>
      <c r="B575" s="17">
        <f>Start.listina!U537</f>
        <v>0</v>
      </c>
      <c r="C575" s="17">
        <f>Start.listina!V537</f>
        <v>0</v>
      </c>
      <c r="D575" s="17">
        <f>Start.listina!W537</f>
        <v>0</v>
      </c>
      <c r="E575" s="17">
        <f>Start.listina!X537</f>
        <v>0</v>
      </c>
      <c r="F575" s="17"/>
      <c r="G575" s="142"/>
      <c r="H575" s="69"/>
      <c r="I575" s="69"/>
    </row>
    <row r="576" spans="1:9" ht="12" customHeight="1">
      <c r="A576" s="17"/>
      <c r="B576" s="17">
        <f>Start.listina!AA537</f>
        <v>0</v>
      </c>
      <c r="C576" s="17">
        <f>Start.listina!AB537</f>
        <v>0</v>
      </c>
      <c r="D576" s="17">
        <f>Start.listina!AC537</f>
        <v>0</v>
      </c>
      <c r="E576" s="17">
        <f>Start.listina!AD537</f>
        <v>0</v>
      </c>
      <c r="F576" s="17"/>
      <c r="G576" s="142"/>
      <c r="H576" s="69"/>
      <c r="I576" s="69"/>
    </row>
    <row r="577" spans="1:9" ht="12" customHeight="1">
      <c r="A577" s="17">
        <f>Start.listina!AH538</f>
        <v>0</v>
      </c>
      <c r="B577" s="17">
        <f>Start.listina!I538</f>
        <v>0</v>
      </c>
      <c r="C577" s="17">
        <f>Start.listina!J538</f>
        <v>0</v>
      </c>
      <c r="D577" s="17">
        <f>Start.listina!K538</f>
        <v>0</v>
      </c>
      <c r="E577" s="17">
        <f>Start.listina!L538</f>
        <v>0</v>
      </c>
      <c r="F577" s="17"/>
      <c r="G577" s="142" t="str">
        <f>IF(N(A577)&gt;0,VLOOKUP(A577,Body!$A$4:$F$259,5,0),"")</f>
        <v/>
      </c>
      <c r="H577" s="69" t="str">
        <f>IF(N(A577)&gt;0,VLOOKUP(A577,Body!$A$4:$F$259,6,0),"")</f>
        <v/>
      </c>
      <c r="I577" s="69" t="str">
        <f>IF(N(A577)&gt;0,VLOOKUP(A577,Body!$A$4:$F$259,2,0),"")</f>
        <v/>
      </c>
    </row>
    <row r="578" spans="1:9" ht="12" customHeight="1">
      <c r="A578" s="17"/>
      <c r="B578" s="17">
        <f>Start.listina!O538</f>
        <v>0</v>
      </c>
      <c r="C578" s="17">
        <f>Start.listina!P538</f>
        <v>0</v>
      </c>
      <c r="D578" s="17">
        <f>Start.listina!Q538</f>
        <v>0</v>
      </c>
      <c r="E578" s="17">
        <f>Start.listina!R538</f>
        <v>0</v>
      </c>
      <c r="F578" s="17"/>
      <c r="G578" s="142"/>
      <c r="H578" s="69"/>
      <c r="I578" s="69"/>
    </row>
    <row r="579" spans="1:9" ht="12" customHeight="1">
      <c r="A579" s="17"/>
      <c r="B579" s="17">
        <f>Start.listina!U538</f>
        <v>0</v>
      </c>
      <c r="C579" s="17">
        <f>Start.listina!V538</f>
        <v>0</v>
      </c>
      <c r="D579" s="17">
        <f>Start.listina!W538</f>
        <v>0</v>
      </c>
      <c r="E579" s="17">
        <f>Start.listina!X538</f>
        <v>0</v>
      </c>
      <c r="F579" s="17"/>
      <c r="G579" s="142"/>
      <c r="H579" s="69"/>
      <c r="I579" s="69"/>
    </row>
    <row r="580" spans="1:9" ht="12" customHeight="1">
      <c r="A580" s="17"/>
      <c r="B580" s="17">
        <f>Start.listina!AA538</f>
        <v>0</v>
      </c>
      <c r="C580" s="17">
        <f>Start.listina!AB538</f>
        <v>0</v>
      </c>
      <c r="D580" s="17">
        <f>Start.listina!AC538</f>
        <v>0</v>
      </c>
      <c r="E580" s="17">
        <f>Start.listina!AD538</f>
        <v>0</v>
      </c>
      <c r="F580" s="17"/>
      <c r="G580" s="142"/>
      <c r="H580" s="69"/>
      <c r="I580" s="69"/>
    </row>
    <row r="581" spans="1:9" ht="12" customHeight="1">
      <c r="A581" s="17">
        <f>Start.listina!AH539</f>
        <v>0</v>
      </c>
      <c r="B581" s="17">
        <f>Start.listina!I539</f>
        <v>0</v>
      </c>
      <c r="C581" s="17">
        <f>Start.listina!J539</f>
        <v>0</v>
      </c>
      <c r="D581" s="17">
        <f>Start.listina!K539</f>
        <v>0</v>
      </c>
      <c r="E581" s="17">
        <f>Start.listina!L539</f>
        <v>0</v>
      </c>
      <c r="F581" s="17"/>
      <c r="G581" s="142" t="str">
        <f>IF(N(A581)&gt;0,VLOOKUP(A581,Body!$A$4:$F$259,5,0),"")</f>
        <v/>
      </c>
      <c r="H581" s="69" t="str">
        <f>IF(N(A581)&gt;0,VLOOKUP(A581,Body!$A$4:$F$259,6,0),"")</f>
        <v/>
      </c>
      <c r="I581" s="69" t="str">
        <f>IF(N(A581)&gt;0,VLOOKUP(A581,Body!$A$4:$F$259,2,0),"")</f>
        <v/>
      </c>
    </row>
    <row r="582" spans="1:9" ht="12" customHeight="1">
      <c r="A582" s="17"/>
      <c r="B582" s="17">
        <f>Start.listina!O539</f>
        <v>0</v>
      </c>
      <c r="C582" s="17">
        <f>Start.listina!P539</f>
        <v>0</v>
      </c>
      <c r="D582" s="17">
        <f>Start.listina!Q539</f>
        <v>0</v>
      </c>
      <c r="E582" s="17">
        <f>Start.listina!R539</f>
        <v>0</v>
      </c>
      <c r="F582" s="17"/>
      <c r="G582" s="142"/>
      <c r="H582" s="69"/>
      <c r="I582" s="69"/>
    </row>
    <row r="583" spans="1:9" ht="12" customHeight="1">
      <c r="A583" s="17"/>
      <c r="B583" s="17">
        <f>Start.listina!U539</f>
        <v>0</v>
      </c>
      <c r="C583" s="17">
        <f>Start.listina!V539</f>
        <v>0</v>
      </c>
      <c r="D583" s="17">
        <f>Start.listina!W539</f>
        <v>0</v>
      </c>
      <c r="E583" s="17">
        <f>Start.listina!X539</f>
        <v>0</v>
      </c>
      <c r="F583" s="17"/>
      <c r="G583" s="142"/>
      <c r="H583" s="69"/>
      <c r="I583" s="69"/>
    </row>
    <row r="584" spans="1:9" ht="12" customHeight="1">
      <c r="A584" s="17"/>
      <c r="B584" s="17">
        <f>Start.listina!AA539</f>
        <v>0</v>
      </c>
      <c r="C584" s="17">
        <f>Start.listina!AB539</f>
        <v>0</v>
      </c>
      <c r="D584" s="17">
        <f>Start.listina!AC539</f>
        <v>0</v>
      </c>
      <c r="E584" s="17">
        <f>Start.listina!AD539</f>
        <v>0</v>
      </c>
      <c r="F584" s="17"/>
      <c r="G584" s="142"/>
      <c r="H584" s="69"/>
      <c r="I584" s="69"/>
    </row>
    <row r="585" spans="1:9" ht="12" customHeight="1">
      <c r="A585" s="17">
        <f>Start.listina!AH540</f>
        <v>0</v>
      </c>
      <c r="B585" s="17">
        <f>Start.listina!I540</f>
        <v>0</v>
      </c>
      <c r="C585" s="17">
        <f>Start.listina!J540</f>
        <v>0</v>
      </c>
      <c r="D585" s="17">
        <f>Start.listina!K540</f>
        <v>0</v>
      </c>
      <c r="E585" s="17">
        <f>Start.listina!L540</f>
        <v>0</v>
      </c>
      <c r="F585" s="17"/>
      <c r="G585" s="142" t="str">
        <f>IF(N(A585)&gt;0,VLOOKUP(A585,Body!$A$4:$F$259,5,0),"")</f>
        <v/>
      </c>
      <c r="H585" s="69" t="str">
        <f>IF(N(A585)&gt;0,VLOOKUP(A585,Body!$A$4:$F$259,6,0),"")</f>
        <v/>
      </c>
      <c r="I585" s="69" t="str">
        <f>IF(N(A585)&gt;0,VLOOKUP(A585,Body!$A$4:$F$259,2,0),"")</f>
        <v/>
      </c>
    </row>
    <row r="586" spans="1:9" ht="12" customHeight="1">
      <c r="A586" s="17"/>
      <c r="B586" s="17">
        <f>Start.listina!O540</f>
        <v>0</v>
      </c>
      <c r="C586" s="17">
        <f>Start.listina!P540</f>
        <v>0</v>
      </c>
      <c r="D586" s="17">
        <f>Start.listina!Q540</f>
        <v>0</v>
      </c>
      <c r="E586" s="17">
        <f>Start.listina!R540</f>
        <v>0</v>
      </c>
      <c r="F586" s="17"/>
      <c r="G586" s="142"/>
      <c r="H586" s="69"/>
      <c r="I586" s="69"/>
    </row>
    <row r="587" spans="1:9" ht="12" customHeight="1">
      <c r="A587" s="17"/>
      <c r="B587" s="17">
        <f>Start.listina!U540</f>
        <v>0</v>
      </c>
      <c r="C587" s="17">
        <f>Start.listina!V540</f>
        <v>0</v>
      </c>
      <c r="D587" s="17">
        <f>Start.listina!W540</f>
        <v>0</v>
      </c>
      <c r="E587" s="17">
        <f>Start.listina!X540</f>
        <v>0</v>
      </c>
      <c r="F587" s="17"/>
      <c r="G587" s="142"/>
      <c r="H587" s="69"/>
      <c r="I587" s="69"/>
    </row>
    <row r="588" spans="1:9" ht="12" customHeight="1">
      <c r="A588" s="17"/>
      <c r="B588" s="17">
        <f>Start.listina!AA540</f>
        <v>0</v>
      </c>
      <c r="C588" s="17">
        <f>Start.listina!AB540</f>
        <v>0</v>
      </c>
      <c r="D588" s="17">
        <f>Start.listina!AC540</f>
        <v>0</v>
      </c>
      <c r="E588" s="17">
        <f>Start.listina!AD540</f>
        <v>0</v>
      </c>
      <c r="F588" s="17"/>
      <c r="G588" s="142"/>
      <c r="H588" s="69"/>
      <c r="I588" s="69"/>
    </row>
    <row r="589" spans="1:9" ht="12" customHeight="1">
      <c r="A589" s="17">
        <f>Start.listina!AH541</f>
        <v>0</v>
      </c>
      <c r="B589" s="17">
        <f>Start.listina!I541</f>
        <v>0</v>
      </c>
      <c r="C589" s="17">
        <f>Start.listina!J541</f>
        <v>0</v>
      </c>
      <c r="D589" s="17">
        <f>Start.listina!K541</f>
        <v>0</v>
      </c>
      <c r="E589" s="17">
        <f>Start.listina!L541</f>
        <v>0</v>
      </c>
      <c r="F589" s="17"/>
      <c r="G589" s="142" t="str">
        <f>IF(N(A589)&gt;0,VLOOKUP(A589,Body!$A$4:$F$259,5,0),"")</f>
        <v/>
      </c>
      <c r="H589" s="69" t="str">
        <f>IF(N(A589)&gt;0,VLOOKUP(A589,Body!$A$4:$F$259,6,0),"")</f>
        <v/>
      </c>
      <c r="I589" s="69" t="str">
        <f>IF(N(A589)&gt;0,VLOOKUP(A589,Body!$A$4:$F$259,2,0),"")</f>
        <v/>
      </c>
    </row>
    <row r="590" spans="1:9" ht="12" customHeight="1">
      <c r="A590" s="17"/>
      <c r="B590" s="17">
        <f>Start.listina!O541</f>
        <v>0</v>
      </c>
      <c r="C590" s="17">
        <f>Start.listina!P541</f>
        <v>0</v>
      </c>
      <c r="D590" s="17">
        <f>Start.listina!Q541</f>
        <v>0</v>
      </c>
      <c r="E590" s="17">
        <f>Start.listina!R541</f>
        <v>0</v>
      </c>
      <c r="F590" s="17"/>
      <c r="G590" s="142"/>
      <c r="H590" s="69"/>
      <c r="I590" s="69"/>
    </row>
    <row r="591" spans="1:9" ht="12" customHeight="1">
      <c r="A591" s="17"/>
      <c r="B591" s="17">
        <f>Start.listina!U541</f>
        <v>0</v>
      </c>
      <c r="C591" s="17">
        <f>Start.listina!V541</f>
        <v>0</v>
      </c>
      <c r="D591" s="17">
        <f>Start.listina!W541</f>
        <v>0</v>
      </c>
      <c r="E591" s="17">
        <f>Start.listina!X541</f>
        <v>0</v>
      </c>
      <c r="F591" s="17"/>
      <c r="G591" s="142"/>
      <c r="H591" s="69"/>
      <c r="I591" s="69"/>
    </row>
    <row r="592" spans="1:9" ht="12" customHeight="1">
      <c r="A592" s="17"/>
      <c r="B592" s="17">
        <f>Start.listina!AA541</f>
        <v>0</v>
      </c>
      <c r="C592" s="17">
        <f>Start.listina!AB541</f>
        <v>0</v>
      </c>
      <c r="D592" s="17">
        <f>Start.listina!AC541</f>
        <v>0</v>
      </c>
      <c r="E592" s="17">
        <f>Start.listina!AD541</f>
        <v>0</v>
      </c>
      <c r="F592" s="17"/>
      <c r="G592" s="142"/>
      <c r="H592" s="69"/>
      <c r="I592" s="69"/>
    </row>
    <row r="593" spans="1:9" ht="12" customHeight="1">
      <c r="A593" s="17">
        <f>Start.listina!AH542</f>
        <v>0</v>
      </c>
      <c r="B593" s="17">
        <f>Start.listina!I542</f>
        <v>0</v>
      </c>
      <c r="C593" s="17">
        <f>Start.listina!J542</f>
        <v>0</v>
      </c>
      <c r="D593" s="17">
        <f>Start.listina!K542</f>
        <v>0</v>
      </c>
      <c r="E593" s="17">
        <f>Start.listina!L542</f>
        <v>0</v>
      </c>
      <c r="F593" s="17"/>
      <c r="G593" s="142" t="str">
        <f>IF(N(A593)&gt;0,VLOOKUP(A593,Body!$A$4:$F$259,5,0),"")</f>
        <v/>
      </c>
      <c r="H593" s="69" t="str">
        <f>IF(N(A593)&gt;0,VLOOKUP(A593,Body!$A$4:$F$259,6,0),"")</f>
        <v/>
      </c>
      <c r="I593" s="69" t="str">
        <f>IF(N(A593)&gt;0,VLOOKUP(A593,Body!$A$4:$F$259,2,0),"")</f>
        <v/>
      </c>
    </row>
    <row r="594" spans="1:9" ht="12" customHeight="1">
      <c r="A594" s="17"/>
      <c r="B594" s="17">
        <f>Start.listina!O542</f>
        <v>0</v>
      </c>
      <c r="C594" s="17">
        <f>Start.listina!P542</f>
        <v>0</v>
      </c>
      <c r="D594" s="17">
        <f>Start.listina!Q542</f>
        <v>0</v>
      </c>
      <c r="E594" s="17">
        <f>Start.listina!R542</f>
        <v>0</v>
      </c>
      <c r="F594" s="17"/>
      <c r="G594" s="142"/>
      <c r="H594" s="69"/>
      <c r="I594" s="69"/>
    </row>
    <row r="595" spans="1:9" ht="12" customHeight="1">
      <c r="A595" s="17"/>
      <c r="B595" s="17">
        <f>Start.listina!U542</f>
        <v>0</v>
      </c>
      <c r="C595" s="17">
        <f>Start.listina!V542</f>
        <v>0</v>
      </c>
      <c r="D595" s="17">
        <f>Start.listina!W542</f>
        <v>0</v>
      </c>
      <c r="E595" s="17">
        <f>Start.listina!X542</f>
        <v>0</v>
      </c>
      <c r="F595" s="17"/>
      <c r="G595" s="142"/>
      <c r="H595" s="69"/>
      <c r="I595" s="69"/>
    </row>
    <row r="596" spans="1:9" ht="12" customHeight="1">
      <c r="A596" s="17"/>
      <c r="B596" s="17">
        <f>Start.listina!AA542</f>
        <v>0</v>
      </c>
      <c r="C596" s="17">
        <f>Start.listina!AB542</f>
        <v>0</v>
      </c>
      <c r="D596" s="17">
        <f>Start.listina!AC542</f>
        <v>0</v>
      </c>
      <c r="E596" s="17">
        <f>Start.listina!AD542</f>
        <v>0</v>
      </c>
      <c r="F596" s="17"/>
      <c r="G596" s="142"/>
      <c r="H596" s="69"/>
      <c r="I596" s="69"/>
    </row>
    <row r="597" spans="1:9" ht="12" customHeight="1">
      <c r="A597" s="17">
        <f>Start.listina!AH543</f>
        <v>0</v>
      </c>
      <c r="B597" s="17">
        <f>Start.listina!I543</f>
        <v>0</v>
      </c>
      <c r="C597" s="17">
        <f>Start.listina!J543</f>
        <v>0</v>
      </c>
      <c r="D597" s="17">
        <f>Start.listina!K543</f>
        <v>0</v>
      </c>
      <c r="E597" s="17">
        <f>Start.listina!L543</f>
        <v>0</v>
      </c>
      <c r="F597" s="17"/>
      <c r="G597" s="142" t="str">
        <f>IF(N(A597)&gt;0,VLOOKUP(A597,Body!$A$4:$F$259,5,0),"")</f>
        <v/>
      </c>
      <c r="H597" s="69" t="str">
        <f>IF(N(A597)&gt;0,VLOOKUP(A597,Body!$A$4:$F$259,6,0),"")</f>
        <v/>
      </c>
      <c r="I597" s="69" t="str">
        <f>IF(N(A597)&gt;0,VLOOKUP(A597,Body!$A$4:$F$259,2,0),"")</f>
        <v/>
      </c>
    </row>
    <row r="598" spans="1:9" ht="12" customHeight="1">
      <c r="A598" s="17"/>
      <c r="B598" s="17">
        <f>Start.listina!O543</f>
        <v>0</v>
      </c>
      <c r="C598" s="17">
        <f>Start.listina!P543</f>
        <v>0</v>
      </c>
      <c r="D598" s="17">
        <f>Start.listina!Q543</f>
        <v>0</v>
      </c>
      <c r="E598" s="17">
        <f>Start.listina!R543</f>
        <v>0</v>
      </c>
      <c r="F598" s="17"/>
      <c r="G598" s="142"/>
      <c r="H598" s="69"/>
      <c r="I598" s="69"/>
    </row>
    <row r="599" spans="1:9" ht="12" customHeight="1">
      <c r="A599" s="17"/>
      <c r="B599" s="17">
        <f>Start.listina!U543</f>
        <v>0</v>
      </c>
      <c r="C599" s="17">
        <f>Start.listina!V543</f>
        <v>0</v>
      </c>
      <c r="D599" s="17">
        <f>Start.listina!W543</f>
        <v>0</v>
      </c>
      <c r="E599" s="17">
        <f>Start.listina!X543</f>
        <v>0</v>
      </c>
      <c r="F599" s="17"/>
      <c r="G599" s="142"/>
      <c r="H599" s="69"/>
      <c r="I599" s="69"/>
    </row>
    <row r="600" spans="1:9" ht="12" customHeight="1">
      <c r="A600" s="17"/>
      <c r="B600" s="17">
        <f>Start.listina!AA543</f>
        <v>0</v>
      </c>
      <c r="C600" s="17">
        <f>Start.listina!AB543</f>
        <v>0</v>
      </c>
      <c r="D600" s="17">
        <f>Start.listina!AC543</f>
        <v>0</v>
      </c>
      <c r="E600" s="17">
        <f>Start.listina!AD543</f>
        <v>0</v>
      </c>
      <c r="F600" s="17"/>
      <c r="G600" s="142"/>
      <c r="H600" s="69"/>
      <c r="I600" s="69"/>
    </row>
    <row r="601" spans="1:9" ht="12" customHeight="1">
      <c r="A601" s="17">
        <f>Start.listina!AH544</f>
        <v>0</v>
      </c>
      <c r="B601" s="17">
        <f>Start.listina!I544</f>
        <v>0</v>
      </c>
      <c r="C601" s="17">
        <f>Start.listina!J544</f>
        <v>0</v>
      </c>
      <c r="D601" s="17">
        <f>Start.listina!K544</f>
        <v>0</v>
      </c>
      <c r="E601" s="17">
        <f>Start.listina!L544</f>
        <v>0</v>
      </c>
      <c r="F601" s="17"/>
      <c r="G601" s="142" t="str">
        <f>IF(N(A601)&gt;0,VLOOKUP(A601,Body!$A$4:$F$259,5,0),"")</f>
        <v/>
      </c>
      <c r="H601" s="69" t="str">
        <f>IF(N(A601)&gt;0,VLOOKUP(A601,Body!$A$4:$F$259,6,0),"")</f>
        <v/>
      </c>
      <c r="I601" s="69" t="str">
        <f>IF(N(A601)&gt;0,VLOOKUP(A601,Body!$A$4:$F$259,2,0),"")</f>
        <v/>
      </c>
    </row>
    <row r="602" spans="1:9" ht="12" customHeight="1">
      <c r="A602" s="17"/>
      <c r="B602" s="17">
        <f>Start.listina!O544</f>
        <v>0</v>
      </c>
      <c r="C602" s="17">
        <f>Start.listina!P544</f>
        <v>0</v>
      </c>
      <c r="D602" s="17">
        <f>Start.listina!Q544</f>
        <v>0</v>
      </c>
      <c r="E602" s="17">
        <f>Start.listina!R544</f>
        <v>0</v>
      </c>
      <c r="F602" s="17"/>
      <c r="G602" s="142"/>
      <c r="H602" s="69"/>
      <c r="I602" s="69"/>
    </row>
    <row r="603" spans="1:9" ht="12" customHeight="1">
      <c r="A603" s="17"/>
      <c r="B603" s="17">
        <f>Start.listina!U544</f>
        <v>0</v>
      </c>
      <c r="C603" s="17">
        <f>Start.listina!V544</f>
        <v>0</v>
      </c>
      <c r="D603" s="17">
        <f>Start.listina!W544</f>
        <v>0</v>
      </c>
      <c r="E603" s="17">
        <f>Start.listina!X544</f>
        <v>0</v>
      </c>
      <c r="F603" s="17"/>
      <c r="G603" s="142"/>
      <c r="H603" s="69"/>
      <c r="I603" s="69"/>
    </row>
    <row r="604" spans="1:9" ht="12" customHeight="1">
      <c r="A604" s="17"/>
      <c r="B604" s="17">
        <f>Start.listina!AA544</f>
        <v>0</v>
      </c>
      <c r="C604" s="17">
        <f>Start.listina!AB544</f>
        <v>0</v>
      </c>
      <c r="D604" s="17">
        <f>Start.listina!AC544</f>
        <v>0</v>
      </c>
      <c r="E604" s="17">
        <f>Start.listina!AD544</f>
        <v>0</v>
      </c>
      <c r="F604" s="17"/>
      <c r="G604" s="142"/>
      <c r="H604" s="69"/>
      <c r="I604" s="69"/>
    </row>
    <row r="605" spans="1:9" ht="12" customHeight="1">
      <c r="A605" s="17">
        <f>Start.listina!AH545</f>
        <v>0</v>
      </c>
      <c r="B605" s="17">
        <f>Start.listina!I545</f>
        <v>0</v>
      </c>
      <c r="C605" s="17">
        <f>Start.listina!J545</f>
        <v>0</v>
      </c>
      <c r="D605" s="17">
        <f>Start.listina!K545</f>
        <v>0</v>
      </c>
      <c r="E605" s="17">
        <f>Start.listina!L545</f>
        <v>0</v>
      </c>
      <c r="F605" s="17"/>
      <c r="G605" s="142" t="str">
        <f>IF(N(A605)&gt;0,VLOOKUP(A605,Body!$A$4:$F$259,5,0),"")</f>
        <v/>
      </c>
      <c r="H605" s="69" t="str">
        <f>IF(N(A605)&gt;0,VLOOKUP(A605,Body!$A$4:$F$259,6,0),"")</f>
        <v/>
      </c>
      <c r="I605" s="69" t="str">
        <f>IF(N(A605)&gt;0,VLOOKUP(A605,Body!$A$4:$F$259,2,0),"")</f>
        <v/>
      </c>
    </row>
    <row r="606" spans="1:9" ht="12" customHeight="1">
      <c r="A606" s="17"/>
      <c r="B606" s="17">
        <f>Start.listina!O545</f>
        <v>0</v>
      </c>
      <c r="C606" s="17">
        <f>Start.listina!P545</f>
        <v>0</v>
      </c>
      <c r="D606" s="17">
        <f>Start.listina!Q545</f>
        <v>0</v>
      </c>
      <c r="E606" s="17">
        <f>Start.listina!R545</f>
        <v>0</v>
      </c>
      <c r="F606" s="17"/>
      <c r="G606" s="142"/>
      <c r="H606" s="69"/>
      <c r="I606" s="69"/>
    </row>
    <row r="607" spans="1:9" ht="12" customHeight="1">
      <c r="A607" s="17"/>
      <c r="B607" s="17">
        <f>Start.listina!U545</f>
        <v>0</v>
      </c>
      <c r="C607" s="17">
        <f>Start.listina!V545</f>
        <v>0</v>
      </c>
      <c r="D607" s="17">
        <f>Start.listina!W545</f>
        <v>0</v>
      </c>
      <c r="E607" s="17">
        <f>Start.listina!X545</f>
        <v>0</v>
      </c>
      <c r="F607" s="17"/>
      <c r="G607" s="142"/>
      <c r="H607" s="69"/>
      <c r="I607" s="69"/>
    </row>
    <row r="608" spans="1:9" ht="12" customHeight="1">
      <c r="A608" s="17"/>
      <c r="B608" s="17">
        <f>Start.listina!AA545</f>
        <v>0</v>
      </c>
      <c r="C608" s="17">
        <f>Start.listina!AB545</f>
        <v>0</v>
      </c>
      <c r="D608" s="17">
        <f>Start.listina!AC545</f>
        <v>0</v>
      </c>
      <c r="E608" s="17">
        <f>Start.listina!AD545</f>
        <v>0</v>
      </c>
      <c r="F608" s="17"/>
      <c r="G608" s="142"/>
      <c r="H608" s="69"/>
      <c r="I608" s="69"/>
    </row>
    <row r="609" spans="1:9" ht="12" customHeight="1">
      <c r="A609" s="17">
        <f>Start.listina!AH546</f>
        <v>0</v>
      </c>
      <c r="B609" s="17">
        <f>Start.listina!I546</f>
        <v>0</v>
      </c>
      <c r="C609" s="17">
        <f>Start.listina!J546</f>
        <v>0</v>
      </c>
      <c r="D609" s="17">
        <f>Start.listina!K546</f>
        <v>0</v>
      </c>
      <c r="E609" s="17">
        <f>Start.listina!L546</f>
        <v>0</v>
      </c>
      <c r="F609" s="17"/>
      <c r="G609" s="142" t="str">
        <f>IF(N(A609)&gt;0,VLOOKUP(A609,Body!$A$4:$F$259,5,0),"")</f>
        <v/>
      </c>
      <c r="H609" s="69" t="str">
        <f>IF(N(A609)&gt;0,VLOOKUP(A609,Body!$A$4:$F$259,6,0),"")</f>
        <v/>
      </c>
      <c r="I609" s="69" t="str">
        <f>IF(N(A609)&gt;0,VLOOKUP(A609,Body!$A$4:$F$259,2,0),"")</f>
        <v/>
      </c>
    </row>
    <row r="610" spans="1:9" ht="12" customHeight="1">
      <c r="A610" s="17"/>
      <c r="B610" s="17">
        <f>Start.listina!O546</f>
        <v>0</v>
      </c>
      <c r="C610" s="17">
        <f>Start.listina!P546</f>
        <v>0</v>
      </c>
      <c r="D610" s="17">
        <f>Start.listina!Q546</f>
        <v>0</v>
      </c>
      <c r="E610" s="17">
        <f>Start.listina!R546</f>
        <v>0</v>
      </c>
      <c r="F610" s="17"/>
      <c r="G610" s="142"/>
      <c r="H610" s="69"/>
      <c r="I610" s="69"/>
    </row>
    <row r="611" spans="1:9" ht="12" customHeight="1">
      <c r="A611" s="17"/>
      <c r="B611" s="17">
        <f>Start.listina!U546</f>
        <v>0</v>
      </c>
      <c r="C611" s="17">
        <f>Start.listina!V546</f>
        <v>0</v>
      </c>
      <c r="D611" s="17">
        <f>Start.listina!W546</f>
        <v>0</v>
      </c>
      <c r="E611" s="17">
        <f>Start.listina!X546</f>
        <v>0</v>
      </c>
      <c r="F611" s="17"/>
      <c r="G611" s="142"/>
      <c r="H611" s="69"/>
      <c r="I611" s="69"/>
    </row>
    <row r="612" spans="1:9" ht="12" customHeight="1">
      <c r="A612" s="17"/>
      <c r="B612" s="17">
        <f>Start.listina!AA546</f>
        <v>0</v>
      </c>
      <c r="C612" s="17">
        <f>Start.listina!AB546</f>
        <v>0</v>
      </c>
      <c r="D612" s="17">
        <f>Start.listina!AC546</f>
        <v>0</v>
      </c>
      <c r="E612" s="17">
        <f>Start.listina!AD546</f>
        <v>0</v>
      </c>
      <c r="F612" s="17"/>
      <c r="G612" s="142"/>
      <c r="H612" s="69"/>
      <c r="I612" s="69"/>
    </row>
    <row r="613" spans="1:9" ht="12" customHeight="1">
      <c r="A613" s="17">
        <f>Start.listina!AH547</f>
        <v>0</v>
      </c>
      <c r="B613" s="17">
        <f>Start.listina!I547</f>
        <v>0</v>
      </c>
      <c r="C613" s="17">
        <f>Start.listina!J547</f>
        <v>0</v>
      </c>
      <c r="D613" s="17">
        <f>Start.listina!K547</f>
        <v>0</v>
      </c>
      <c r="E613" s="17">
        <f>Start.listina!L547</f>
        <v>0</v>
      </c>
      <c r="F613" s="17"/>
      <c r="G613" s="142" t="str">
        <f>IF(N(A613)&gt;0,VLOOKUP(A613,Body!$A$4:$F$259,5,0),"")</f>
        <v/>
      </c>
      <c r="H613" s="69" t="str">
        <f>IF(N(A613)&gt;0,VLOOKUP(A613,Body!$A$4:$F$259,6,0),"")</f>
        <v/>
      </c>
      <c r="I613" s="69" t="str">
        <f>IF(N(A613)&gt;0,VLOOKUP(A613,Body!$A$4:$F$259,2,0),"")</f>
        <v/>
      </c>
    </row>
    <row r="614" spans="1:9" ht="12" customHeight="1">
      <c r="A614" s="17"/>
      <c r="B614" s="17">
        <f>Start.listina!O547</f>
        <v>0</v>
      </c>
      <c r="C614" s="17">
        <f>Start.listina!P547</f>
        <v>0</v>
      </c>
      <c r="D614" s="17">
        <f>Start.listina!Q547</f>
        <v>0</v>
      </c>
      <c r="E614" s="17">
        <f>Start.listina!R547</f>
        <v>0</v>
      </c>
      <c r="F614" s="17"/>
      <c r="G614" s="142"/>
      <c r="H614" s="69"/>
      <c r="I614" s="69"/>
    </row>
    <row r="615" spans="1:9" ht="12" customHeight="1">
      <c r="A615" s="17"/>
      <c r="B615" s="17">
        <f>Start.listina!U547</f>
        <v>0</v>
      </c>
      <c r="C615" s="17">
        <f>Start.listina!V547</f>
        <v>0</v>
      </c>
      <c r="D615" s="17">
        <f>Start.listina!W547</f>
        <v>0</v>
      </c>
      <c r="E615" s="17">
        <f>Start.listina!X547</f>
        <v>0</v>
      </c>
      <c r="F615" s="17"/>
      <c r="G615" s="142"/>
      <c r="H615" s="69"/>
      <c r="I615" s="69"/>
    </row>
    <row r="616" spans="1:9" ht="12" customHeight="1">
      <c r="A616" s="17"/>
      <c r="B616" s="17">
        <f>Start.listina!AA547</f>
        <v>0</v>
      </c>
      <c r="C616" s="17">
        <f>Start.listina!AB547</f>
        <v>0</v>
      </c>
      <c r="D616" s="17">
        <f>Start.listina!AC547</f>
        <v>0</v>
      </c>
      <c r="E616" s="17">
        <f>Start.listina!AD547</f>
        <v>0</v>
      </c>
      <c r="F616" s="17"/>
      <c r="G616" s="142"/>
      <c r="H616" s="69"/>
      <c r="I616" s="69"/>
    </row>
    <row r="617" spans="1:9" ht="12" customHeight="1">
      <c r="A617" s="17">
        <f>Start.listina!AH548</f>
        <v>0</v>
      </c>
      <c r="B617" s="17">
        <f>Start.listina!I548</f>
        <v>0</v>
      </c>
      <c r="C617" s="17">
        <f>Start.listina!J548</f>
        <v>0</v>
      </c>
      <c r="D617" s="17">
        <f>Start.listina!K548</f>
        <v>0</v>
      </c>
      <c r="E617" s="17">
        <f>Start.listina!L548</f>
        <v>0</v>
      </c>
      <c r="F617" s="17"/>
      <c r="G617" s="142" t="str">
        <f>IF(N(A617)&gt;0,VLOOKUP(A617,Body!$A$4:$F$259,5,0),"")</f>
        <v/>
      </c>
      <c r="H617" s="69" t="str">
        <f>IF(N(A617)&gt;0,VLOOKUP(A617,Body!$A$4:$F$259,6,0),"")</f>
        <v/>
      </c>
      <c r="I617" s="69" t="str">
        <f>IF(N(A617)&gt;0,VLOOKUP(A617,Body!$A$4:$F$259,2,0),"")</f>
        <v/>
      </c>
    </row>
    <row r="618" spans="1:9" ht="12" customHeight="1">
      <c r="A618" s="17"/>
      <c r="B618" s="17">
        <f>Start.listina!O548</f>
        <v>0</v>
      </c>
      <c r="C618" s="17">
        <f>Start.listina!P548</f>
        <v>0</v>
      </c>
      <c r="D618" s="17">
        <f>Start.listina!Q548</f>
        <v>0</v>
      </c>
      <c r="E618" s="17">
        <f>Start.listina!R548</f>
        <v>0</v>
      </c>
      <c r="F618" s="17"/>
      <c r="G618" s="142"/>
      <c r="H618" s="69"/>
      <c r="I618" s="69"/>
    </row>
    <row r="619" spans="1:9" ht="12" customHeight="1">
      <c r="A619" s="17"/>
      <c r="B619" s="17">
        <f>Start.listina!U548</f>
        <v>0</v>
      </c>
      <c r="C619" s="17">
        <f>Start.listina!V548</f>
        <v>0</v>
      </c>
      <c r="D619" s="17">
        <f>Start.listina!W548</f>
        <v>0</v>
      </c>
      <c r="E619" s="17">
        <f>Start.listina!X548</f>
        <v>0</v>
      </c>
      <c r="F619" s="17"/>
      <c r="G619" s="142"/>
      <c r="H619" s="69"/>
      <c r="I619" s="69"/>
    </row>
    <row r="620" spans="1:9" ht="12" customHeight="1">
      <c r="A620" s="17"/>
      <c r="B620" s="17">
        <f>Start.listina!AA548</f>
        <v>0</v>
      </c>
      <c r="C620" s="17">
        <f>Start.listina!AB548</f>
        <v>0</v>
      </c>
      <c r="D620" s="17">
        <f>Start.listina!AC548</f>
        <v>0</v>
      </c>
      <c r="E620" s="17">
        <f>Start.listina!AD548</f>
        <v>0</v>
      </c>
      <c r="F620" s="17"/>
      <c r="G620" s="142"/>
      <c r="H620" s="69"/>
      <c r="I620" s="69"/>
    </row>
    <row r="621" spans="1:9" ht="12" customHeight="1">
      <c r="A621" s="17">
        <f>Start.listina!AH549</f>
        <v>0</v>
      </c>
      <c r="B621" s="17">
        <f>Start.listina!I549</f>
        <v>0</v>
      </c>
      <c r="C621" s="17">
        <f>Start.listina!J549</f>
        <v>0</v>
      </c>
      <c r="D621" s="17">
        <f>Start.listina!K549</f>
        <v>0</v>
      </c>
      <c r="E621" s="17">
        <f>Start.listina!L549</f>
        <v>0</v>
      </c>
      <c r="F621" s="17"/>
      <c r="G621" s="142" t="str">
        <f>IF(N(A621)&gt;0,VLOOKUP(A621,Body!$A$4:$F$259,5,0),"")</f>
        <v/>
      </c>
      <c r="H621" s="69" t="str">
        <f>IF(N(A621)&gt;0,VLOOKUP(A621,Body!$A$4:$F$259,6,0),"")</f>
        <v/>
      </c>
      <c r="I621" s="69" t="str">
        <f>IF(N(A621)&gt;0,VLOOKUP(A621,Body!$A$4:$F$259,2,0),"")</f>
        <v/>
      </c>
    </row>
    <row r="622" spans="1:9" ht="12" customHeight="1">
      <c r="A622" s="17"/>
      <c r="B622" s="17">
        <f>Start.listina!O549</f>
        <v>0</v>
      </c>
      <c r="C622" s="17">
        <f>Start.listina!P549</f>
        <v>0</v>
      </c>
      <c r="D622" s="17">
        <f>Start.listina!Q549</f>
        <v>0</v>
      </c>
      <c r="E622" s="17">
        <f>Start.listina!R549</f>
        <v>0</v>
      </c>
      <c r="F622" s="17"/>
      <c r="G622" s="142"/>
      <c r="H622" s="69"/>
      <c r="I622" s="69"/>
    </row>
    <row r="623" spans="1:9" ht="12" customHeight="1">
      <c r="A623" s="17"/>
      <c r="B623" s="17">
        <f>Start.listina!U549</f>
        <v>0</v>
      </c>
      <c r="C623" s="17">
        <f>Start.listina!V549</f>
        <v>0</v>
      </c>
      <c r="D623" s="17">
        <f>Start.listina!W549</f>
        <v>0</v>
      </c>
      <c r="E623" s="17">
        <f>Start.listina!X549</f>
        <v>0</v>
      </c>
      <c r="F623" s="17"/>
      <c r="G623" s="142"/>
      <c r="H623" s="69"/>
      <c r="I623" s="69"/>
    </row>
    <row r="624" spans="1:9" ht="12" customHeight="1">
      <c r="A624" s="17"/>
      <c r="B624" s="17">
        <f>Start.listina!AA549</f>
        <v>0</v>
      </c>
      <c r="C624" s="17">
        <f>Start.listina!AB549</f>
        <v>0</v>
      </c>
      <c r="D624" s="17">
        <f>Start.listina!AC549</f>
        <v>0</v>
      </c>
      <c r="E624" s="17">
        <f>Start.listina!AD549</f>
        <v>0</v>
      </c>
      <c r="F624" s="17"/>
      <c r="G624" s="142"/>
      <c r="H624" s="69"/>
      <c r="I624" s="69"/>
    </row>
    <row r="625" spans="1:9" ht="12" customHeight="1">
      <c r="A625" s="17">
        <f>Start.listina!AH550</f>
        <v>0</v>
      </c>
      <c r="B625" s="17">
        <f>Start.listina!I550</f>
        <v>0</v>
      </c>
      <c r="C625" s="17">
        <f>Start.listina!J550</f>
        <v>0</v>
      </c>
      <c r="D625" s="17">
        <f>Start.listina!K550</f>
        <v>0</v>
      </c>
      <c r="E625" s="17">
        <f>Start.listina!L550</f>
        <v>0</v>
      </c>
      <c r="F625" s="17"/>
      <c r="G625" s="142" t="str">
        <f>IF(N(A625)&gt;0,VLOOKUP(A625,Body!$A$4:$F$259,5,0),"")</f>
        <v/>
      </c>
      <c r="H625" s="69" t="str">
        <f>IF(N(A625)&gt;0,VLOOKUP(A625,Body!$A$4:$F$259,6,0),"")</f>
        <v/>
      </c>
      <c r="I625" s="69" t="str">
        <f>IF(N(A625)&gt;0,VLOOKUP(A625,Body!$A$4:$F$259,2,0),"")</f>
        <v/>
      </c>
    </row>
    <row r="626" spans="1:9" ht="12" customHeight="1">
      <c r="A626" s="17"/>
      <c r="B626" s="17">
        <f>Start.listina!O550</f>
        <v>0</v>
      </c>
      <c r="C626" s="17">
        <f>Start.listina!P550</f>
        <v>0</v>
      </c>
      <c r="D626" s="17">
        <f>Start.listina!Q550</f>
        <v>0</v>
      </c>
      <c r="E626" s="17">
        <f>Start.listina!R550</f>
        <v>0</v>
      </c>
      <c r="F626" s="17"/>
      <c r="G626" s="142"/>
      <c r="H626" s="69"/>
      <c r="I626" s="69"/>
    </row>
    <row r="627" spans="1:9" ht="12" customHeight="1">
      <c r="A627" s="17"/>
      <c r="B627" s="17">
        <f>Start.listina!U550</f>
        <v>0</v>
      </c>
      <c r="C627" s="17">
        <f>Start.listina!V550</f>
        <v>0</v>
      </c>
      <c r="D627" s="17">
        <f>Start.listina!W550</f>
        <v>0</v>
      </c>
      <c r="E627" s="17">
        <f>Start.listina!X550</f>
        <v>0</v>
      </c>
      <c r="F627" s="17"/>
      <c r="G627" s="142"/>
      <c r="H627" s="69"/>
      <c r="I627" s="69"/>
    </row>
    <row r="628" spans="1:9" ht="12" customHeight="1">
      <c r="A628" s="17"/>
      <c r="B628" s="17">
        <f>Start.listina!AA550</f>
        <v>0</v>
      </c>
      <c r="C628" s="17">
        <f>Start.listina!AB550</f>
        <v>0</v>
      </c>
      <c r="D628" s="17">
        <f>Start.listina!AC550</f>
        <v>0</v>
      </c>
      <c r="E628" s="17">
        <f>Start.listina!AD550</f>
        <v>0</v>
      </c>
      <c r="F628" s="17"/>
      <c r="G628" s="142"/>
      <c r="H628" s="69"/>
      <c r="I628" s="69"/>
    </row>
    <row r="629" spans="1:9" ht="12" customHeight="1">
      <c r="A629" s="17">
        <f>Start.listina!AH551</f>
        <v>0</v>
      </c>
      <c r="B629" s="17">
        <f>Start.listina!I551</f>
        <v>0</v>
      </c>
      <c r="C629" s="141">
        <f>Start.listina!J551</f>
        <v>0</v>
      </c>
      <c r="D629" s="17">
        <f>Start.listina!K551</f>
        <v>0</v>
      </c>
      <c r="E629" s="17">
        <f>Start.listina!L551</f>
        <v>0</v>
      </c>
      <c r="F629" s="17"/>
      <c r="G629" s="142" t="str">
        <f>IF(N(A629)&gt;0,VLOOKUP(A629,Body!$A$4:$F$259,5,0),"")</f>
        <v/>
      </c>
      <c r="H629" s="69" t="str">
        <f>IF(N(A629)&gt;0,VLOOKUP(A629,Body!$A$4:$F$259,6,0),"")</f>
        <v/>
      </c>
      <c r="I629" s="69" t="str">
        <f>IF(N(A629)&gt;0,VLOOKUP(A629,Body!$A$4:$F$259,2,0),"")</f>
        <v/>
      </c>
    </row>
    <row r="630" spans="1:9" ht="12" customHeight="1">
      <c r="A630" s="17"/>
      <c r="B630" s="17">
        <f>Start.listina!O551</f>
        <v>0</v>
      </c>
      <c r="C630" s="17">
        <f>Start.listina!P551</f>
        <v>0</v>
      </c>
      <c r="D630" s="17">
        <f>Start.listina!Q551</f>
        <v>0</v>
      </c>
      <c r="E630" s="17">
        <f>Start.listina!R551</f>
        <v>0</v>
      </c>
      <c r="F630" s="17"/>
      <c r="G630" s="142"/>
      <c r="H630" s="69"/>
      <c r="I630" s="69"/>
    </row>
    <row r="631" spans="1:9" ht="12" customHeight="1">
      <c r="A631" s="17"/>
      <c r="B631" s="17">
        <f>Start.listina!U551</f>
        <v>0</v>
      </c>
      <c r="C631" s="17">
        <f>Start.listina!V551</f>
        <v>0</v>
      </c>
      <c r="D631" s="17">
        <f>Start.listina!W551</f>
        <v>0</v>
      </c>
      <c r="E631" s="17">
        <f>Start.listina!X551</f>
        <v>0</v>
      </c>
      <c r="F631" s="17"/>
      <c r="G631" s="142"/>
      <c r="H631" s="69"/>
      <c r="I631" s="69"/>
    </row>
    <row r="632" spans="1:9" ht="12" customHeight="1">
      <c r="A632" s="17"/>
      <c r="B632" s="17">
        <f>Start.listina!AA551</f>
        <v>0</v>
      </c>
      <c r="C632" s="17">
        <f>Start.listina!AB551</f>
        <v>0</v>
      </c>
      <c r="D632" s="17">
        <f>Start.listina!AC551</f>
        <v>0</v>
      </c>
      <c r="E632" s="17">
        <f>Start.listina!AD551</f>
        <v>0</v>
      </c>
      <c r="F632" s="17"/>
      <c r="G632" s="142"/>
      <c r="H632" s="69"/>
      <c r="I632" s="69"/>
    </row>
    <row r="633" spans="1:9" ht="12" customHeight="1">
      <c r="A633" s="17">
        <f>Start.listina!AH552</f>
        <v>0</v>
      </c>
      <c r="B633" s="17">
        <f>Start.listina!I552</f>
        <v>0</v>
      </c>
      <c r="C633" s="141">
        <f>Start.listina!J552</f>
        <v>0</v>
      </c>
      <c r="D633" s="17">
        <f>Start.listina!K552</f>
        <v>0</v>
      </c>
      <c r="E633" s="17">
        <f>Start.listina!L552</f>
        <v>0</v>
      </c>
      <c r="F633" s="17"/>
      <c r="G633" s="142" t="str">
        <f>IF(N(A633)&gt;0,VLOOKUP(A633,Body!$A$4:$F$259,5,0),"")</f>
        <v/>
      </c>
      <c r="H633" s="69" t="str">
        <f>IF(N(A633)&gt;0,VLOOKUP(A633,Body!$A$4:$F$259,6,0),"")</f>
        <v/>
      </c>
      <c r="I633" s="69" t="str">
        <f>IF(N(A633)&gt;0,VLOOKUP(A633,Body!$A$4:$F$259,2,0),"")</f>
        <v/>
      </c>
    </row>
    <row r="634" spans="1:9" ht="12" customHeight="1">
      <c r="A634" s="17"/>
      <c r="B634" s="17">
        <f>Start.listina!O552</f>
        <v>0</v>
      </c>
      <c r="C634" s="17">
        <f>Start.listina!P552</f>
        <v>0</v>
      </c>
      <c r="D634" s="17">
        <f>Start.listina!Q552</f>
        <v>0</v>
      </c>
      <c r="E634" s="17">
        <f>Start.listina!R552</f>
        <v>0</v>
      </c>
      <c r="F634" s="17"/>
      <c r="G634" s="142"/>
      <c r="H634" s="69"/>
      <c r="I634" s="69"/>
    </row>
    <row r="635" spans="1:9" ht="12" customHeight="1">
      <c r="A635" s="17"/>
      <c r="B635" s="17">
        <f>Start.listina!U552</f>
        <v>0</v>
      </c>
      <c r="C635" s="17">
        <f>Start.listina!V552</f>
        <v>0</v>
      </c>
      <c r="D635" s="17">
        <f>Start.listina!W552</f>
        <v>0</v>
      </c>
      <c r="E635" s="17">
        <f>Start.listina!X552</f>
        <v>0</v>
      </c>
      <c r="F635" s="17"/>
      <c r="G635" s="142"/>
      <c r="H635" s="69"/>
      <c r="I635" s="69"/>
    </row>
    <row r="636" spans="1:9" ht="12" customHeight="1">
      <c r="A636" s="17"/>
      <c r="B636" s="17">
        <f>Start.listina!AA552</f>
        <v>0</v>
      </c>
      <c r="C636" s="17">
        <f>Start.listina!AB552</f>
        <v>0</v>
      </c>
      <c r="D636" s="17">
        <f>Start.listina!AC552</f>
        <v>0</v>
      </c>
      <c r="E636" s="17">
        <f>Start.listina!AD552</f>
        <v>0</v>
      </c>
      <c r="F636" s="17"/>
      <c r="G636" s="142"/>
      <c r="H636" s="69"/>
      <c r="I636" s="69"/>
    </row>
    <row r="637" spans="1:9" ht="12" customHeight="1">
      <c r="A637" s="17">
        <f>Start.listina!AH553</f>
        <v>0</v>
      </c>
      <c r="B637" s="17">
        <f>Start.listina!I553</f>
        <v>0</v>
      </c>
      <c r="C637" s="141">
        <f>Start.listina!J553</f>
        <v>0</v>
      </c>
      <c r="D637" s="17">
        <f>Start.listina!K553</f>
        <v>0</v>
      </c>
      <c r="E637" s="17">
        <f>Start.listina!L553</f>
        <v>0</v>
      </c>
      <c r="F637" s="17"/>
      <c r="G637" s="142" t="str">
        <f>IF(N(A637)&gt;0,VLOOKUP(A637,Body!$A$4:$F$259,5,0),"")</f>
        <v/>
      </c>
      <c r="H637" s="69" t="str">
        <f>IF(N(A637)&gt;0,VLOOKUP(A637,Body!$A$4:$F$259,6,0),"")</f>
        <v/>
      </c>
      <c r="I637" s="69" t="str">
        <f>IF(N(A637)&gt;0,VLOOKUP(A637,Body!$A$4:$F$259,2,0),"")</f>
        <v/>
      </c>
    </row>
    <row r="638" spans="1:9" ht="12" customHeight="1">
      <c r="A638" s="17"/>
      <c r="B638" s="17">
        <f>Start.listina!O553</f>
        <v>0</v>
      </c>
      <c r="C638" s="17">
        <f>Start.listina!P553</f>
        <v>0</v>
      </c>
      <c r="D638" s="17">
        <f>Start.listina!Q553</f>
        <v>0</v>
      </c>
      <c r="E638" s="17">
        <f>Start.listina!R553</f>
        <v>0</v>
      </c>
      <c r="F638" s="17"/>
      <c r="G638" s="142"/>
      <c r="H638" s="69"/>
      <c r="I638" s="69"/>
    </row>
    <row r="639" spans="1:9" ht="12" customHeight="1">
      <c r="A639" s="17"/>
      <c r="B639" s="17">
        <f>Start.listina!U553</f>
        <v>0</v>
      </c>
      <c r="C639" s="17">
        <f>Start.listina!V553</f>
        <v>0</v>
      </c>
      <c r="D639" s="17">
        <f>Start.listina!W553</f>
        <v>0</v>
      </c>
      <c r="E639" s="17">
        <f>Start.listina!X553</f>
        <v>0</v>
      </c>
      <c r="F639" s="17"/>
      <c r="G639" s="142"/>
      <c r="H639" s="69"/>
      <c r="I639" s="69"/>
    </row>
    <row r="640" spans="1:9" ht="12" customHeight="1">
      <c r="A640" s="17"/>
      <c r="B640" s="17">
        <f>Start.listina!AA553</f>
        <v>0</v>
      </c>
      <c r="C640" s="17">
        <f>Start.listina!AB553</f>
        <v>0</v>
      </c>
      <c r="D640" s="17">
        <f>Start.listina!AC553</f>
        <v>0</v>
      </c>
      <c r="E640" s="17">
        <f>Start.listina!AD553</f>
        <v>0</v>
      </c>
      <c r="F640" s="17"/>
      <c r="G640" s="142"/>
      <c r="H640" s="69"/>
      <c r="I640" s="69"/>
    </row>
    <row r="641" spans="1:9" ht="12" customHeight="1">
      <c r="A641" s="17">
        <f>Start.listina!AH554</f>
        <v>0</v>
      </c>
      <c r="B641" s="17">
        <f>Start.listina!I554</f>
        <v>0</v>
      </c>
      <c r="C641" s="141">
        <f>Start.listina!J554</f>
        <v>0</v>
      </c>
      <c r="D641" s="17">
        <f>Start.listina!K554</f>
        <v>0</v>
      </c>
      <c r="E641" s="17">
        <f>Start.listina!L554</f>
        <v>0</v>
      </c>
      <c r="F641" s="17"/>
      <c r="G641" s="142" t="str">
        <f>IF(N(A641)&gt;0,VLOOKUP(A641,Body!$A$4:$F$259,5,0),"")</f>
        <v/>
      </c>
      <c r="H641" s="69" t="str">
        <f>IF(N(A641)&gt;0,VLOOKUP(A641,Body!$A$4:$F$259,6,0),"")</f>
        <v/>
      </c>
      <c r="I641" s="69" t="str">
        <f>IF(N(A641)&gt;0,VLOOKUP(A641,Body!$A$4:$F$259,2,0),"")</f>
        <v/>
      </c>
    </row>
    <row r="642" spans="1:9" ht="12" customHeight="1">
      <c r="A642" s="17"/>
      <c r="B642" s="17">
        <f>Start.listina!O554</f>
        <v>0</v>
      </c>
      <c r="C642" s="17">
        <f>Start.listina!P554</f>
        <v>0</v>
      </c>
      <c r="D642" s="17">
        <f>Start.listina!Q554</f>
        <v>0</v>
      </c>
      <c r="E642" s="17">
        <f>Start.listina!R554</f>
        <v>0</v>
      </c>
      <c r="F642" s="17"/>
      <c r="G642" s="142"/>
      <c r="H642" s="69"/>
      <c r="I642" s="69"/>
    </row>
    <row r="643" spans="1:9" ht="12" customHeight="1">
      <c r="A643" s="17"/>
      <c r="B643" s="17">
        <f>Start.listina!U554</f>
        <v>0</v>
      </c>
      <c r="C643" s="17">
        <f>Start.listina!V554</f>
        <v>0</v>
      </c>
      <c r="D643" s="17">
        <f>Start.listina!W554</f>
        <v>0</v>
      </c>
      <c r="E643" s="17">
        <f>Start.listina!X554</f>
        <v>0</v>
      </c>
      <c r="F643" s="17"/>
      <c r="G643" s="142"/>
      <c r="H643" s="69"/>
      <c r="I643" s="69"/>
    </row>
    <row r="644" spans="1:9" ht="12" customHeight="1">
      <c r="A644" s="17"/>
      <c r="B644" s="17">
        <f>Start.listina!AA554</f>
        <v>0</v>
      </c>
      <c r="C644" s="17">
        <f>Start.listina!AB554</f>
        <v>0</v>
      </c>
      <c r="D644" s="17">
        <f>Start.listina!AC554</f>
        <v>0</v>
      </c>
      <c r="E644" s="17">
        <f>Start.listina!AD554</f>
        <v>0</v>
      </c>
      <c r="F644" s="17"/>
      <c r="G644" s="142"/>
      <c r="H644" s="69"/>
      <c r="I644" s="69"/>
    </row>
    <row r="645" spans="1:9" ht="12" customHeight="1">
      <c r="A645" s="17">
        <f>Start.listina!AH555</f>
        <v>0</v>
      </c>
      <c r="B645" s="17">
        <f>Start.listina!I555</f>
        <v>0</v>
      </c>
      <c r="C645" s="141">
        <f>Start.listina!J555</f>
        <v>0</v>
      </c>
      <c r="D645" s="17">
        <f>Start.listina!K555</f>
        <v>0</v>
      </c>
      <c r="E645" s="17">
        <f>Start.listina!L555</f>
        <v>0</v>
      </c>
      <c r="F645" s="17"/>
      <c r="G645" s="142" t="str">
        <f>IF(N(A645)&gt;0,VLOOKUP(A645,Body!$A$4:$F$259,5,0),"")</f>
        <v/>
      </c>
      <c r="H645" s="69" t="str">
        <f>IF(N(A645)&gt;0,VLOOKUP(A645,Body!$A$4:$F$259,6,0),"")</f>
        <v/>
      </c>
      <c r="I645" s="69" t="str">
        <f>IF(N(A645)&gt;0,VLOOKUP(A645,Body!$A$4:$F$259,2,0),"")</f>
        <v/>
      </c>
    </row>
    <row r="646" spans="1:9" ht="12" customHeight="1">
      <c r="A646" s="17"/>
      <c r="B646" s="17">
        <f>Start.listina!O555</f>
        <v>0</v>
      </c>
      <c r="C646" s="17">
        <f>Start.listina!P555</f>
        <v>0</v>
      </c>
      <c r="D646" s="17">
        <f>Start.listina!Q555</f>
        <v>0</v>
      </c>
      <c r="E646" s="17">
        <f>Start.listina!R555</f>
        <v>0</v>
      </c>
      <c r="F646" s="17"/>
      <c r="G646" s="142"/>
      <c r="H646" s="69"/>
      <c r="I646" s="69"/>
    </row>
    <row r="647" spans="1:9" ht="12" customHeight="1">
      <c r="A647" s="17"/>
      <c r="B647" s="17">
        <f>Start.listina!U555</f>
        <v>0</v>
      </c>
      <c r="C647" s="17">
        <f>Start.listina!V555</f>
        <v>0</v>
      </c>
      <c r="D647" s="17">
        <f>Start.listina!W555</f>
        <v>0</v>
      </c>
      <c r="E647" s="17">
        <f>Start.listina!X555</f>
        <v>0</v>
      </c>
      <c r="F647" s="17"/>
      <c r="G647" s="142"/>
      <c r="H647" s="69"/>
      <c r="I647" s="69"/>
    </row>
    <row r="648" spans="1:9" ht="12" customHeight="1">
      <c r="A648" s="17"/>
      <c r="B648" s="17">
        <f>Start.listina!AA555</f>
        <v>0</v>
      </c>
      <c r="C648" s="17">
        <f>Start.listina!AB555</f>
        <v>0</v>
      </c>
      <c r="D648" s="17">
        <f>Start.listina!AC555</f>
        <v>0</v>
      </c>
      <c r="E648" s="17">
        <f>Start.listina!AD555</f>
        <v>0</v>
      </c>
      <c r="F648" s="17"/>
      <c r="G648" s="142"/>
      <c r="H648" s="69"/>
      <c r="I648" s="69"/>
    </row>
    <row r="649" spans="1:9" ht="12" customHeight="1">
      <c r="A649" s="17">
        <f>Start.listina!AH556</f>
        <v>0</v>
      </c>
      <c r="B649" s="17">
        <f>Start.listina!I556</f>
        <v>0</v>
      </c>
      <c r="C649" s="141">
        <f>Start.listina!J556</f>
        <v>0</v>
      </c>
      <c r="D649" s="17">
        <f>Start.listina!K556</f>
        <v>0</v>
      </c>
      <c r="E649" s="17">
        <f>Start.listina!L556</f>
        <v>0</v>
      </c>
      <c r="F649" s="17"/>
      <c r="G649" s="142" t="str">
        <f>IF(N(A649)&gt;0,VLOOKUP(A649,Body!$A$4:$F$259,5,0),"")</f>
        <v/>
      </c>
      <c r="H649" s="69" t="str">
        <f>IF(N(A649)&gt;0,VLOOKUP(A649,Body!$A$4:$F$259,6,0),"")</f>
        <v/>
      </c>
      <c r="I649" s="69" t="str">
        <f>IF(N(A649)&gt;0,VLOOKUP(A649,Body!$A$4:$F$259,2,0),"")</f>
        <v/>
      </c>
    </row>
    <row r="650" spans="1:9" ht="12" customHeight="1">
      <c r="A650" s="17"/>
      <c r="B650" s="17">
        <f>Start.listina!O556</f>
        <v>0</v>
      </c>
      <c r="C650" s="17">
        <f>Start.listina!P556</f>
        <v>0</v>
      </c>
      <c r="D650" s="17">
        <f>Start.listina!Q556</f>
        <v>0</v>
      </c>
      <c r="E650" s="17">
        <f>Start.listina!R556</f>
        <v>0</v>
      </c>
      <c r="F650" s="17"/>
      <c r="G650" s="142"/>
      <c r="H650" s="69"/>
      <c r="I650" s="69"/>
    </row>
    <row r="651" spans="1:9" ht="12" customHeight="1">
      <c r="A651" s="17"/>
      <c r="B651" s="17">
        <f>Start.listina!U556</f>
        <v>0</v>
      </c>
      <c r="C651" s="17">
        <f>Start.listina!V556</f>
        <v>0</v>
      </c>
      <c r="D651" s="17">
        <f>Start.listina!W556</f>
        <v>0</v>
      </c>
      <c r="E651" s="17">
        <f>Start.listina!X556</f>
        <v>0</v>
      </c>
      <c r="F651" s="17"/>
      <c r="G651" s="142"/>
      <c r="H651" s="69"/>
      <c r="I651" s="69"/>
    </row>
    <row r="652" spans="1:9" ht="12" customHeight="1">
      <c r="A652" s="17"/>
      <c r="B652" s="17">
        <f>Start.listina!AA556</f>
        <v>0</v>
      </c>
      <c r="C652" s="17">
        <f>Start.listina!AB556</f>
        <v>0</v>
      </c>
      <c r="D652" s="17">
        <f>Start.listina!AC556</f>
        <v>0</v>
      </c>
      <c r="E652" s="17">
        <f>Start.listina!AD556</f>
        <v>0</v>
      </c>
      <c r="F652" s="17"/>
      <c r="G652" s="142"/>
      <c r="H652" s="69"/>
      <c r="I652" s="69"/>
    </row>
    <row r="653" spans="1:9" ht="12" customHeight="1">
      <c r="A653" s="17">
        <f>Start.listina!AH557</f>
        <v>0</v>
      </c>
      <c r="B653" s="17">
        <f>Start.listina!I557</f>
        <v>0</v>
      </c>
      <c r="C653" s="141">
        <f>Start.listina!J557</f>
        <v>0</v>
      </c>
      <c r="D653" s="17">
        <f>Start.listina!K557</f>
        <v>0</v>
      </c>
      <c r="E653" s="17">
        <f>Start.listina!L557</f>
        <v>0</v>
      </c>
      <c r="F653" s="17"/>
      <c r="G653" s="142" t="str">
        <f>IF(N(A653)&gt;0,VLOOKUP(A653,Body!$A$4:$F$259,5,0),"")</f>
        <v/>
      </c>
      <c r="H653" s="69" t="str">
        <f>IF(N(A653)&gt;0,VLOOKUP(A653,Body!$A$4:$F$259,6,0),"")</f>
        <v/>
      </c>
      <c r="I653" s="69" t="str">
        <f>IF(N(A653)&gt;0,VLOOKUP(A653,Body!$A$4:$F$259,2,0),"")</f>
        <v/>
      </c>
    </row>
    <row r="654" spans="1:9" ht="12" customHeight="1">
      <c r="A654" s="17"/>
      <c r="B654" s="17">
        <f>Start.listina!O557</f>
        <v>0</v>
      </c>
      <c r="C654" s="17">
        <f>Start.listina!P557</f>
        <v>0</v>
      </c>
      <c r="D654" s="17">
        <f>Start.listina!Q557</f>
        <v>0</v>
      </c>
      <c r="E654" s="17">
        <f>Start.listina!R557</f>
        <v>0</v>
      </c>
      <c r="F654" s="17"/>
      <c r="G654" s="142"/>
      <c r="H654" s="69"/>
      <c r="I654" s="69"/>
    </row>
    <row r="655" spans="1:9" ht="12" customHeight="1">
      <c r="A655" s="17"/>
      <c r="B655" s="17">
        <f>Start.listina!U557</f>
        <v>0</v>
      </c>
      <c r="C655" s="17">
        <f>Start.listina!V557</f>
        <v>0</v>
      </c>
      <c r="D655" s="17">
        <f>Start.listina!W557</f>
        <v>0</v>
      </c>
      <c r="E655" s="17">
        <f>Start.listina!X557</f>
        <v>0</v>
      </c>
      <c r="F655" s="17"/>
      <c r="G655" s="142"/>
      <c r="H655" s="69"/>
      <c r="I655" s="69"/>
    </row>
    <row r="656" spans="1:9" ht="12" customHeight="1">
      <c r="A656" s="17"/>
      <c r="B656" s="17">
        <f>Start.listina!AA557</f>
        <v>0</v>
      </c>
      <c r="C656" s="17">
        <f>Start.listina!AB557</f>
        <v>0</v>
      </c>
      <c r="D656" s="17">
        <f>Start.listina!AC557</f>
        <v>0</v>
      </c>
      <c r="E656" s="17">
        <f>Start.listina!AD557</f>
        <v>0</v>
      </c>
      <c r="F656" s="17"/>
      <c r="G656" s="142"/>
      <c r="H656" s="69"/>
      <c r="I656" s="69"/>
    </row>
    <row r="657" spans="1:9" ht="12" customHeight="1">
      <c r="A657" s="17">
        <f>Start.listina!AH558</f>
        <v>0</v>
      </c>
      <c r="B657" s="17">
        <f>Start.listina!I558</f>
        <v>0</v>
      </c>
      <c r="C657" s="141">
        <f>Start.listina!J558</f>
        <v>0</v>
      </c>
      <c r="D657" s="17">
        <f>Start.listina!K558</f>
        <v>0</v>
      </c>
      <c r="E657" s="17">
        <f>Start.listina!L558</f>
        <v>0</v>
      </c>
      <c r="F657" s="17"/>
      <c r="G657" s="142" t="str">
        <f>IF(N(A657)&gt;0,VLOOKUP(A657,Body!$A$4:$F$259,5,0),"")</f>
        <v/>
      </c>
      <c r="H657" s="69" t="str">
        <f>IF(N(A657)&gt;0,VLOOKUP(A657,Body!$A$4:$F$259,6,0),"")</f>
        <v/>
      </c>
      <c r="I657" s="69" t="str">
        <f>IF(N(A657)&gt;0,VLOOKUP(A657,Body!$A$4:$F$259,2,0),"")</f>
        <v/>
      </c>
    </row>
    <row r="658" spans="1:9" ht="12" customHeight="1">
      <c r="A658" s="17"/>
      <c r="B658" s="17">
        <f>Start.listina!O558</f>
        <v>0</v>
      </c>
      <c r="C658" s="17">
        <f>Start.listina!P558</f>
        <v>0</v>
      </c>
      <c r="D658" s="17">
        <f>Start.listina!Q558</f>
        <v>0</v>
      </c>
      <c r="E658" s="17">
        <f>Start.listina!R558</f>
        <v>0</v>
      </c>
      <c r="F658" s="17"/>
      <c r="G658" s="142"/>
      <c r="H658" s="69"/>
      <c r="I658" s="69"/>
    </row>
    <row r="659" spans="1:9" ht="12" customHeight="1">
      <c r="A659" s="17"/>
      <c r="B659" s="17">
        <f>Start.listina!U558</f>
        <v>0</v>
      </c>
      <c r="C659" s="17">
        <f>Start.listina!V558</f>
        <v>0</v>
      </c>
      <c r="D659" s="17">
        <f>Start.listina!W558</f>
        <v>0</v>
      </c>
      <c r="E659" s="17">
        <f>Start.listina!X558</f>
        <v>0</v>
      </c>
      <c r="F659" s="17"/>
      <c r="G659" s="142"/>
      <c r="H659" s="69"/>
      <c r="I659" s="69"/>
    </row>
    <row r="660" spans="1:9" ht="12" customHeight="1">
      <c r="A660" s="17"/>
      <c r="B660" s="17">
        <f>Start.listina!AA558</f>
        <v>0</v>
      </c>
      <c r="C660" s="17">
        <f>Start.listina!AB558</f>
        <v>0</v>
      </c>
      <c r="D660" s="17">
        <f>Start.listina!AC558</f>
        <v>0</v>
      </c>
      <c r="E660" s="17">
        <f>Start.listina!AD558</f>
        <v>0</v>
      </c>
      <c r="F660" s="17"/>
      <c r="G660" s="142"/>
      <c r="H660" s="69"/>
      <c r="I660" s="69"/>
    </row>
    <row r="661" spans="1:9" ht="12" customHeight="1">
      <c r="A661" s="17">
        <f>Start.listina!AH559</f>
        <v>0</v>
      </c>
      <c r="B661" s="17">
        <f>Start.listina!I559</f>
        <v>0</v>
      </c>
      <c r="C661" s="141">
        <f>Start.listina!J559</f>
        <v>0</v>
      </c>
      <c r="D661" s="17">
        <f>Start.listina!K559</f>
        <v>0</v>
      </c>
      <c r="E661" s="17">
        <f>Start.listina!L559</f>
        <v>0</v>
      </c>
      <c r="F661" s="17"/>
      <c r="G661" s="142" t="str">
        <f>IF(N(A661)&gt;0,VLOOKUP(A661,Body!$A$4:$F$259,5,0),"")</f>
        <v/>
      </c>
      <c r="H661" s="69" t="str">
        <f>IF(N(A661)&gt;0,VLOOKUP(A661,Body!$A$4:$F$259,6,0),"")</f>
        <v/>
      </c>
      <c r="I661" s="69" t="str">
        <f>IF(N(A661)&gt;0,VLOOKUP(A661,Body!$A$4:$F$259,2,0),"")</f>
        <v/>
      </c>
    </row>
    <row r="662" spans="1:9" ht="12" customHeight="1">
      <c r="A662" s="17"/>
      <c r="B662" s="17">
        <f>Start.listina!O559</f>
        <v>0</v>
      </c>
      <c r="C662" s="17">
        <f>Start.listina!P559</f>
        <v>0</v>
      </c>
      <c r="D662" s="17">
        <f>Start.listina!Q559</f>
        <v>0</v>
      </c>
      <c r="E662" s="17">
        <f>Start.listina!R559</f>
        <v>0</v>
      </c>
      <c r="F662" s="17"/>
      <c r="G662" s="142"/>
      <c r="H662" s="69"/>
      <c r="I662" s="69"/>
    </row>
    <row r="663" spans="1:9" ht="12" customHeight="1">
      <c r="A663" s="17"/>
      <c r="B663" s="17">
        <f>Start.listina!U559</f>
        <v>0</v>
      </c>
      <c r="C663" s="17">
        <f>Start.listina!V559</f>
        <v>0</v>
      </c>
      <c r="D663" s="17">
        <f>Start.listina!W559</f>
        <v>0</v>
      </c>
      <c r="E663" s="17">
        <f>Start.listina!X559</f>
        <v>0</v>
      </c>
      <c r="F663" s="17"/>
      <c r="G663" s="142"/>
      <c r="H663" s="69"/>
      <c r="I663" s="69"/>
    </row>
    <row r="664" spans="1:9" ht="12" customHeight="1">
      <c r="A664" s="17"/>
      <c r="B664" s="17">
        <f>Start.listina!AA559</f>
        <v>0</v>
      </c>
      <c r="C664" s="17">
        <f>Start.listina!AB559</f>
        <v>0</v>
      </c>
      <c r="D664" s="17">
        <f>Start.listina!AC559</f>
        <v>0</v>
      </c>
      <c r="E664" s="17">
        <f>Start.listina!AD559</f>
        <v>0</v>
      </c>
      <c r="F664" s="17"/>
      <c r="G664" s="142"/>
      <c r="H664" s="69"/>
      <c r="I664" s="69"/>
    </row>
    <row r="665" spans="1:9" ht="12" customHeight="1">
      <c r="A665" s="17">
        <f>Start.listina!AH560</f>
        <v>0</v>
      </c>
      <c r="B665" s="17">
        <f>Start.listina!I560</f>
        <v>0</v>
      </c>
      <c r="C665" s="141">
        <f>Start.listina!J560</f>
        <v>0</v>
      </c>
      <c r="D665" s="17">
        <f>Start.listina!K560</f>
        <v>0</v>
      </c>
      <c r="E665" s="17">
        <f>Start.listina!L560</f>
        <v>0</v>
      </c>
      <c r="F665" s="17"/>
      <c r="G665" s="142" t="str">
        <f>IF(N(A665)&gt;0,VLOOKUP(A665,Body!$A$4:$F$259,5,0),"")</f>
        <v/>
      </c>
      <c r="H665" s="69" t="str">
        <f>IF(N(A665)&gt;0,VLOOKUP(A665,Body!$A$4:$F$259,6,0),"")</f>
        <v/>
      </c>
      <c r="I665" s="69" t="str">
        <f>IF(N(A665)&gt;0,VLOOKUP(A665,Body!$A$4:$F$259,2,0),"")</f>
        <v/>
      </c>
    </row>
    <row r="666" spans="1:9" ht="12" customHeight="1">
      <c r="A666" s="17"/>
      <c r="B666" s="17">
        <f>Start.listina!O560</f>
        <v>0</v>
      </c>
      <c r="C666" s="17">
        <f>Start.listina!P560</f>
        <v>0</v>
      </c>
      <c r="D666" s="17">
        <f>Start.listina!Q560</f>
        <v>0</v>
      </c>
      <c r="E666" s="17">
        <f>Start.listina!R560</f>
        <v>0</v>
      </c>
      <c r="F666" s="17"/>
      <c r="G666" s="142"/>
      <c r="H666" s="69"/>
      <c r="I666" s="69"/>
    </row>
    <row r="667" spans="1:9" ht="12" customHeight="1">
      <c r="A667" s="17"/>
      <c r="B667" s="17">
        <f>Start.listina!U560</f>
        <v>0</v>
      </c>
      <c r="C667" s="17">
        <f>Start.listina!V560</f>
        <v>0</v>
      </c>
      <c r="D667" s="17">
        <f>Start.listina!W560</f>
        <v>0</v>
      </c>
      <c r="E667" s="17">
        <f>Start.listina!X560</f>
        <v>0</v>
      </c>
      <c r="F667" s="17"/>
      <c r="G667" s="142"/>
      <c r="H667" s="69"/>
      <c r="I667" s="69"/>
    </row>
    <row r="668" spans="1:9" ht="12" customHeight="1">
      <c r="A668" s="17"/>
      <c r="B668" s="17">
        <f>Start.listina!AA560</f>
        <v>0</v>
      </c>
      <c r="C668" s="17">
        <f>Start.listina!AB560</f>
        <v>0</v>
      </c>
      <c r="D668" s="17">
        <f>Start.listina!AC560</f>
        <v>0</v>
      </c>
      <c r="E668" s="17">
        <f>Start.listina!AD560</f>
        <v>0</v>
      </c>
      <c r="F668" s="17"/>
      <c r="G668" s="142"/>
      <c r="H668" s="69"/>
      <c r="I668" s="69"/>
    </row>
    <row r="669" spans="1:9" ht="12" customHeight="1">
      <c r="A669" s="17">
        <f>Start.listina!AH561</f>
        <v>0</v>
      </c>
      <c r="B669" s="17">
        <f>Start.listina!I561</f>
        <v>0</v>
      </c>
      <c r="C669" s="141">
        <f>Start.listina!J561</f>
        <v>0</v>
      </c>
      <c r="D669" s="17">
        <f>Start.listina!K561</f>
        <v>0</v>
      </c>
      <c r="E669" s="17">
        <f>Start.listina!L561</f>
        <v>0</v>
      </c>
      <c r="F669" s="17"/>
      <c r="G669" s="142" t="str">
        <f>IF(N(A669)&gt;0,VLOOKUP(A669,Body!$A$4:$F$259,5,0),"")</f>
        <v/>
      </c>
      <c r="H669" s="69" t="str">
        <f>IF(N(A669)&gt;0,VLOOKUP(A669,Body!$A$4:$F$259,6,0),"")</f>
        <v/>
      </c>
      <c r="I669" s="69" t="str">
        <f>IF(N(A669)&gt;0,VLOOKUP(A669,Body!$A$4:$F$259,2,0),"")</f>
        <v/>
      </c>
    </row>
    <row r="670" spans="1:9" ht="12" customHeight="1">
      <c r="A670" s="17"/>
      <c r="B670" s="17">
        <f>Start.listina!O561</f>
        <v>0</v>
      </c>
      <c r="C670" s="17">
        <f>Start.listina!P561</f>
        <v>0</v>
      </c>
      <c r="D670" s="17">
        <f>Start.listina!Q561</f>
        <v>0</v>
      </c>
      <c r="E670" s="17">
        <f>Start.listina!R561</f>
        <v>0</v>
      </c>
      <c r="F670" s="17"/>
      <c r="G670" s="142"/>
      <c r="H670" s="69"/>
      <c r="I670" s="69"/>
    </row>
    <row r="671" spans="1:9" ht="12" customHeight="1">
      <c r="A671" s="17"/>
      <c r="B671" s="17">
        <f>Start.listina!U561</f>
        <v>0</v>
      </c>
      <c r="C671" s="17">
        <f>Start.listina!V561</f>
        <v>0</v>
      </c>
      <c r="D671" s="17">
        <f>Start.listina!W561</f>
        <v>0</v>
      </c>
      <c r="E671" s="17">
        <f>Start.listina!X561</f>
        <v>0</v>
      </c>
      <c r="F671" s="17"/>
      <c r="G671" s="142"/>
      <c r="H671" s="69"/>
      <c r="I671" s="69"/>
    </row>
    <row r="672" spans="1:9" ht="12" customHeight="1">
      <c r="A672" s="17"/>
      <c r="B672" s="17">
        <f>Start.listina!AA561</f>
        <v>0</v>
      </c>
      <c r="C672" s="17">
        <f>Start.listina!AB561</f>
        <v>0</v>
      </c>
      <c r="D672" s="17">
        <f>Start.listina!AC561</f>
        <v>0</v>
      </c>
      <c r="E672" s="17">
        <f>Start.listina!AD561</f>
        <v>0</v>
      </c>
      <c r="F672" s="17"/>
      <c r="G672" s="142"/>
      <c r="H672" s="69"/>
      <c r="I672" s="69"/>
    </row>
    <row r="673" spans="1:9" ht="12" customHeight="1">
      <c r="A673" s="17">
        <f>Start.listina!AH562</f>
        <v>0</v>
      </c>
      <c r="B673" s="17">
        <f>Start.listina!I562</f>
        <v>0</v>
      </c>
      <c r="C673" s="141">
        <f>Start.listina!J562</f>
        <v>0</v>
      </c>
      <c r="D673" s="17">
        <f>Start.listina!K562</f>
        <v>0</v>
      </c>
      <c r="E673" s="17">
        <f>Start.listina!L562</f>
        <v>0</v>
      </c>
      <c r="F673" s="17"/>
      <c r="G673" s="142" t="str">
        <f>IF(N(A673)&gt;0,VLOOKUP(A673,Body!$A$4:$F$259,5,0),"")</f>
        <v/>
      </c>
      <c r="H673" s="69" t="str">
        <f>IF(N(A673)&gt;0,VLOOKUP(A673,Body!$A$4:$F$259,6,0),"")</f>
        <v/>
      </c>
      <c r="I673" s="69" t="str">
        <f>IF(N(A673)&gt;0,VLOOKUP(A673,Body!$A$4:$F$259,2,0),"")</f>
        <v/>
      </c>
    </row>
    <row r="674" spans="1:9" ht="12" customHeight="1">
      <c r="A674" s="17"/>
      <c r="B674" s="17">
        <f>Start.listina!O562</f>
        <v>0</v>
      </c>
      <c r="C674" s="17">
        <f>Start.listina!P562</f>
        <v>0</v>
      </c>
      <c r="D674" s="17">
        <f>Start.listina!Q562</f>
        <v>0</v>
      </c>
      <c r="E674" s="17">
        <f>Start.listina!R562</f>
        <v>0</v>
      </c>
      <c r="F674" s="17"/>
      <c r="G674" s="142"/>
      <c r="H674" s="69"/>
      <c r="I674" s="69"/>
    </row>
    <row r="675" spans="1:9" ht="12" customHeight="1">
      <c r="A675" s="17"/>
      <c r="B675" s="17">
        <f>Start.listina!U562</f>
        <v>0</v>
      </c>
      <c r="C675" s="17">
        <f>Start.listina!V562</f>
        <v>0</v>
      </c>
      <c r="D675" s="17">
        <f>Start.listina!W562</f>
        <v>0</v>
      </c>
      <c r="E675" s="17">
        <f>Start.listina!X562</f>
        <v>0</v>
      </c>
      <c r="F675" s="17"/>
      <c r="G675" s="142"/>
      <c r="H675" s="69"/>
      <c r="I675" s="69"/>
    </row>
    <row r="676" spans="1:9" ht="12" customHeight="1">
      <c r="A676" s="17"/>
      <c r="B676" s="17">
        <f>Start.listina!AA562</f>
        <v>0</v>
      </c>
      <c r="C676" s="17">
        <f>Start.listina!AB562</f>
        <v>0</v>
      </c>
      <c r="D676" s="17">
        <f>Start.listina!AC562</f>
        <v>0</v>
      </c>
      <c r="E676" s="17">
        <f>Start.listina!AD562</f>
        <v>0</v>
      </c>
      <c r="F676" s="17"/>
      <c r="G676" s="142"/>
      <c r="H676" s="69"/>
      <c r="I676" s="69"/>
    </row>
    <row r="677" spans="1:9" ht="12" customHeight="1">
      <c r="A677" s="17">
        <f>Start.listina!AH563</f>
        <v>0</v>
      </c>
      <c r="B677" s="17">
        <f>Start.listina!I563</f>
        <v>0</v>
      </c>
      <c r="C677" s="141">
        <f>Start.listina!J563</f>
        <v>0</v>
      </c>
      <c r="D677" s="17">
        <f>Start.listina!K563</f>
        <v>0</v>
      </c>
      <c r="E677" s="17">
        <f>Start.listina!L563</f>
        <v>0</v>
      </c>
      <c r="F677" s="17"/>
      <c r="G677" s="142" t="str">
        <f>IF(N(A677)&gt;0,VLOOKUP(A677,Body!$A$4:$F$259,5,0),"")</f>
        <v/>
      </c>
      <c r="H677" s="69" t="str">
        <f>IF(N(A677)&gt;0,VLOOKUP(A677,Body!$A$4:$F$259,6,0),"")</f>
        <v/>
      </c>
      <c r="I677" s="69" t="str">
        <f>IF(N(A677)&gt;0,VLOOKUP(A677,Body!$A$4:$F$259,2,0),"")</f>
        <v/>
      </c>
    </row>
    <row r="678" spans="1:9" ht="12" customHeight="1">
      <c r="A678" s="17"/>
      <c r="B678" s="17">
        <f>Start.listina!O563</f>
        <v>0</v>
      </c>
      <c r="C678" s="17">
        <f>Start.listina!P563</f>
        <v>0</v>
      </c>
      <c r="D678" s="17">
        <f>Start.listina!Q563</f>
        <v>0</v>
      </c>
      <c r="E678" s="17">
        <f>Start.listina!R563</f>
        <v>0</v>
      </c>
      <c r="F678" s="17"/>
      <c r="G678" s="142"/>
      <c r="H678" s="69"/>
      <c r="I678" s="69"/>
    </row>
    <row r="679" spans="1:9" ht="12" customHeight="1">
      <c r="A679" s="17"/>
      <c r="B679" s="17">
        <f>Start.listina!U563</f>
        <v>0</v>
      </c>
      <c r="C679" s="17">
        <f>Start.listina!V563</f>
        <v>0</v>
      </c>
      <c r="D679" s="17">
        <f>Start.listina!W563</f>
        <v>0</v>
      </c>
      <c r="E679" s="17">
        <f>Start.listina!X563</f>
        <v>0</v>
      </c>
      <c r="F679" s="17"/>
      <c r="G679" s="142"/>
      <c r="H679" s="69"/>
      <c r="I679" s="69"/>
    </row>
    <row r="680" spans="1:9" ht="12" customHeight="1">
      <c r="A680" s="17"/>
      <c r="B680" s="17">
        <f>Start.listina!AA563</f>
        <v>0</v>
      </c>
      <c r="C680" s="17">
        <f>Start.listina!AB563</f>
        <v>0</v>
      </c>
      <c r="D680" s="17">
        <f>Start.listina!AC563</f>
        <v>0</v>
      </c>
      <c r="E680" s="17">
        <f>Start.listina!AD563</f>
        <v>0</v>
      </c>
      <c r="F680" s="17"/>
      <c r="G680" s="142"/>
      <c r="H680" s="69"/>
      <c r="I680" s="69"/>
    </row>
    <row r="681" spans="1:9" ht="12" customHeight="1">
      <c r="A681" s="17">
        <f>Start.listina!AH564</f>
        <v>0</v>
      </c>
      <c r="B681" s="17">
        <f>Start.listina!I564</f>
        <v>0</v>
      </c>
      <c r="C681" s="141">
        <f>Start.listina!J564</f>
        <v>0</v>
      </c>
      <c r="D681" s="17">
        <f>Start.listina!K564</f>
        <v>0</v>
      </c>
      <c r="E681" s="17">
        <f>Start.listina!L564</f>
        <v>0</v>
      </c>
      <c r="F681" s="17"/>
      <c r="G681" s="142" t="str">
        <f>IF(N(A681)&gt;0,VLOOKUP(A681,Body!$A$4:$F$259,5,0),"")</f>
        <v/>
      </c>
      <c r="H681" s="69" t="str">
        <f>IF(N(A681)&gt;0,VLOOKUP(A681,Body!$A$4:$F$259,6,0),"")</f>
        <v/>
      </c>
      <c r="I681" s="69" t="str">
        <f>IF(N(A681)&gt;0,VLOOKUP(A681,Body!$A$4:$F$259,2,0),"")</f>
        <v/>
      </c>
    </row>
    <row r="682" spans="1:9" ht="12" customHeight="1">
      <c r="A682" s="17"/>
      <c r="B682" s="17">
        <f>Start.listina!O564</f>
        <v>0</v>
      </c>
      <c r="C682" s="17">
        <f>Start.listina!P564</f>
        <v>0</v>
      </c>
      <c r="D682" s="17">
        <f>Start.listina!Q564</f>
        <v>0</v>
      </c>
      <c r="E682" s="17">
        <f>Start.listina!R564</f>
        <v>0</v>
      </c>
      <c r="F682" s="17"/>
      <c r="G682" s="142"/>
      <c r="H682" s="69"/>
      <c r="I682" s="69"/>
    </row>
    <row r="683" spans="1:9" ht="12" customHeight="1">
      <c r="A683" s="17"/>
      <c r="B683" s="17">
        <f>Start.listina!U564</f>
        <v>0</v>
      </c>
      <c r="C683" s="17">
        <f>Start.listina!V564</f>
        <v>0</v>
      </c>
      <c r="D683" s="17">
        <f>Start.listina!W564</f>
        <v>0</v>
      </c>
      <c r="E683" s="17">
        <f>Start.listina!X564</f>
        <v>0</v>
      </c>
      <c r="F683" s="17"/>
      <c r="G683" s="142"/>
      <c r="H683" s="69"/>
      <c r="I683" s="69"/>
    </row>
    <row r="684" spans="1:9" ht="12" customHeight="1">
      <c r="A684" s="17"/>
      <c r="B684" s="17">
        <f>Start.listina!AA564</f>
        <v>0</v>
      </c>
      <c r="C684" s="17">
        <f>Start.listina!AB564</f>
        <v>0</v>
      </c>
      <c r="D684" s="17">
        <f>Start.listina!AC564</f>
        <v>0</v>
      </c>
      <c r="E684" s="17">
        <f>Start.listina!AD564</f>
        <v>0</v>
      </c>
      <c r="F684" s="17"/>
      <c r="G684" s="142"/>
      <c r="H684" s="69"/>
      <c r="I684" s="69"/>
    </row>
    <row r="685" spans="1:9" ht="12" customHeight="1">
      <c r="A685" s="17">
        <f>Start.listina!AH565</f>
        <v>0</v>
      </c>
      <c r="B685" s="17">
        <f>Start.listina!I565</f>
        <v>0</v>
      </c>
      <c r="C685" s="141">
        <f>Start.listina!J565</f>
        <v>0</v>
      </c>
      <c r="D685" s="17">
        <f>Start.listina!K565</f>
        <v>0</v>
      </c>
      <c r="E685" s="17">
        <f>Start.listina!L565</f>
        <v>0</v>
      </c>
      <c r="F685" s="17"/>
      <c r="G685" s="142" t="str">
        <f>IF(N(A685)&gt;0,VLOOKUP(A685,Body!$A$4:$F$259,5,0),"")</f>
        <v/>
      </c>
      <c r="H685" s="69" t="str">
        <f>IF(N(A685)&gt;0,VLOOKUP(A685,Body!$A$4:$F$259,6,0),"")</f>
        <v/>
      </c>
      <c r="I685" s="69" t="str">
        <f>IF(N(A685)&gt;0,VLOOKUP(A685,Body!$A$4:$F$259,2,0),"")</f>
        <v/>
      </c>
    </row>
    <row r="686" spans="1:9" ht="12" customHeight="1">
      <c r="A686" s="17"/>
      <c r="B686" s="17">
        <f>Start.listina!O565</f>
        <v>0</v>
      </c>
      <c r="C686" s="17">
        <f>Start.listina!P565</f>
        <v>0</v>
      </c>
      <c r="D686" s="17">
        <f>Start.listina!Q565</f>
        <v>0</v>
      </c>
      <c r="E686" s="17">
        <f>Start.listina!R565</f>
        <v>0</v>
      </c>
      <c r="F686" s="17"/>
      <c r="G686" s="142"/>
      <c r="H686" s="69"/>
      <c r="I686" s="69"/>
    </row>
    <row r="687" spans="1:9" ht="12" customHeight="1">
      <c r="A687" s="17"/>
      <c r="B687" s="17">
        <f>Start.listina!U565</f>
        <v>0</v>
      </c>
      <c r="C687" s="17">
        <f>Start.listina!V565</f>
        <v>0</v>
      </c>
      <c r="D687" s="17">
        <f>Start.listina!W565</f>
        <v>0</v>
      </c>
      <c r="E687" s="17">
        <f>Start.listina!X565</f>
        <v>0</v>
      </c>
      <c r="F687" s="17"/>
      <c r="G687" s="142"/>
      <c r="H687" s="69"/>
      <c r="I687" s="69"/>
    </row>
    <row r="688" spans="1:9" ht="12" customHeight="1">
      <c r="A688" s="17"/>
      <c r="B688" s="17">
        <f>Start.listina!AA565</f>
        <v>0</v>
      </c>
      <c r="C688" s="17">
        <f>Start.listina!AB565</f>
        <v>0</v>
      </c>
      <c r="D688" s="17">
        <f>Start.listina!AC565</f>
        <v>0</v>
      </c>
      <c r="E688" s="17">
        <f>Start.listina!AD565</f>
        <v>0</v>
      </c>
      <c r="F688" s="17"/>
      <c r="G688" s="142"/>
      <c r="H688" s="69"/>
      <c r="I688" s="69"/>
    </row>
    <row r="689" spans="1:9" ht="12" customHeight="1">
      <c r="A689" s="17">
        <f>Start.listina!AH566</f>
        <v>0</v>
      </c>
      <c r="B689" s="17">
        <f>Start.listina!I566</f>
        <v>0</v>
      </c>
      <c r="C689" s="141">
        <f>Start.listina!J566</f>
        <v>0</v>
      </c>
      <c r="D689" s="17">
        <f>Start.listina!K566</f>
        <v>0</v>
      </c>
      <c r="E689" s="17">
        <f>Start.listina!L566</f>
        <v>0</v>
      </c>
      <c r="F689" s="17"/>
      <c r="G689" s="142" t="str">
        <f>IF(N(A689)&gt;0,VLOOKUP(A689,Body!$A$4:$F$259,5,0),"")</f>
        <v/>
      </c>
      <c r="H689" s="69" t="str">
        <f>IF(N(A689)&gt;0,VLOOKUP(A689,Body!$A$4:$F$259,6,0),"")</f>
        <v/>
      </c>
      <c r="I689" s="69" t="str">
        <f>IF(N(A689)&gt;0,VLOOKUP(A689,Body!$A$4:$F$259,2,0),"")</f>
        <v/>
      </c>
    </row>
    <row r="690" spans="1:9" ht="12" customHeight="1">
      <c r="A690" s="17"/>
      <c r="B690" s="17">
        <f>Start.listina!O566</f>
        <v>0</v>
      </c>
      <c r="C690" s="17">
        <f>Start.listina!P566</f>
        <v>0</v>
      </c>
      <c r="D690" s="17">
        <f>Start.listina!Q566</f>
        <v>0</v>
      </c>
      <c r="E690" s="17">
        <f>Start.listina!R566</f>
        <v>0</v>
      </c>
      <c r="F690" s="17"/>
      <c r="G690" s="142"/>
      <c r="H690" s="69"/>
      <c r="I690" s="69"/>
    </row>
    <row r="691" spans="1:9" ht="12" customHeight="1">
      <c r="A691" s="17"/>
      <c r="B691" s="17">
        <f>Start.listina!U566</f>
        <v>0</v>
      </c>
      <c r="C691" s="17">
        <f>Start.listina!V566</f>
        <v>0</v>
      </c>
      <c r="D691" s="17">
        <f>Start.listina!W566</f>
        <v>0</v>
      </c>
      <c r="E691" s="17">
        <f>Start.listina!X566</f>
        <v>0</v>
      </c>
      <c r="F691" s="17"/>
      <c r="G691" s="142"/>
      <c r="H691" s="69"/>
      <c r="I691" s="69"/>
    </row>
    <row r="692" spans="1:9" ht="12" customHeight="1">
      <c r="A692" s="17"/>
      <c r="B692" s="17">
        <f>Start.listina!AA566</f>
        <v>0</v>
      </c>
      <c r="C692" s="17">
        <f>Start.listina!AB566</f>
        <v>0</v>
      </c>
      <c r="D692" s="17">
        <f>Start.listina!AC566</f>
        <v>0</v>
      </c>
      <c r="E692" s="17">
        <f>Start.listina!AD566</f>
        <v>0</v>
      </c>
      <c r="F692" s="17"/>
      <c r="G692" s="142"/>
      <c r="H692" s="69"/>
      <c r="I692" s="69"/>
    </row>
    <row r="693" spans="1:9" ht="12" customHeight="1">
      <c r="A693" s="17">
        <f>Start.listina!AH567</f>
        <v>0</v>
      </c>
      <c r="B693" s="17">
        <f>Start.listina!I567</f>
        <v>0</v>
      </c>
      <c r="C693" s="141">
        <f>Start.listina!J567</f>
        <v>0</v>
      </c>
      <c r="D693" s="17">
        <f>Start.listina!K567</f>
        <v>0</v>
      </c>
      <c r="E693" s="17">
        <f>Start.listina!L567</f>
        <v>0</v>
      </c>
      <c r="F693" s="17"/>
      <c r="G693" s="142" t="str">
        <f>IF(N(A693)&gt;0,VLOOKUP(A693,Body!$A$4:$F$259,5,0),"")</f>
        <v/>
      </c>
      <c r="H693" s="69" t="str">
        <f>IF(N(A693)&gt;0,VLOOKUP(A693,Body!$A$4:$F$259,6,0),"")</f>
        <v/>
      </c>
      <c r="I693" s="69" t="str">
        <f>IF(N(A693)&gt;0,VLOOKUP(A693,Body!$A$4:$F$259,2,0),"")</f>
        <v/>
      </c>
    </row>
    <row r="694" spans="1:9" ht="12" customHeight="1">
      <c r="A694" s="17"/>
      <c r="B694" s="17">
        <f>Start.listina!O567</f>
        <v>0</v>
      </c>
      <c r="C694" s="17">
        <f>Start.listina!P567</f>
        <v>0</v>
      </c>
      <c r="D694" s="17">
        <f>Start.listina!Q567</f>
        <v>0</v>
      </c>
      <c r="E694" s="17">
        <f>Start.listina!R567</f>
        <v>0</v>
      </c>
      <c r="F694" s="17"/>
      <c r="G694" s="142"/>
      <c r="H694" s="69"/>
      <c r="I694" s="69"/>
    </row>
    <row r="695" spans="1:9" ht="12" customHeight="1">
      <c r="A695" s="17"/>
      <c r="B695" s="17">
        <f>Start.listina!U567</f>
        <v>0</v>
      </c>
      <c r="C695" s="17">
        <f>Start.listina!V567</f>
        <v>0</v>
      </c>
      <c r="D695" s="17">
        <f>Start.listina!W567</f>
        <v>0</v>
      </c>
      <c r="E695" s="17">
        <f>Start.listina!X567</f>
        <v>0</v>
      </c>
      <c r="F695" s="17"/>
      <c r="G695" s="142"/>
      <c r="H695" s="69"/>
      <c r="I695" s="69"/>
    </row>
    <row r="696" spans="1:9" ht="12" customHeight="1">
      <c r="A696" s="17"/>
      <c r="B696" s="17">
        <f>Start.listina!AA567</f>
        <v>0</v>
      </c>
      <c r="C696" s="17">
        <f>Start.listina!AB567</f>
        <v>0</v>
      </c>
      <c r="D696" s="17">
        <f>Start.listina!AC567</f>
        <v>0</v>
      </c>
      <c r="E696" s="17">
        <f>Start.listina!AD567</f>
        <v>0</v>
      </c>
      <c r="F696" s="17"/>
      <c r="G696" s="142"/>
      <c r="H696" s="69"/>
      <c r="I696" s="69"/>
    </row>
    <row r="697" spans="1:9" ht="12" customHeight="1">
      <c r="A697" s="17">
        <f>Start.listina!AH568</f>
        <v>0</v>
      </c>
      <c r="B697" s="17">
        <f>Start.listina!I568</f>
        <v>0</v>
      </c>
      <c r="C697" s="141">
        <f>Start.listina!J568</f>
        <v>0</v>
      </c>
      <c r="D697" s="17">
        <f>Start.listina!K568</f>
        <v>0</v>
      </c>
      <c r="E697" s="17">
        <f>Start.listina!L568</f>
        <v>0</v>
      </c>
      <c r="F697" s="17"/>
      <c r="G697" s="142" t="str">
        <f>IF(N(A697)&gt;0,VLOOKUP(A697,Body!$A$4:$F$259,5,0),"")</f>
        <v/>
      </c>
      <c r="H697" s="69" t="str">
        <f>IF(N(A697)&gt;0,VLOOKUP(A697,Body!$A$4:$F$259,6,0),"")</f>
        <v/>
      </c>
      <c r="I697" s="69" t="str">
        <f>IF(N(A697)&gt;0,VLOOKUP(A697,Body!$A$4:$F$259,2,0),"")</f>
        <v/>
      </c>
    </row>
    <row r="698" spans="1:9" ht="12" customHeight="1">
      <c r="A698" s="17"/>
      <c r="B698" s="17">
        <f>Start.listina!O568</f>
        <v>0</v>
      </c>
      <c r="C698" s="17">
        <f>Start.listina!P568</f>
        <v>0</v>
      </c>
      <c r="D698" s="17">
        <f>Start.listina!Q568</f>
        <v>0</v>
      </c>
      <c r="E698" s="17">
        <f>Start.listina!R568</f>
        <v>0</v>
      </c>
      <c r="F698" s="17"/>
      <c r="G698" s="142"/>
      <c r="H698" s="69"/>
      <c r="I698" s="69"/>
    </row>
    <row r="699" spans="1:9" ht="12" customHeight="1">
      <c r="A699" s="17"/>
      <c r="B699" s="17">
        <f>Start.listina!U568</f>
        <v>0</v>
      </c>
      <c r="C699" s="17">
        <f>Start.listina!V568</f>
        <v>0</v>
      </c>
      <c r="D699" s="17">
        <f>Start.listina!W568</f>
        <v>0</v>
      </c>
      <c r="E699" s="17">
        <f>Start.listina!X568</f>
        <v>0</v>
      </c>
      <c r="F699" s="17"/>
      <c r="G699" s="142"/>
      <c r="H699" s="69"/>
      <c r="I699" s="69"/>
    </row>
    <row r="700" spans="1:9" ht="12" customHeight="1">
      <c r="A700" s="17"/>
      <c r="B700" s="17">
        <f>Start.listina!AA568</f>
        <v>0</v>
      </c>
      <c r="C700" s="17">
        <f>Start.listina!AB568</f>
        <v>0</v>
      </c>
      <c r="D700" s="17">
        <f>Start.listina!AC568</f>
        <v>0</v>
      </c>
      <c r="E700" s="17">
        <f>Start.listina!AD568</f>
        <v>0</v>
      </c>
      <c r="F700" s="17"/>
      <c r="G700" s="142"/>
      <c r="H700" s="69"/>
      <c r="I700" s="69"/>
    </row>
    <row r="701" spans="1:9" ht="12" customHeight="1">
      <c r="A701" s="17">
        <f>Start.listina!AH569</f>
        <v>0</v>
      </c>
      <c r="B701" s="17">
        <f>Start.listina!I569</f>
        <v>0</v>
      </c>
      <c r="C701" s="141">
        <f>Start.listina!J569</f>
        <v>0</v>
      </c>
      <c r="D701" s="17">
        <f>Start.listina!K569</f>
        <v>0</v>
      </c>
      <c r="E701" s="17">
        <f>Start.listina!L569</f>
        <v>0</v>
      </c>
      <c r="F701" s="17"/>
      <c r="G701" s="142" t="str">
        <f>IF(N(A701)&gt;0,VLOOKUP(A701,Body!$A$4:$F$259,5,0),"")</f>
        <v/>
      </c>
      <c r="H701" s="69" t="str">
        <f>IF(N(A701)&gt;0,VLOOKUP(A701,Body!$A$4:$F$259,6,0),"")</f>
        <v/>
      </c>
      <c r="I701" s="69" t="str">
        <f>IF(N(A701)&gt;0,VLOOKUP(A701,Body!$A$4:$F$259,2,0),"")</f>
        <v/>
      </c>
    </row>
    <row r="702" spans="1:9" ht="12" customHeight="1">
      <c r="A702" s="17"/>
      <c r="B702" s="17">
        <f>Start.listina!O569</f>
        <v>0</v>
      </c>
      <c r="C702" s="17">
        <f>Start.listina!P569</f>
        <v>0</v>
      </c>
      <c r="D702" s="17">
        <f>Start.listina!Q569</f>
        <v>0</v>
      </c>
      <c r="E702" s="17">
        <f>Start.listina!R569</f>
        <v>0</v>
      </c>
      <c r="F702" s="17"/>
      <c r="G702" s="142"/>
      <c r="H702" s="69"/>
      <c r="I702" s="69"/>
    </row>
    <row r="703" spans="1:9" ht="12" customHeight="1">
      <c r="A703" s="17"/>
      <c r="B703" s="17">
        <f>Start.listina!U569</f>
        <v>0</v>
      </c>
      <c r="C703" s="17">
        <f>Start.listina!V569</f>
        <v>0</v>
      </c>
      <c r="D703" s="17">
        <f>Start.listina!W569</f>
        <v>0</v>
      </c>
      <c r="E703" s="17">
        <f>Start.listina!X569</f>
        <v>0</v>
      </c>
      <c r="F703" s="17"/>
      <c r="G703" s="142"/>
      <c r="H703" s="69"/>
      <c r="I703" s="69"/>
    </row>
    <row r="704" spans="1:9" ht="12" customHeight="1">
      <c r="A704" s="17"/>
      <c r="B704" s="17">
        <f>Start.listina!AA569</f>
        <v>0</v>
      </c>
      <c r="C704" s="17">
        <f>Start.listina!AB569</f>
        <v>0</v>
      </c>
      <c r="D704" s="17">
        <f>Start.listina!AC569</f>
        <v>0</v>
      </c>
      <c r="E704" s="17">
        <f>Start.listina!AD569</f>
        <v>0</v>
      </c>
      <c r="F704" s="17"/>
      <c r="G704" s="142"/>
      <c r="H704" s="69"/>
      <c r="I704" s="69"/>
    </row>
    <row r="705" spans="1:9" ht="12" customHeight="1">
      <c r="A705" s="17">
        <f>Start.listina!AH570</f>
        <v>0</v>
      </c>
      <c r="B705" s="17">
        <f>Start.listina!I570</f>
        <v>0</v>
      </c>
      <c r="C705" s="141">
        <f>Start.listina!J570</f>
        <v>0</v>
      </c>
      <c r="D705" s="17">
        <f>Start.listina!K570</f>
        <v>0</v>
      </c>
      <c r="E705" s="17">
        <f>Start.listina!L570</f>
        <v>0</v>
      </c>
      <c r="F705" s="17"/>
      <c r="G705" s="142" t="str">
        <f>IF(N(A705)&gt;0,VLOOKUP(A705,Body!$A$4:$F$259,5,0),"")</f>
        <v/>
      </c>
      <c r="H705" s="69" t="str">
        <f>IF(N(A705)&gt;0,VLOOKUP(A705,Body!$A$4:$F$259,6,0),"")</f>
        <v/>
      </c>
      <c r="I705" s="69" t="str">
        <f>IF(N(A705)&gt;0,VLOOKUP(A705,Body!$A$4:$F$259,2,0),"")</f>
        <v/>
      </c>
    </row>
    <row r="706" spans="1:9" ht="12" customHeight="1">
      <c r="A706" s="17"/>
      <c r="B706" s="17">
        <f>Start.listina!O570</f>
        <v>0</v>
      </c>
      <c r="C706" s="17">
        <f>Start.listina!P570</f>
        <v>0</v>
      </c>
      <c r="D706" s="17">
        <f>Start.listina!Q570</f>
        <v>0</v>
      </c>
      <c r="E706" s="17">
        <f>Start.listina!R570</f>
        <v>0</v>
      </c>
      <c r="F706" s="17"/>
      <c r="G706" s="142"/>
      <c r="H706" s="69"/>
      <c r="I706" s="69"/>
    </row>
    <row r="707" spans="1:9" ht="12" customHeight="1">
      <c r="A707" s="17"/>
      <c r="B707" s="17">
        <f>Start.listina!U570</f>
        <v>0</v>
      </c>
      <c r="C707" s="17">
        <f>Start.listina!V570</f>
        <v>0</v>
      </c>
      <c r="D707" s="17">
        <f>Start.listina!W570</f>
        <v>0</v>
      </c>
      <c r="E707" s="17">
        <f>Start.listina!X570</f>
        <v>0</v>
      </c>
      <c r="F707" s="17"/>
      <c r="G707" s="142"/>
      <c r="H707" s="69"/>
      <c r="I707" s="69"/>
    </row>
    <row r="708" spans="1:9" ht="12" customHeight="1">
      <c r="A708" s="17"/>
      <c r="B708" s="17">
        <f>Start.listina!AA570</f>
        <v>0</v>
      </c>
      <c r="C708" s="17">
        <f>Start.listina!AB570</f>
        <v>0</v>
      </c>
      <c r="D708" s="17">
        <f>Start.listina!AC570</f>
        <v>0</v>
      </c>
      <c r="E708" s="17">
        <f>Start.listina!AD570</f>
        <v>0</v>
      </c>
      <c r="F708" s="17"/>
      <c r="G708" s="142"/>
      <c r="H708" s="69"/>
      <c r="I708" s="69"/>
    </row>
    <row r="709" spans="1:9" ht="12" customHeight="1">
      <c r="A709" s="17">
        <f>Start.listina!AH571</f>
        <v>0</v>
      </c>
      <c r="B709" s="17">
        <f>Start.listina!I571</f>
        <v>0</v>
      </c>
      <c r="C709" s="141">
        <f>Start.listina!J571</f>
        <v>0</v>
      </c>
      <c r="D709" s="17">
        <f>Start.listina!K571</f>
        <v>0</v>
      </c>
      <c r="E709" s="17">
        <f>Start.listina!L571</f>
        <v>0</v>
      </c>
      <c r="F709" s="17"/>
      <c r="G709" s="142" t="str">
        <f>IF(N(A709)&gt;0,VLOOKUP(A709,Body!$A$4:$F$259,5,0),"")</f>
        <v/>
      </c>
      <c r="H709" s="69" t="str">
        <f>IF(N(A709)&gt;0,VLOOKUP(A709,Body!$A$4:$F$259,6,0),"")</f>
        <v/>
      </c>
      <c r="I709" s="69" t="str">
        <f>IF(N(A709)&gt;0,VLOOKUP(A709,Body!$A$4:$F$259,2,0),"")</f>
        <v/>
      </c>
    </row>
    <row r="710" spans="1:9" ht="12" customHeight="1">
      <c r="A710" s="17"/>
      <c r="B710" s="17">
        <f>Start.listina!O571</f>
        <v>0</v>
      </c>
      <c r="C710" s="17">
        <f>Start.listina!P571</f>
        <v>0</v>
      </c>
      <c r="D710" s="17">
        <f>Start.listina!Q571</f>
        <v>0</v>
      </c>
      <c r="E710" s="17">
        <f>Start.listina!R571</f>
        <v>0</v>
      </c>
      <c r="F710" s="17"/>
      <c r="G710" s="142"/>
      <c r="H710" s="69"/>
      <c r="I710" s="69"/>
    </row>
    <row r="711" spans="1:9" ht="12" customHeight="1">
      <c r="A711" s="17"/>
      <c r="B711" s="17">
        <f>Start.listina!U571</f>
        <v>0</v>
      </c>
      <c r="C711" s="17">
        <f>Start.listina!V571</f>
        <v>0</v>
      </c>
      <c r="D711" s="17">
        <f>Start.listina!W571</f>
        <v>0</v>
      </c>
      <c r="E711" s="17">
        <f>Start.listina!X571</f>
        <v>0</v>
      </c>
      <c r="F711" s="17"/>
      <c r="G711" s="142"/>
      <c r="H711" s="69"/>
      <c r="I711" s="69"/>
    </row>
    <row r="712" spans="1:9" ht="12" customHeight="1">
      <c r="A712" s="17"/>
      <c r="B712" s="17">
        <f>Start.listina!AA571</f>
        <v>0</v>
      </c>
      <c r="C712" s="17">
        <f>Start.listina!AB571</f>
        <v>0</v>
      </c>
      <c r="D712" s="17">
        <f>Start.listina!AC571</f>
        <v>0</v>
      </c>
      <c r="E712" s="17">
        <f>Start.listina!AD571</f>
        <v>0</v>
      </c>
      <c r="F712" s="17"/>
      <c r="G712" s="142"/>
      <c r="H712" s="69"/>
      <c r="I712" s="69"/>
    </row>
    <row r="713" spans="1:9" ht="12" customHeight="1">
      <c r="A713" s="17">
        <f>Start.listina!AH572</f>
        <v>0</v>
      </c>
      <c r="B713" s="17">
        <f>Start.listina!I572</f>
        <v>0</v>
      </c>
      <c r="C713" s="141">
        <f>Start.listina!J572</f>
        <v>0</v>
      </c>
      <c r="D713" s="17">
        <f>Start.listina!K572</f>
        <v>0</v>
      </c>
      <c r="E713" s="17">
        <f>Start.listina!L572</f>
        <v>0</v>
      </c>
      <c r="F713" s="17"/>
      <c r="G713" s="142" t="str">
        <f>IF(N(A713)&gt;0,VLOOKUP(A713,Body!$A$4:$F$259,5,0),"")</f>
        <v/>
      </c>
      <c r="H713" s="69" t="str">
        <f>IF(N(A713)&gt;0,VLOOKUP(A713,Body!$A$4:$F$259,6,0),"")</f>
        <v/>
      </c>
      <c r="I713" s="69" t="str">
        <f>IF(N(A713)&gt;0,VLOOKUP(A713,Body!$A$4:$F$259,2,0),"")</f>
        <v/>
      </c>
    </row>
    <row r="714" spans="1:9" ht="12" customHeight="1">
      <c r="A714" s="17"/>
      <c r="B714" s="17">
        <f>Start.listina!O572</f>
        <v>0</v>
      </c>
      <c r="C714" s="17">
        <f>Start.listina!P572</f>
        <v>0</v>
      </c>
      <c r="D714" s="17">
        <f>Start.listina!Q572</f>
        <v>0</v>
      </c>
      <c r="E714" s="17">
        <f>Start.listina!R572</f>
        <v>0</v>
      </c>
      <c r="F714" s="17"/>
      <c r="G714" s="142"/>
      <c r="H714" s="69"/>
      <c r="I714" s="69"/>
    </row>
    <row r="715" spans="1:9" ht="12" customHeight="1">
      <c r="A715" s="17"/>
      <c r="B715" s="17">
        <f>Start.listina!U572</f>
        <v>0</v>
      </c>
      <c r="C715" s="17">
        <f>Start.listina!V572</f>
        <v>0</v>
      </c>
      <c r="D715" s="17">
        <f>Start.listina!W572</f>
        <v>0</v>
      </c>
      <c r="E715" s="17">
        <f>Start.listina!X572</f>
        <v>0</v>
      </c>
      <c r="F715" s="17"/>
      <c r="G715" s="142"/>
      <c r="H715" s="69"/>
      <c r="I715" s="69"/>
    </row>
    <row r="716" spans="1:9" ht="12" customHeight="1">
      <c r="A716" s="17"/>
      <c r="B716" s="17">
        <f>Start.listina!AA572</f>
        <v>0</v>
      </c>
      <c r="C716" s="17">
        <f>Start.listina!AB572</f>
        <v>0</v>
      </c>
      <c r="D716" s="17">
        <f>Start.listina!AC572</f>
        <v>0</v>
      </c>
      <c r="E716" s="17">
        <f>Start.listina!AD572</f>
        <v>0</v>
      </c>
      <c r="F716" s="17"/>
      <c r="G716" s="142"/>
      <c r="H716" s="69"/>
      <c r="I716" s="69"/>
    </row>
    <row r="717" spans="1:9" ht="12" customHeight="1">
      <c r="A717" s="17">
        <f>Start.listina!AH573</f>
        <v>0</v>
      </c>
      <c r="B717" s="17">
        <f>Start.listina!I573</f>
        <v>0</v>
      </c>
      <c r="C717" s="141">
        <f>Start.listina!J573</f>
        <v>0</v>
      </c>
      <c r="D717" s="17">
        <f>Start.listina!K573</f>
        <v>0</v>
      </c>
      <c r="E717" s="17">
        <f>Start.listina!L573</f>
        <v>0</v>
      </c>
      <c r="F717" s="17"/>
      <c r="G717" s="142" t="str">
        <f>IF(N(A717)&gt;0,VLOOKUP(A717,Body!$A$4:$F$259,5,0),"")</f>
        <v/>
      </c>
      <c r="H717" s="69" t="str">
        <f>IF(N(A717)&gt;0,VLOOKUP(A717,Body!$A$4:$F$259,6,0),"")</f>
        <v/>
      </c>
      <c r="I717" s="69" t="str">
        <f>IF(N(A717)&gt;0,VLOOKUP(A717,Body!$A$4:$F$259,2,0),"")</f>
        <v/>
      </c>
    </row>
    <row r="718" spans="1:9" ht="12" customHeight="1">
      <c r="A718" s="17"/>
      <c r="B718" s="17">
        <f>Start.listina!O573</f>
        <v>0</v>
      </c>
      <c r="C718" s="17">
        <f>Start.listina!P573</f>
        <v>0</v>
      </c>
      <c r="D718" s="17">
        <f>Start.listina!Q573</f>
        <v>0</v>
      </c>
      <c r="E718" s="17">
        <f>Start.listina!R573</f>
        <v>0</v>
      </c>
      <c r="F718" s="17"/>
      <c r="G718" s="142"/>
      <c r="H718" s="69"/>
      <c r="I718" s="69"/>
    </row>
    <row r="719" spans="1:9" ht="12" customHeight="1">
      <c r="A719" s="17"/>
      <c r="B719" s="17">
        <f>Start.listina!U573</f>
        <v>0</v>
      </c>
      <c r="C719" s="17">
        <f>Start.listina!V573</f>
        <v>0</v>
      </c>
      <c r="D719" s="17">
        <f>Start.listina!W573</f>
        <v>0</v>
      </c>
      <c r="E719" s="17">
        <f>Start.listina!X573</f>
        <v>0</v>
      </c>
      <c r="F719" s="17"/>
      <c r="G719" s="142"/>
      <c r="H719" s="69"/>
      <c r="I719" s="69"/>
    </row>
    <row r="720" spans="1:9" ht="12" customHeight="1">
      <c r="A720" s="17"/>
      <c r="B720" s="17">
        <f>Start.listina!AA573</f>
        <v>0</v>
      </c>
      <c r="C720" s="17">
        <f>Start.listina!AB573</f>
        <v>0</v>
      </c>
      <c r="D720" s="17">
        <f>Start.listina!AC573</f>
        <v>0</v>
      </c>
      <c r="E720" s="17">
        <f>Start.listina!AD573</f>
        <v>0</v>
      </c>
      <c r="F720" s="17"/>
      <c r="G720" s="142"/>
      <c r="H720" s="69"/>
      <c r="I720" s="69"/>
    </row>
    <row r="721" spans="1:9" ht="12" customHeight="1">
      <c r="A721" s="17">
        <f>Start.listina!AH574</f>
        <v>0</v>
      </c>
      <c r="B721" s="17">
        <f>Start.listina!I574</f>
        <v>0</v>
      </c>
      <c r="C721" s="141">
        <f>Start.listina!J574</f>
        <v>0</v>
      </c>
      <c r="D721" s="17">
        <f>Start.listina!K574</f>
        <v>0</v>
      </c>
      <c r="E721" s="17">
        <f>Start.listina!L574</f>
        <v>0</v>
      </c>
      <c r="F721" s="17"/>
      <c r="G721" s="142" t="str">
        <f>IF(N(A721)&gt;0,VLOOKUP(A721,Body!$A$4:$F$259,5,0),"")</f>
        <v/>
      </c>
      <c r="H721" s="69" t="str">
        <f>IF(N(A721)&gt;0,VLOOKUP(A721,Body!$A$4:$F$259,6,0),"")</f>
        <v/>
      </c>
      <c r="I721" s="69" t="str">
        <f>IF(N(A721)&gt;0,VLOOKUP(A721,Body!$A$4:$F$259,2,0),"")</f>
        <v/>
      </c>
    </row>
    <row r="722" spans="1:9" ht="12" customHeight="1">
      <c r="A722" s="17"/>
      <c r="B722" s="17">
        <f>Start.listina!O574</f>
        <v>0</v>
      </c>
      <c r="C722" s="17">
        <f>Start.listina!P574</f>
        <v>0</v>
      </c>
      <c r="D722" s="17">
        <f>Start.listina!Q574</f>
        <v>0</v>
      </c>
      <c r="E722" s="17">
        <f>Start.listina!R574</f>
        <v>0</v>
      </c>
      <c r="F722" s="17"/>
      <c r="G722" s="142"/>
      <c r="H722" s="69"/>
      <c r="I722" s="69"/>
    </row>
    <row r="723" spans="1:9" ht="12" customHeight="1">
      <c r="A723" s="17"/>
      <c r="B723" s="17">
        <f>Start.listina!U574</f>
        <v>0</v>
      </c>
      <c r="C723" s="17">
        <f>Start.listina!V574</f>
        <v>0</v>
      </c>
      <c r="D723" s="17">
        <f>Start.listina!W574</f>
        <v>0</v>
      </c>
      <c r="E723" s="17">
        <f>Start.listina!X574</f>
        <v>0</v>
      </c>
      <c r="F723" s="17"/>
      <c r="G723" s="142"/>
      <c r="H723" s="69"/>
      <c r="I723" s="69"/>
    </row>
    <row r="724" spans="1:9" ht="12" customHeight="1">
      <c r="A724" s="17"/>
      <c r="B724" s="17">
        <f>Start.listina!AA574</f>
        <v>0</v>
      </c>
      <c r="C724" s="17">
        <f>Start.listina!AB574</f>
        <v>0</v>
      </c>
      <c r="D724" s="17">
        <f>Start.listina!AC574</f>
        <v>0</v>
      </c>
      <c r="E724" s="17">
        <f>Start.listina!AD574</f>
        <v>0</v>
      </c>
      <c r="F724" s="17"/>
      <c r="G724" s="142"/>
      <c r="H724" s="69"/>
      <c r="I724" s="69"/>
    </row>
    <row r="725" spans="1:9" ht="12" customHeight="1">
      <c r="A725" s="17">
        <f>Start.listina!AH575</f>
        <v>0</v>
      </c>
      <c r="B725" s="17">
        <f>Start.listina!I575</f>
        <v>0</v>
      </c>
      <c r="C725" s="141">
        <f>Start.listina!J575</f>
        <v>0</v>
      </c>
      <c r="D725" s="17">
        <f>Start.listina!K575</f>
        <v>0</v>
      </c>
      <c r="E725" s="17">
        <f>Start.listina!L575</f>
        <v>0</v>
      </c>
      <c r="F725" s="17"/>
      <c r="G725" s="142" t="str">
        <f>IF(N(A725)&gt;0,VLOOKUP(A725,Body!$A$4:$F$259,5,0),"")</f>
        <v/>
      </c>
      <c r="H725" s="69" t="str">
        <f>IF(N(A725)&gt;0,VLOOKUP(A725,Body!$A$4:$F$259,6,0),"")</f>
        <v/>
      </c>
      <c r="I725" s="69" t="str">
        <f>IF(N(A725)&gt;0,VLOOKUP(A725,Body!$A$4:$F$259,2,0),"")</f>
        <v/>
      </c>
    </row>
    <row r="726" spans="1:9" ht="12" customHeight="1">
      <c r="A726" s="17"/>
      <c r="B726" s="17">
        <f>Start.listina!O575</f>
        <v>0</v>
      </c>
      <c r="C726" s="17">
        <f>Start.listina!P575</f>
        <v>0</v>
      </c>
      <c r="D726" s="17">
        <f>Start.listina!Q575</f>
        <v>0</v>
      </c>
      <c r="E726" s="17">
        <f>Start.listina!R575</f>
        <v>0</v>
      </c>
      <c r="F726" s="17"/>
      <c r="G726" s="142"/>
      <c r="H726" s="69"/>
      <c r="I726" s="69"/>
    </row>
    <row r="727" spans="1:9" ht="12" customHeight="1">
      <c r="A727" s="17"/>
      <c r="B727" s="17">
        <f>Start.listina!U575</f>
        <v>0</v>
      </c>
      <c r="C727" s="17">
        <f>Start.listina!V575</f>
        <v>0</v>
      </c>
      <c r="D727" s="17">
        <f>Start.listina!W575</f>
        <v>0</v>
      </c>
      <c r="E727" s="17">
        <f>Start.listina!X575</f>
        <v>0</v>
      </c>
      <c r="F727" s="17"/>
      <c r="G727" s="142"/>
      <c r="H727" s="69"/>
      <c r="I727" s="69"/>
    </row>
    <row r="728" spans="1:9" ht="12" customHeight="1">
      <c r="A728" s="17"/>
      <c r="B728" s="17">
        <f>Start.listina!AA575</f>
        <v>0</v>
      </c>
      <c r="C728" s="17">
        <f>Start.listina!AB575</f>
        <v>0</v>
      </c>
      <c r="D728" s="17">
        <f>Start.listina!AC575</f>
        <v>0</v>
      </c>
      <c r="E728" s="17">
        <f>Start.listina!AD575</f>
        <v>0</v>
      </c>
      <c r="F728" s="17"/>
      <c r="G728" s="142"/>
      <c r="H728" s="69"/>
      <c r="I728" s="69"/>
    </row>
    <row r="729" spans="1:9" ht="12" customHeight="1">
      <c r="A729" s="17">
        <f>Start.listina!AH576</f>
        <v>0</v>
      </c>
      <c r="B729" s="17">
        <f>Start.listina!I576</f>
        <v>0</v>
      </c>
      <c r="C729" s="141">
        <f>Start.listina!J576</f>
        <v>0</v>
      </c>
      <c r="D729" s="17">
        <f>Start.listina!K576</f>
        <v>0</v>
      </c>
      <c r="E729" s="17">
        <f>Start.listina!L576</f>
        <v>0</v>
      </c>
      <c r="F729" s="17"/>
      <c r="G729" s="142" t="str">
        <f>IF(N(A729)&gt;0,VLOOKUP(A729,Body!$A$4:$F$259,5,0),"")</f>
        <v/>
      </c>
      <c r="H729" s="69" t="str">
        <f>IF(N(A729)&gt;0,VLOOKUP(A729,Body!$A$4:$F$259,6,0),"")</f>
        <v/>
      </c>
      <c r="I729" s="69" t="str">
        <f>IF(N(A729)&gt;0,VLOOKUP(A729,Body!$A$4:$F$259,2,0),"")</f>
        <v/>
      </c>
    </row>
    <row r="730" spans="1:9" ht="12" customHeight="1">
      <c r="A730" s="17"/>
      <c r="B730" s="17">
        <f>Start.listina!O576</f>
        <v>0</v>
      </c>
      <c r="C730" s="17">
        <f>Start.listina!P576</f>
        <v>0</v>
      </c>
      <c r="D730" s="17">
        <f>Start.listina!Q576</f>
        <v>0</v>
      </c>
      <c r="E730" s="17">
        <f>Start.listina!R576</f>
        <v>0</v>
      </c>
      <c r="F730" s="17"/>
      <c r="G730" s="142"/>
      <c r="H730" s="69"/>
      <c r="I730" s="69"/>
    </row>
    <row r="731" spans="1:9" ht="12" customHeight="1">
      <c r="A731" s="17"/>
      <c r="B731" s="17">
        <f>Start.listina!U576</f>
        <v>0</v>
      </c>
      <c r="C731" s="17">
        <f>Start.listina!V576</f>
        <v>0</v>
      </c>
      <c r="D731" s="17">
        <f>Start.listina!W576</f>
        <v>0</v>
      </c>
      <c r="E731" s="17">
        <f>Start.listina!X576</f>
        <v>0</v>
      </c>
      <c r="F731" s="17"/>
      <c r="G731" s="142"/>
      <c r="H731" s="69"/>
      <c r="I731" s="69"/>
    </row>
    <row r="732" spans="1:9" ht="12" customHeight="1">
      <c r="A732" s="17"/>
      <c r="B732" s="17">
        <f>Start.listina!AA576</f>
        <v>0</v>
      </c>
      <c r="C732" s="17">
        <f>Start.listina!AB576</f>
        <v>0</v>
      </c>
      <c r="D732" s="17">
        <f>Start.listina!AC576</f>
        <v>0</v>
      </c>
      <c r="E732" s="17">
        <f>Start.listina!AD576</f>
        <v>0</v>
      </c>
      <c r="F732" s="17"/>
      <c r="G732" s="142"/>
      <c r="H732" s="69"/>
      <c r="I732" s="69"/>
    </row>
    <row r="733" spans="1:9" ht="12" customHeight="1">
      <c r="A733" s="17">
        <f>Start.listina!AH577</f>
        <v>0</v>
      </c>
      <c r="B733" s="17">
        <f>Start.listina!I577</f>
        <v>0</v>
      </c>
      <c r="C733" s="141">
        <f>Start.listina!J577</f>
        <v>0</v>
      </c>
      <c r="D733" s="17">
        <f>Start.listina!K577</f>
        <v>0</v>
      </c>
      <c r="E733" s="17">
        <f>Start.listina!L577</f>
        <v>0</v>
      </c>
      <c r="F733" s="17"/>
      <c r="G733" s="142" t="str">
        <f>IF(N(A733)&gt;0,VLOOKUP(A733,Body!$A$4:$F$259,5,0),"")</f>
        <v/>
      </c>
      <c r="H733" s="69" t="str">
        <f>IF(N(A733)&gt;0,VLOOKUP(A733,Body!$A$4:$F$259,6,0),"")</f>
        <v/>
      </c>
      <c r="I733" s="69" t="str">
        <f>IF(N(A733)&gt;0,VLOOKUP(A733,Body!$A$4:$F$259,2,0),"")</f>
        <v/>
      </c>
    </row>
    <row r="734" spans="1:9" ht="12" customHeight="1">
      <c r="A734" s="17"/>
      <c r="B734" s="17">
        <f>Start.listina!O577</f>
        <v>0</v>
      </c>
      <c r="C734" s="17">
        <f>Start.listina!P577</f>
        <v>0</v>
      </c>
      <c r="D734" s="17">
        <f>Start.listina!Q577</f>
        <v>0</v>
      </c>
      <c r="E734" s="17">
        <f>Start.listina!R577</f>
        <v>0</v>
      </c>
      <c r="F734" s="17"/>
      <c r="G734" s="142"/>
      <c r="H734" s="69"/>
      <c r="I734" s="69"/>
    </row>
    <row r="735" spans="1:9" ht="12" customHeight="1">
      <c r="A735" s="17"/>
      <c r="B735" s="17">
        <f>Start.listina!U577</f>
        <v>0</v>
      </c>
      <c r="C735" s="17">
        <f>Start.listina!V577</f>
        <v>0</v>
      </c>
      <c r="D735" s="17">
        <f>Start.listina!W577</f>
        <v>0</v>
      </c>
      <c r="E735" s="17">
        <f>Start.listina!X577</f>
        <v>0</v>
      </c>
      <c r="F735" s="17"/>
      <c r="G735" s="142"/>
      <c r="H735" s="69"/>
      <c r="I735" s="69"/>
    </row>
    <row r="736" spans="1:9" ht="12" customHeight="1">
      <c r="A736" s="17"/>
      <c r="B736" s="17">
        <f>Start.listina!AA577</f>
        <v>0</v>
      </c>
      <c r="C736" s="17">
        <f>Start.listina!AB577</f>
        <v>0</v>
      </c>
      <c r="D736" s="17">
        <f>Start.listina!AC577</f>
        <v>0</v>
      </c>
      <c r="E736" s="17">
        <f>Start.listina!AD577</f>
        <v>0</v>
      </c>
      <c r="F736" s="17"/>
      <c r="G736" s="142"/>
      <c r="H736" s="69"/>
      <c r="I736" s="69"/>
    </row>
    <row r="737" spans="1:9" ht="12" customHeight="1">
      <c r="A737" s="17">
        <f>Start.listina!AH578</f>
        <v>0</v>
      </c>
      <c r="B737" s="17">
        <f>Start.listina!I578</f>
        <v>0</v>
      </c>
      <c r="C737" s="141">
        <f>Start.listina!J578</f>
        <v>0</v>
      </c>
      <c r="D737" s="17">
        <f>Start.listina!K578</f>
        <v>0</v>
      </c>
      <c r="E737" s="17">
        <f>Start.listina!L578</f>
        <v>0</v>
      </c>
      <c r="F737" s="17"/>
      <c r="G737" s="142" t="str">
        <f>IF(N(A737)&gt;0,VLOOKUP(A737,Body!$A$4:$F$259,5,0),"")</f>
        <v/>
      </c>
      <c r="H737" s="69" t="str">
        <f>IF(N(A737)&gt;0,VLOOKUP(A737,Body!$A$4:$F$259,6,0),"")</f>
        <v/>
      </c>
      <c r="I737" s="69" t="str">
        <f>IF(N(A737)&gt;0,VLOOKUP(A737,Body!$A$4:$F$259,2,0),"")</f>
        <v/>
      </c>
    </row>
    <row r="738" spans="1:9" ht="12" customHeight="1">
      <c r="A738" s="17"/>
      <c r="B738" s="17">
        <f>Start.listina!O578</f>
        <v>0</v>
      </c>
      <c r="C738" s="17">
        <f>Start.listina!P578</f>
        <v>0</v>
      </c>
      <c r="D738" s="17">
        <f>Start.listina!Q578</f>
        <v>0</v>
      </c>
      <c r="E738" s="17">
        <f>Start.listina!R578</f>
        <v>0</v>
      </c>
      <c r="F738" s="17"/>
      <c r="G738" s="142"/>
      <c r="H738" s="69"/>
      <c r="I738" s="69"/>
    </row>
    <row r="739" spans="1:9" ht="12" customHeight="1">
      <c r="A739" s="17"/>
      <c r="B739" s="17">
        <f>Start.listina!U578</f>
        <v>0</v>
      </c>
      <c r="C739" s="17">
        <f>Start.listina!V578</f>
        <v>0</v>
      </c>
      <c r="D739" s="17">
        <f>Start.listina!W578</f>
        <v>0</v>
      </c>
      <c r="E739" s="17">
        <f>Start.listina!X578</f>
        <v>0</v>
      </c>
      <c r="F739" s="17"/>
      <c r="G739" s="142"/>
      <c r="H739" s="69"/>
      <c r="I739" s="69"/>
    </row>
    <row r="740" spans="1:9" ht="12" customHeight="1">
      <c r="A740" s="17"/>
      <c r="B740" s="17">
        <f>Start.listina!AA578</f>
        <v>0</v>
      </c>
      <c r="C740" s="17">
        <f>Start.listina!AB578</f>
        <v>0</v>
      </c>
      <c r="D740" s="17">
        <f>Start.listina!AC578</f>
        <v>0</v>
      </c>
      <c r="E740" s="17">
        <f>Start.listina!AD578</f>
        <v>0</v>
      </c>
      <c r="F740" s="17"/>
      <c r="G740" s="142"/>
      <c r="H740" s="69"/>
      <c r="I740" s="69"/>
    </row>
    <row r="741" spans="1:9" ht="12" customHeight="1">
      <c r="A741" s="17">
        <f>Start.listina!AH579</f>
        <v>0</v>
      </c>
      <c r="B741" s="17">
        <f>Start.listina!I579</f>
        <v>0</v>
      </c>
      <c r="C741" s="141">
        <f>Start.listina!J579</f>
        <v>0</v>
      </c>
      <c r="D741" s="17">
        <f>Start.listina!K579</f>
        <v>0</v>
      </c>
      <c r="E741" s="17">
        <f>Start.listina!L579</f>
        <v>0</v>
      </c>
      <c r="F741" s="17"/>
      <c r="G741" s="142" t="str">
        <f>IF(N(A741)&gt;0,VLOOKUP(A741,Body!$A$4:$F$259,5,0),"")</f>
        <v/>
      </c>
      <c r="H741" s="69" t="str">
        <f>IF(N(A741)&gt;0,VLOOKUP(A741,Body!$A$4:$F$259,6,0),"")</f>
        <v/>
      </c>
      <c r="I741" s="69" t="str">
        <f>IF(N(A741)&gt;0,VLOOKUP(A741,Body!$A$4:$F$259,2,0),"")</f>
        <v/>
      </c>
    </row>
    <row r="742" spans="1:9" ht="12" customHeight="1">
      <c r="A742" s="17"/>
      <c r="B742" s="17">
        <f>Start.listina!O579</f>
        <v>0</v>
      </c>
      <c r="C742" s="17">
        <f>Start.listina!P579</f>
        <v>0</v>
      </c>
      <c r="D742" s="17">
        <f>Start.listina!Q579</f>
        <v>0</v>
      </c>
      <c r="E742" s="17">
        <f>Start.listina!R579</f>
        <v>0</v>
      </c>
      <c r="F742" s="17"/>
      <c r="G742" s="142"/>
      <c r="H742" s="69"/>
      <c r="I742" s="69"/>
    </row>
    <row r="743" spans="1:9" ht="12" customHeight="1">
      <c r="A743" s="17"/>
      <c r="B743" s="17">
        <f>Start.listina!U579</f>
        <v>0</v>
      </c>
      <c r="C743" s="17">
        <f>Start.listina!V579</f>
        <v>0</v>
      </c>
      <c r="D743" s="17">
        <f>Start.listina!W579</f>
        <v>0</v>
      </c>
      <c r="E743" s="17">
        <f>Start.listina!X579</f>
        <v>0</v>
      </c>
      <c r="F743" s="17"/>
      <c r="G743" s="142"/>
      <c r="H743" s="69"/>
      <c r="I743" s="69"/>
    </row>
    <row r="744" spans="1:9" ht="12" customHeight="1">
      <c r="A744" s="17"/>
      <c r="B744" s="17">
        <f>Start.listina!AA579</f>
        <v>0</v>
      </c>
      <c r="C744" s="17">
        <f>Start.listina!AB579</f>
        <v>0</v>
      </c>
      <c r="D744" s="17">
        <f>Start.listina!AC579</f>
        <v>0</v>
      </c>
      <c r="E744" s="17">
        <f>Start.listina!AD579</f>
        <v>0</v>
      </c>
      <c r="F744" s="17"/>
      <c r="G744" s="142"/>
      <c r="H744" s="69"/>
      <c r="I744" s="69"/>
    </row>
    <row r="745" spans="1:9" ht="12" customHeight="1">
      <c r="A745" s="17">
        <f>Start.listina!AH580</f>
        <v>0</v>
      </c>
      <c r="B745" s="17">
        <f>Start.listina!I580</f>
        <v>0</v>
      </c>
      <c r="C745" s="141">
        <f>Start.listina!J580</f>
        <v>0</v>
      </c>
      <c r="D745" s="17">
        <f>Start.listina!K580</f>
        <v>0</v>
      </c>
      <c r="E745" s="17">
        <f>Start.listina!L580</f>
        <v>0</v>
      </c>
      <c r="F745" s="17"/>
      <c r="G745" s="142" t="str">
        <f>IF(N(A745)&gt;0,VLOOKUP(A745,Body!$A$4:$F$259,5,0),"")</f>
        <v/>
      </c>
      <c r="H745" s="69" t="str">
        <f>IF(N(A745)&gt;0,VLOOKUP(A745,Body!$A$4:$F$259,6,0),"")</f>
        <v/>
      </c>
      <c r="I745" s="69" t="str">
        <f>IF(N(A745)&gt;0,VLOOKUP(A745,Body!$A$4:$F$259,2,0),"")</f>
        <v/>
      </c>
    </row>
    <row r="746" spans="1:9" ht="12" customHeight="1">
      <c r="A746" s="17"/>
      <c r="B746" s="17">
        <f>Start.listina!O580</f>
        <v>0</v>
      </c>
      <c r="C746" s="17">
        <f>Start.listina!P580</f>
        <v>0</v>
      </c>
      <c r="D746" s="17">
        <f>Start.listina!Q580</f>
        <v>0</v>
      </c>
      <c r="E746" s="17">
        <f>Start.listina!R580</f>
        <v>0</v>
      </c>
      <c r="F746" s="17"/>
      <c r="G746" s="142"/>
      <c r="H746" s="69"/>
      <c r="I746" s="69"/>
    </row>
    <row r="747" spans="1:9" ht="12" customHeight="1">
      <c r="A747" s="17"/>
      <c r="B747" s="17">
        <f>Start.listina!U580</f>
        <v>0</v>
      </c>
      <c r="C747" s="17">
        <f>Start.listina!V580</f>
        <v>0</v>
      </c>
      <c r="D747" s="17">
        <f>Start.listina!W580</f>
        <v>0</v>
      </c>
      <c r="E747" s="17">
        <f>Start.listina!X580</f>
        <v>0</v>
      </c>
      <c r="F747" s="17"/>
      <c r="G747" s="142"/>
      <c r="H747" s="69"/>
      <c r="I747" s="69"/>
    </row>
    <row r="748" spans="1:9" ht="12" customHeight="1">
      <c r="A748" s="17"/>
      <c r="B748" s="17">
        <f>Start.listina!AA580</f>
        <v>0</v>
      </c>
      <c r="C748" s="17">
        <f>Start.listina!AB580</f>
        <v>0</v>
      </c>
      <c r="D748" s="17">
        <f>Start.listina!AC580</f>
        <v>0</v>
      </c>
      <c r="E748" s="17">
        <f>Start.listina!AD580</f>
        <v>0</v>
      </c>
      <c r="F748" s="17"/>
      <c r="G748" s="142"/>
      <c r="H748" s="69"/>
      <c r="I748" s="69"/>
    </row>
    <row r="749" spans="1:9" ht="12" customHeight="1">
      <c r="A749" s="17">
        <f>Start.listina!AH581</f>
        <v>0</v>
      </c>
      <c r="B749" s="17">
        <f>Start.listina!I581</f>
        <v>0</v>
      </c>
      <c r="C749" s="141">
        <f>Start.listina!J581</f>
        <v>0</v>
      </c>
      <c r="D749" s="17">
        <f>Start.listina!K581</f>
        <v>0</v>
      </c>
      <c r="E749" s="17">
        <f>Start.listina!L581</f>
        <v>0</v>
      </c>
      <c r="F749" s="17"/>
      <c r="G749" s="142" t="str">
        <f>IF(N(A749)&gt;0,VLOOKUP(A749,Body!$A$4:$F$259,5,0),"")</f>
        <v/>
      </c>
      <c r="H749" s="69" t="str">
        <f>IF(N(A749)&gt;0,VLOOKUP(A749,Body!$A$4:$F$259,6,0),"")</f>
        <v/>
      </c>
      <c r="I749" s="69" t="str">
        <f>IF(N(A749)&gt;0,VLOOKUP(A749,Body!$A$4:$F$259,2,0),"")</f>
        <v/>
      </c>
    </row>
    <row r="750" spans="1:9" ht="12" customHeight="1">
      <c r="A750" s="17"/>
      <c r="B750" s="17">
        <f>Start.listina!O581</f>
        <v>0</v>
      </c>
      <c r="C750" s="17">
        <f>Start.listina!P581</f>
        <v>0</v>
      </c>
      <c r="D750" s="17">
        <f>Start.listina!Q581</f>
        <v>0</v>
      </c>
      <c r="E750" s="17">
        <f>Start.listina!R581</f>
        <v>0</v>
      </c>
      <c r="F750" s="17"/>
      <c r="G750" s="142"/>
      <c r="H750" s="69"/>
      <c r="I750" s="69"/>
    </row>
    <row r="751" spans="1:9" ht="12" customHeight="1">
      <c r="A751" s="17"/>
      <c r="B751" s="17">
        <f>Start.listina!U581</f>
        <v>0</v>
      </c>
      <c r="C751" s="17">
        <f>Start.listina!V581</f>
        <v>0</v>
      </c>
      <c r="D751" s="17">
        <f>Start.listina!W581</f>
        <v>0</v>
      </c>
      <c r="E751" s="17">
        <f>Start.listina!X581</f>
        <v>0</v>
      </c>
      <c r="F751" s="17"/>
      <c r="G751" s="142"/>
      <c r="H751" s="69"/>
      <c r="I751" s="69"/>
    </row>
    <row r="752" spans="1:9" ht="12" customHeight="1">
      <c r="A752" s="17"/>
      <c r="B752" s="17">
        <f>Start.listina!AA581</f>
        <v>0</v>
      </c>
      <c r="C752" s="17">
        <f>Start.listina!AB581</f>
        <v>0</v>
      </c>
      <c r="D752" s="17">
        <f>Start.listina!AC581</f>
        <v>0</v>
      </c>
      <c r="E752" s="17">
        <f>Start.listina!AD581</f>
        <v>0</v>
      </c>
      <c r="F752" s="17"/>
      <c r="G752" s="142"/>
      <c r="H752" s="69"/>
      <c r="I752" s="69"/>
    </row>
    <row r="753" spans="1:9" ht="12" customHeight="1">
      <c r="A753" s="17">
        <f>Start.listina!AH582</f>
        <v>0</v>
      </c>
      <c r="B753" s="17">
        <f>Start.listina!I582</f>
        <v>0</v>
      </c>
      <c r="C753" s="141">
        <f>Start.listina!J582</f>
        <v>0</v>
      </c>
      <c r="D753" s="17">
        <f>Start.listina!K582</f>
        <v>0</v>
      </c>
      <c r="E753" s="17">
        <f>Start.listina!L582</f>
        <v>0</v>
      </c>
      <c r="F753" s="17"/>
      <c r="G753" s="142" t="str">
        <f>IF(N(A753)&gt;0,VLOOKUP(A753,Body!$A$4:$F$259,5,0),"")</f>
        <v/>
      </c>
      <c r="H753" s="69" t="str">
        <f>IF(N(A753)&gt;0,VLOOKUP(A753,Body!$A$4:$F$259,6,0),"")</f>
        <v/>
      </c>
      <c r="I753" s="69" t="str">
        <f>IF(N(A753)&gt;0,VLOOKUP(A753,Body!$A$4:$F$259,2,0),"")</f>
        <v/>
      </c>
    </row>
    <row r="754" spans="1:9" ht="12" customHeight="1">
      <c r="A754" s="17"/>
      <c r="B754" s="17">
        <f>Start.listina!O582</f>
        <v>0</v>
      </c>
      <c r="C754" s="17">
        <f>Start.listina!P582</f>
        <v>0</v>
      </c>
      <c r="D754" s="17">
        <f>Start.listina!Q582</f>
        <v>0</v>
      </c>
      <c r="E754" s="17">
        <f>Start.listina!R582</f>
        <v>0</v>
      </c>
      <c r="F754" s="17"/>
      <c r="G754" s="142"/>
      <c r="H754" s="69"/>
      <c r="I754" s="69"/>
    </row>
    <row r="755" spans="1:9" ht="12" customHeight="1">
      <c r="A755" s="17"/>
      <c r="B755" s="17">
        <f>Start.listina!U582</f>
        <v>0</v>
      </c>
      <c r="C755" s="17">
        <f>Start.listina!V582</f>
        <v>0</v>
      </c>
      <c r="D755" s="17">
        <f>Start.listina!W582</f>
        <v>0</v>
      </c>
      <c r="E755" s="17">
        <f>Start.listina!X582</f>
        <v>0</v>
      </c>
      <c r="F755" s="17"/>
      <c r="G755" s="142"/>
      <c r="H755" s="69"/>
      <c r="I755" s="69"/>
    </row>
    <row r="756" spans="1:9" ht="12" customHeight="1">
      <c r="A756" s="17"/>
      <c r="B756" s="17">
        <f>Start.listina!AA582</f>
        <v>0</v>
      </c>
      <c r="C756" s="17">
        <f>Start.listina!AB582</f>
        <v>0</v>
      </c>
      <c r="D756" s="17">
        <f>Start.listina!AC582</f>
        <v>0</v>
      </c>
      <c r="E756" s="17">
        <f>Start.listina!AD582</f>
        <v>0</v>
      </c>
      <c r="F756" s="17"/>
      <c r="G756" s="142"/>
      <c r="H756" s="69"/>
      <c r="I756" s="69"/>
    </row>
    <row r="757" spans="1:9" ht="12" customHeight="1">
      <c r="A757" s="17">
        <f>Start.listina!AH583</f>
        <v>0</v>
      </c>
      <c r="B757" s="17">
        <f>Start.listina!I583</f>
        <v>0</v>
      </c>
      <c r="C757" s="141">
        <f>Start.listina!J583</f>
        <v>0</v>
      </c>
      <c r="D757" s="17">
        <f>Start.listina!K583</f>
        <v>0</v>
      </c>
      <c r="E757" s="17">
        <f>Start.listina!L583</f>
        <v>0</v>
      </c>
      <c r="F757" s="17"/>
      <c r="G757" s="142" t="str">
        <f>IF(N(A757)&gt;0,VLOOKUP(A757,Body!$A$4:$F$259,5,0),"")</f>
        <v/>
      </c>
      <c r="H757" s="69" t="str">
        <f>IF(N(A757)&gt;0,VLOOKUP(A757,Body!$A$4:$F$259,6,0),"")</f>
        <v/>
      </c>
      <c r="I757" s="69" t="str">
        <f>IF(N(A757)&gt;0,VLOOKUP(A757,Body!$A$4:$F$259,2,0),"")</f>
        <v/>
      </c>
    </row>
    <row r="758" spans="1:9" ht="12" customHeight="1">
      <c r="A758" s="17"/>
      <c r="B758" s="17">
        <f>Start.listina!O583</f>
        <v>0</v>
      </c>
      <c r="C758" s="17">
        <f>Start.listina!P583</f>
        <v>0</v>
      </c>
      <c r="D758" s="17">
        <f>Start.listina!Q583</f>
        <v>0</v>
      </c>
      <c r="E758" s="17">
        <f>Start.listina!R583</f>
        <v>0</v>
      </c>
      <c r="F758" s="17"/>
      <c r="G758" s="142"/>
      <c r="H758" s="69"/>
      <c r="I758" s="69"/>
    </row>
    <row r="759" spans="1:9" ht="12" customHeight="1">
      <c r="A759" s="17"/>
      <c r="B759" s="17">
        <f>Start.listina!U583</f>
        <v>0</v>
      </c>
      <c r="C759" s="17">
        <f>Start.listina!V583</f>
        <v>0</v>
      </c>
      <c r="D759" s="17">
        <f>Start.listina!W583</f>
        <v>0</v>
      </c>
      <c r="E759" s="17">
        <f>Start.listina!X583</f>
        <v>0</v>
      </c>
      <c r="F759" s="17"/>
      <c r="G759" s="142"/>
      <c r="H759" s="69"/>
      <c r="I759" s="69"/>
    </row>
    <row r="760" spans="1:9" ht="12" customHeight="1">
      <c r="A760" s="17"/>
      <c r="B760" s="17">
        <f>Start.listina!AA583</f>
        <v>0</v>
      </c>
      <c r="C760" s="17">
        <f>Start.listina!AB583</f>
        <v>0</v>
      </c>
      <c r="D760" s="17">
        <f>Start.listina!AC583</f>
        <v>0</v>
      </c>
      <c r="E760" s="17">
        <f>Start.listina!AD583</f>
        <v>0</v>
      </c>
      <c r="F760" s="17"/>
      <c r="G760" s="142"/>
      <c r="H760" s="69"/>
      <c r="I760" s="69"/>
    </row>
    <row r="761" spans="1:9" ht="12" customHeight="1">
      <c r="A761" s="17">
        <f>Start.listina!AH584</f>
        <v>0</v>
      </c>
      <c r="B761" s="17">
        <f>Start.listina!I584</f>
        <v>0</v>
      </c>
      <c r="C761" s="141">
        <f>Start.listina!J584</f>
        <v>0</v>
      </c>
      <c r="D761" s="17">
        <f>Start.listina!K584</f>
        <v>0</v>
      </c>
      <c r="E761" s="17">
        <f>Start.listina!L584</f>
        <v>0</v>
      </c>
      <c r="F761" s="17"/>
      <c r="G761" s="142" t="str">
        <f>IF(N(A761)&gt;0,VLOOKUP(A761,Body!$A$4:$F$259,5,0),"")</f>
        <v/>
      </c>
      <c r="H761" s="69" t="str">
        <f>IF(N(A761)&gt;0,VLOOKUP(A761,Body!$A$4:$F$259,6,0),"")</f>
        <v/>
      </c>
      <c r="I761" s="69" t="str">
        <f>IF(N(A761)&gt;0,VLOOKUP(A761,Body!$A$4:$F$259,2,0),"")</f>
        <v/>
      </c>
    </row>
    <row r="762" spans="1:9" ht="12" customHeight="1">
      <c r="A762" s="17"/>
      <c r="B762" s="17">
        <f>Start.listina!O584</f>
        <v>0</v>
      </c>
      <c r="C762" s="17">
        <f>Start.listina!P584</f>
        <v>0</v>
      </c>
      <c r="D762" s="17">
        <f>Start.listina!Q584</f>
        <v>0</v>
      </c>
      <c r="E762" s="17">
        <f>Start.listina!R584</f>
        <v>0</v>
      </c>
      <c r="F762" s="17"/>
      <c r="G762" s="142"/>
      <c r="H762" s="69"/>
      <c r="I762" s="69"/>
    </row>
    <row r="763" spans="1:9" ht="12" customHeight="1">
      <c r="A763" s="17"/>
      <c r="B763" s="17">
        <f>Start.listina!U584</f>
        <v>0</v>
      </c>
      <c r="C763" s="17">
        <f>Start.listina!V584</f>
        <v>0</v>
      </c>
      <c r="D763" s="17">
        <f>Start.listina!W584</f>
        <v>0</v>
      </c>
      <c r="E763" s="17">
        <f>Start.listina!X584</f>
        <v>0</v>
      </c>
      <c r="F763" s="17"/>
      <c r="G763" s="142"/>
      <c r="H763" s="69"/>
      <c r="I763" s="69"/>
    </row>
    <row r="764" spans="1:9" ht="12" customHeight="1">
      <c r="A764" s="17"/>
      <c r="B764" s="17">
        <f>Start.listina!AA584</f>
        <v>0</v>
      </c>
      <c r="C764" s="17">
        <f>Start.listina!AB584</f>
        <v>0</v>
      </c>
      <c r="D764" s="17">
        <f>Start.listina!AC584</f>
        <v>0</v>
      </c>
      <c r="E764" s="17">
        <f>Start.listina!AD584</f>
        <v>0</v>
      </c>
      <c r="F764" s="17"/>
      <c r="G764" s="142"/>
      <c r="H764" s="69"/>
      <c r="I764" s="69"/>
    </row>
    <row r="765" spans="1:9" ht="12" customHeight="1">
      <c r="A765" s="17">
        <f>Start.listina!AH585</f>
        <v>0</v>
      </c>
      <c r="B765" s="17">
        <f>Start.listina!I585</f>
        <v>0</v>
      </c>
      <c r="C765" s="141">
        <f>Start.listina!J585</f>
        <v>0</v>
      </c>
      <c r="D765" s="17">
        <f>Start.listina!K585</f>
        <v>0</v>
      </c>
      <c r="E765" s="17">
        <f>Start.listina!L585</f>
        <v>0</v>
      </c>
      <c r="F765" s="17"/>
      <c r="G765" s="142" t="str">
        <f>IF(N(A765)&gt;0,VLOOKUP(A765,Body!$A$4:$F$259,5,0),"")</f>
        <v/>
      </c>
      <c r="H765" s="69" t="str">
        <f>IF(N(A765)&gt;0,VLOOKUP(A765,Body!$A$4:$F$259,6,0),"")</f>
        <v/>
      </c>
      <c r="I765" s="69" t="str">
        <f>IF(N(A765)&gt;0,VLOOKUP(A765,Body!$A$4:$F$259,2,0),"")</f>
        <v/>
      </c>
    </row>
    <row r="766" spans="1:9" ht="12" customHeight="1">
      <c r="A766" s="17"/>
      <c r="B766" s="17">
        <f>Start.listina!O585</f>
        <v>0</v>
      </c>
      <c r="C766" s="17">
        <f>Start.listina!P585</f>
        <v>0</v>
      </c>
      <c r="D766" s="17">
        <f>Start.listina!Q585</f>
        <v>0</v>
      </c>
      <c r="E766" s="17">
        <f>Start.listina!R585</f>
        <v>0</v>
      </c>
      <c r="F766" s="17"/>
      <c r="G766" s="142"/>
      <c r="H766" s="69"/>
      <c r="I766" s="69"/>
    </row>
    <row r="767" spans="1:9" ht="12" customHeight="1">
      <c r="A767" s="17"/>
      <c r="B767" s="17">
        <f>Start.listina!U585</f>
        <v>0</v>
      </c>
      <c r="C767" s="17">
        <f>Start.listina!V585</f>
        <v>0</v>
      </c>
      <c r="D767" s="17">
        <f>Start.listina!W585</f>
        <v>0</v>
      </c>
      <c r="E767" s="17">
        <f>Start.listina!X585</f>
        <v>0</v>
      </c>
      <c r="F767" s="17"/>
      <c r="G767" s="142"/>
      <c r="H767" s="69"/>
      <c r="I767" s="69"/>
    </row>
    <row r="768" spans="1:9" ht="12" customHeight="1">
      <c r="A768" s="17"/>
      <c r="B768" s="17">
        <f>Start.listina!AA585</f>
        <v>0</v>
      </c>
      <c r="C768" s="17">
        <f>Start.listina!AB585</f>
        <v>0</v>
      </c>
      <c r="D768" s="17">
        <f>Start.listina!AC585</f>
        <v>0</v>
      </c>
      <c r="E768" s="17">
        <f>Start.listina!AD585</f>
        <v>0</v>
      </c>
      <c r="F768" s="17"/>
      <c r="G768" s="142"/>
      <c r="H768" s="69"/>
      <c r="I768" s="69"/>
    </row>
    <row r="769" spans="1:9" ht="12" customHeight="1">
      <c r="A769" s="17">
        <f>Start.listina!AH586</f>
        <v>0</v>
      </c>
      <c r="B769" s="17">
        <f>Start.listina!I586</f>
        <v>0</v>
      </c>
      <c r="C769" s="141">
        <f>Start.listina!J586</f>
        <v>0</v>
      </c>
      <c r="D769" s="17">
        <f>Start.listina!K586</f>
        <v>0</v>
      </c>
      <c r="E769" s="17">
        <f>Start.listina!L586</f>
        <v>0</v>
      </c>
      <c r="F769" s="17"/>
      <c r="G769" s="142" t="str">
        <f>IF(N(A769)&gt;0,VLOOKUP(A769,Body!$A$4:$F$259,5,0),"")</f>
        <v/>
      </c>
      <c r="H769" s="69" t="str">
        <f>IF(N(A769)&gt;0,VLOOKUP(A769,Body!$A$4:$F$259,6,0),"")</f>
        <v/>
      </c>
      <c r="I769" s="69" t="str">
        <f>IF(N(A769)&gt;0,VLOOKUP(A769,Body!$A$4:$F$259,2,0),"")</f>
        <v/>
      </c>
    </row>
    <row r="770" spans="1:9" ht="12" customHeight="1">
      <c r="A770" s="17"/>
      <c r="B770" s="17">
        <f>Start.listina!O586</f>
        <v>0</v>
      </c>
      <c r="C770" s="17">
        <f>Start.listina!P586</f>
        <v>0</v>
      </c>
      <c r="D770" s="17">
        <f>Start.listina!Q586</f>
        <v>0</v>
      </c>
      <c r="E770" s="17">
        <f>Start.listina!R586</f>
        <v>0</v>
      </c>
      <c r="F770" s="17"/>
      <c r="G770" s="142"/>
      <c r="H770" s="69"/>
      <c r="I770" s="69"/>
    </row>
    <row r="771" spans="1:9" ht="12" customHeight="1">
      <c r="A771" s="17"/>
      <c r="B771" s="17">
        <f>Start.listina!U586</f>
        <v>0</v>
      </c>
      <c r="C771" s="17">
        <f>Start.listina!V586</f>
        <v>0</v>
      </c>
      <c r="D771" s="17">
        <f>Start.listina!W586</f>
        <v>0</v>
      </c>
      <c r="E771" s="17">
        <f>Start.listina!X586</f>
        <v>0</v>
      </c>
      <c r="F771" s="17"/>
      <c r="G771" s="142"/>
      <c r="H771" s="69"/>
      <c r="I771" s="69"/>
    </row>
    <row r="772" spans="1:9" ht="12" customHeight="1">
      <c r="A772" s="17"/>
      <c r="B772" s="17">
        <f>Start.listina!AA586</f>
        <v>0</v>
      </c>
      <c r="C772" s="17">
        <f>Start.listina!AB586</f>
        <v>0</v>
      </c>
      <c r="D772" s="17">
        <f>Start.listina!AC586</f>
        <v>0</v>
      </c>
      <c r="E772" s="17">
        <f>Start.listina!AD586</f>
        <v>0</v>
      </c>
      <c r="F772" s="17"/>
      <c r="G772" s="142"/>
      <c r="H772" s="69"/>
      <c r="I772" s="69"/>
    </row>
    <row r="773" spans="1:9" ht="12" customHeight="1">
      <c r="A773" s="17">
        <f>Start.listina!AH587</f>
        <v>0</v>
      </c>
      <c r="B773" s="17">
        <f>Start.listina!I587</f>
        <v>0</v>
      </c>
      <c r="C773" s="141">
        <f>Start.listina!J587</f>
        <v>0</v>
      </c>
      <c r="D773" s="17">
        <f>Start.listina!K587</f>
        <v>0</v>
      </c>
      <c r="E773" s="17">
        <f>Start.listina!L587</f>
        <v>0</v>
      </c>
      <c r="F773" s="17"/>
      <c r="G773" s="142" t="str">
        <f>IF(N(A773)&gt;0,VLOOKUP(A773,Body!$A$4:$F$259,5,0),"")</f>
        <v/>
      </c>
      <c r="H773" s="69" t="str">
        <f>IF(N(A773)&gt;0,VLOOKUP(A773,Body!$A$4:$F$259,6,0),"")</f>
        <v/>
      </c>
      <c r="I773" s="69" t="str">
        <f>IF(N(A773)&gt;0,VLOOKUP(A773,Body!$A$4:$F$259,2,0),"")</f>
        <v/>
      </c>
    </row>
    <row r="774" spans="1:9" ht="12" customHeight="1">
      <c r="A774" s="17"/>
      <c r="B774" s="17">
        <f>Start.listina!O587</f>
        <v>0</v>
      </c>
      <c r="C774" s="17">
        <f>Start.listina!P587</f>
        <v>0</v>
      </c>
      <c r="D774" s="17">
        <f>Start.listina!Q587</f>
        <v>0</v>
      </c>
      <c r="E774" s="17">
        <f>Start.listina!R587</f>
        <v>0</v>
      </c>
      <c r="F774" s="17"/>
      <c r="G774" s="142"/>
      <c r="H774" s="69"/>
      <c r="I774" s="69"/>
    </row>
    <row r="775" spans="1:9" ht="12" customHeight="1">
      <c r="A775" s="17"/>
      <c r="B775" s="17">
        <f>Start.listina!U587</f>
        <v>0</v>
      </c>
      <c r="C775" s="17">
        <f>Start.listina!V587</f>
        <v>0</v>
      </c>
      <c r="D775" s="17">
        <f>Start.listina!W587</f>
        <v>0</v>
      </c>
      <c r="E775" s="17">
        <f>Start.listina!X587</f>
        <v>0</v>
      </c>
      <c r="F775" s="17"/>
      <c r="G775" s="142"/>
      <c r="H775" s="69"/>
      <c r="I775" s="69"/>
    </row>
    <row r="776" spans="1:9" ht="12" customHeight="1">
      <c r="A776" s="17"/>
      <c r="B776" s="17">
        <f>Start.listina!AA587</f>
        <v>0</v>
      </c>
      <c r="C776" s="17">
        <f>Start.listina!AB587</f>
        <v>0</v>
      </c>
      <c r="D776" s="17">
        <f>Start.listina!AC587</f>
        <v>0</v>
      </c>
      <c r="E776" s="17">
        <f>Start.listina!AD587</f>
        <v>0</v>
      </c>
      <c r="F776" s="17"/>
      <c r="G776" s="142"/>
      <c r="H776" s="69"/>
      <c r="I776" s="69"/>
    </row>
    <row r="777" spans="1:9" ht="12" customHeight="1">
      <c r="A777" s="17">
        <f>Start.listina!AH588</f>
        <v>0</v>
      </c>
      <c r="B777" s="17">
        <f>Start.listina!I588</f>
        <v>0</v>
      </c>
      <c r="C777" s="141">
        <f>Start.listina!J588</f>
        <v>0</v>
      </c>
      <c r="D777" s="17">
        <f>Start.listina!K588</f>
        <v>0</v>
      </c>
      <c r="E777" s="17">
        <f>Start.listina!L588</f>
        <v>0</v>
      </c>
      <c r="F777" s="17"/>
      <c r="G777" s="142" t="str">
        <f>IF(N(A777)&gt;0,VLOOKUP(A777,Body!$A$4:$F$259,5,0),"")</f>
        <v/>
      </c>
      <c r="H777" s="69" t="str">
        <f>IF(N(A777)&gt;0,VLOOKUP(A777,Body!$A$4:$F$259,6,0),"")</f>
        <v/>
      </c>
      <c r="I777" s="69" t="str">
        <f>IF(N(A777)&gt;0,VLOOKUP(A777,Body!$A$4:$F$259,2,0),"")</f>
        <v/>
      </c>
    </row>
    <row r="778" spans="1:9" ht="12" customHeight="1">
      <c r="A778" s="17"/>
      <c r="B778" s="17">
        <f>Start.listina!O588</f>
        <v>0</v>
      </c>
      <c r="C778" s="17">
        <f>Start.listina!P588</f>
        <v>0</v>
      </c>
      <c r="D778" s="17">
        <f>Start.listina!Q588</f>
        <v>0</v>
      </c>
      <c r="E778" s="17">
        <f>Start.listina!R588</f>
        <v>0</v>
      </c>
      <c r="F778" s="17"/>
      <c r="G778" s="142"/>
      <c r="H778" s="69"/>
      <c r="I778" s="69"/>
    </row>
    <row r="779" spans="1:9" ht="12" customHeight="1">
      <c r="A779" s="17"/>
      <c r="B779" s="17">
        <f>Start.listina!U588</f>
        <v>0</v>
      </c>
      <c r="C779" s="17">
        <f>Start.listina!V588</f>
        <v>0</v>
      </c>
      <c r="D779" s="17">
        <f>Start.listina!W588</f>
        <v>0</v>
      </c>
      <c r="E779" s="17">
        <f>Start.listina!X588</f>
        <v>0</v>
      </c>
      <c r="F779" s="17"/>
      <c r="G779" s="142"/>
      <c r="H779" s="69"/>
      <c r="I779" s="69"/>
    </row>
    <row r="780" spans="1:9" ht="12" customHeight="1">
      <c r="A780" s="17"/>
      <c r="B780" s="17">
        <f>Start.listina!AA588</f>
        <v>0</v>
      </c>
      <c r="C780" s="17">
        <f>Start.listina!AB588</f>
        <v>0</v>
      </c>
      <c r="D780" s="17">
        <f>Start.listina!AC588</f>
        <v>0</v>
      </c>
      <c r="E780" s="17">
        <f>Start.listina!AD588</f>
        <v>0</v>
      </c>
      <c r="F780" s="17"/>
      <c r="G780" s="142"/>
      <c r="H780" s="69"/>
      <c r="I780" s="69"/>
    </row>
    <row r="781" spans="1:9" ht="12" customHeight="1">
      <c r="A781" s="17">
        <f>Start.listina!AH589</f>
        <v>0</v>
      </c>
      <c r="B781" s="17">
        <f>Start.listina!I589</f>
        <v>0</v>
      </c>
      <c r="C781" s="141">
        <f>Start.listina!J589</f>
        <v>0</v>
      </c>
      <c r="D781" s="17">
        <f>Start.listina!K589</f>
        <v>0</v>
      </c>
      <c r="E781" s="17">
        <f>Start.listina!L589</f>
        <v>0</v>
      </c>
      <c r="F781" s="17"/>
      <c r="G781" s="142" t="str">
        <f>IF(N(A781)&gt;0,VLOOKUP(A781,Body!$A$4:$F$259,5,0),"")</f>
        <v/>
      </c>
      <c r="H781" s="69" t="str">
        <f>IF(N(A781)&gt;0,VLOOKUP(A781,Body!$A$4:$F$259,6,0),"")</f>
        <v/>
      </c>
      <c r="I781" s="69" t="str">
        <f>IF(N(A781)&gt;0,VLOOKUP(A781,Body!$A$4:$F$259,2,0),"")</f>
        <v/>
      </c>
    </row>
    <row r="782" spans="1:9" ht="12" customHeight="1">
      <c r="A782" s="17"/>
      <c r="B782" s="17">
        <f>Start.listina!O589</f>
        <v>0</v>
      </c>
      <c r="C782" s="17">
        <f>Start.listina!P589</f>
        <v>0</v>
      </c>
      <c r="D782" s="17">
        <f>Start.listina!Q589</f>
        <v>0</v>
      </c>
      <c r="E782" s="17">
        <f>Start.listina!R589</f>
        <v>0</v>
      </c>
      <c r="F782" s="17"/>
      <c r="G782" s="142"/>
      <c r="H782" s="69"/>
      <c r="I782" s="69"/>
    </row>
    <row r="783" spans="1:9" ht="12" customHeight="1">
      <c r="A783" s="17"/>
      <c r="B783" s="17">
        <f>Start.listina!U589</f>
        <v>0</v>
      </c>
      <c r="C783" s="17">
        <f>Start.listina!V589</f>
        <v>0</v>
      </c>
      <c r="D783" s="17">
        <f>Start.listina!W589</f>
        <v>0</v>
      </c>
      <c r="E783" s="17">
        <f>Start.listina!X589</f>
        <v>0</v>
      </c>
      <c r="F783" s="17"/>
      <c r="G783" s="142"/>
      <c r="H783" s="69"/>
      <c r="I783" s="69"/>
    </row>
    <row r="784" spans="1:9" ht="12" customHeight="1">
      <c r="A784" s="17"/>
      <c r="B784" s="17">
        <f>Start.listina!AA589</f>
        <v>0</v>
      </c>
      <c r="C784" s="17">
        <f>Start.listina!AB589</f>
        <v>0</v>
      </c>
      <c r="D784" s="17">
        <f>Start.listina!AC589</f>
        <v>0</v>
      </c>
      <c r="E784" s="17">
        <f>Start.listina!AD589</f>
        <v>0</v>
      </c>
      <c r="F784" s="17"/>
      <c r="G784" s="142"/>
      <c r="H784" s="69"/>
      <c r="I784" s="69"/>
    </row>
    <row r="785" spans="1:9" ht="12" customHeight="1">
      <c r="A785" s="17">
        <f>Start.listina!AH590</f>
        <v>0</v>
      </c>
      <c r="B785" s="17">
        <f>Start.listina!I590</f>
        <v>0</v>
      </c>
      <c r="C785" s="141">
        <f>Start.listina!J590</f>
        <v>0</v>
      </c>
      <c r="D785" s="17">
        <f>Start.listina!K590</f>
        <v>0</v>
      </c>
      <c r="E785" s="17">
        <f>Start.listina!L590</f>
        <v>0</v>
      </c>
      <c r="F785" s="17"/>
      <c r="G785" s="142" t="str">
        <f>IF(N(A785)&gt;0,VLOOKUP(A785,Body!$A$4:$F$259,5,0),"")</f>
        <v/>
      </c>
      <c r="H785" s="69" t="str">
        <f>IF(N(A785)&gt;0,VLOOKUP(A785,Body!$A$4:$F$259,6,0),"")</f>
        <v/>
      </c>
      <c r="I785" s="69" t="str">
        <f>IF(N(A785)&gt;0,VLOOKUP(A785,Body!$A$4:$F$259,2,0),"")</f>
        <v/>
      </c>
    </row>
    <row r="786" spans="1:9" ht="12" customHeight="1">
      <c r="A786" s="17"/>
      <c r="B786" s="17">
        <f>Start.listina!O590</f>
        <v>0</v>
      </c>
      <c r="C786" s="17">
        <f>Start.listina!P590</f>
        <v>0</v>
      </c>
      <c r="D786" s="17">
        <f>Start.listina!Q590</f>
        <v>0</v>
      </c>
      <c r="E786" s="17">
        <f>Start.listina!R590</f>
        <v>0</v>
      </c>
      <c r="F786" s="17"/>
      <c r="G786" s="142"/>
      <c r="H786" s="69"/>
      <c r="I786" s="69"/>
    </row>
    <row r="787" spans="1:9" ht="12" customHeight="1">
      <c r="A787" s="17"/>
      <c r="B787" s="17">
        <f>Start.listina!U590</f>
        <v>0</v>
      </c>
      <c r="C787" s="17">
        <f>Start.listina!V590</f>
        <v>0</v>
      </c>
      <c r="D787" s="17">
        <f>Start.listina!W590</f>
        <v>0</v>
      </c>
      <c r="E787" s="17">
        <f>Start.listina!X590</f>
        <v>0</v>
      </c>
      <c r="F787" s="17"/>
      <c r="G787" s="142"/>
      <c r="H787" s="69"/>
      <c r="I787" s="69"/>
    </row>
    <row r="788" spans="1:9" ht="12" customHeight="1">
      <c r="A788" s="17"/>
      <c r="B788" s="17">
        <f>Start.listina!AA590</f>
        <v>0</v>
      </c>
      <c r="C788" s="17">
        <f>Start.listina!AB590</f>
        <v>0</v>
      </c>
      <c r="D788" s="17">
        <f>Start.listina!AC590</f>
        <v>0</v>
      </c>
      <c r="E788" s="17">
        <f>Start.listina!AD590</f>
        <v>0</v>
      </c>
      <c r="F788" s="17"/>
      <c r="G788" s="142"/>
      <c r="H788" s="69"/>
      <c r="I788" s="69"/>
    </row>
    <row r="789" spans="1:9" ht="12" customHeight="1">
      <c r="A789" s="17">
        <f>Start.listina!AH591</f>
        <v>0</v>
      </c>
      <c r="B789" s="17">
        <f>Start.listina!I591</f>
        <v>0</v>
      </c>
      <c r="C789" s="141">
        <f>Start.listina!J591</f>
        <v>0</v>
      </c>
      <c r="D789" s="17">
        <f>Start.listina!K591</f>
        <v>0</v>
      </c>
      <c r="E789" s="17">
        <f>Start.listina!L591</f>
        <v>0</v>
      </c>
      <c r="F789" s="17"/>
      <c r="G789" s="142" t="str">
        <f>IF(N(A789)&gt;0,VLOOKUP(A789,Body!$A$4:$F$259,5,0),"")</f>
        <v/>
      </c>
      <c r="H789" s="69" t="str">
        <f>IF(N(A789)&gt;0,VLOOKUP(A789,Body!$A$4:$F$259,6,0),"")</f>
        <v/>
      </c>
      <c r="I789" s="69" t="str">
        <f>IF(N(A789)&gt;0,VLOOKUP(A789,Body!$A$4:$F$259,2,0),"")</f>
        <v/>
      </c>
    </row>
    <row r="790" spans="1:9" ht="12" customHeight="1">
      <c r="A790" s="17"/>
      <c r="B790" s="17">
        <f>Start.listina!O591</f>
        <v>0</v>
      </c>
      <c r="C790" s="17">
        <f>Start.listina!P591</f>
        <v>0</v>
      </c>
      <c r="D790" s="17">
        <f>Start.listina!Q591</f>
        <v>0</v>
      </c>
      <c r="E790" s="17">
        <f>Start.listina!R591</f>
        <v>0</v>
      </c>
      <c r="F790" s="17"/>
      <c r="G790" s="142"/>
      <c r="H790" s="69"/>
      <c r="I790" s="69"/>
    </row>
    <row r="791" spans="1:9" ht="12" customHeight="1">
      <c r="A791" s="17"/>
      <c r="B791" s="17">
        <f>Start.listina!U591</f>
        <v>0</v>
      </c>
      <c r="C791" s="17">
        <f>Start.listina!V591</f>
        <v>0</v>
      </c>
      <c r="D791" s="17">
        <f>Start.listina!W591</f>
        <v>0</v>
      </c>
      <c r="E791" s="17">
        <f>Start.listina!X591</f>
        <v>0</v>
      </c>
      <c r="F791" s="17"/>
      <c r="G791" s="142"/>
      <c r="H791" s="69"/>
      <c r="I791" s="69"/>
    </row>
    <row r="792" spans="1:9" ht="12" customHeight="1">
      <c r="A792" s="17"/>
      <c r="B792" s="17">
        <f>Start.listina!AA591</f>
        <v>0</v>
      </c>
      <c r="C792" s="17">
        <f>Start.listina!AB591</f>
        <v>0</v>
      </c>
      <c r="D792" s="17">
        <f>Start.listina!AC591</f>
        <v>0</v>
      </c>
      <c r="E792" s="17">
        <f>Start.listina!AD591</f>
        <v>0</v>
      </c>
      <c r="F792" s="17"/>
      <c r="G792" s="142"/>
      <c r="H792" s="69"/>
      <c r="I792" s="69"/>
    </row>
    <row r="793" spans="1:9" ht="12" customHeight="1">
      <c r="A793" s="17">
        <f>Start.listina!AH592</f>
        <v>0</v>
      </c>
      <c r="B793" s="17">
        <f>Start.listina!I592</f>
        <v>0</v>
      </c>
      <c r="C793" s="141">
        <f>Start.listina!J592</f>
        <v>0</v>
      </c>
      <c r="D793" s="17">
        <f>Start.listina!K592</f>
        <v>0</v>
      </c>
      <c r="E793" s="17">
        <f>Start.listina!L592</f>
        <v>0</v>
      </c>
      <c r="F793" s="17"/>
      <c r="G793" s="142" t="str">
        <f>IF(N(A793)&gt;0,VLOOKUP(A793,Body!$A$4:$F$259,5,0),"")</f>
        <v/>
      </c>
      <c r="H793" s="69" t="str">
        <f>IF(N(A793)&gt;0,VLOOKUP(A793,Body!$A$4:$F$259,6,0),"")</f>
        <v/>
      </c>
      <c r="I793" s="69" t="str">
        <f>IF(N(A793)&gt;0,VLOOKUP(A793,Body!$A$4:$F$259,2,0),"")</f>
        <v/>
      </c>
    </row>
    <row r="794" spans="1:9" ht="12" customHeight="1">
      <c r="A794" s="17"/>
      <c r="B794" s="17">
        <f>Start.listina!O592</f>
        <v>0</v>
      </c>
      <c r="C794" s="17">
        <f>Start.listina!P592</f>
        <v>0</v>
      </c>
      <c r="D794" s="17">
        <f>Start.listina!Q592</f>
        <v>0</v>
      </c>
      <c r="E794" s="17">
        <f>Start.listina!R592</f>
        <v>0</v>
      </c>
      <c r="F794" s="17"/>
      <c r="G794" s="142"/>
      <c r="H794" s="69"/>
      <c r="I794" s="69"/>
    </row>
    <row r="795" spans="1:9" ht="12" customHeight="1">
      <c r="A795" s="17"/>
      <c r="B795" s="17">
        <f>Start.listina!U592</f>
        <v>0</v>
      </c>
      <c r="C795" s="17">
        <f>Start.listina!V592</f>
        <v>0</v>
      </c>
      <c r="D795" s="17">
        <f>Start.listina!W592</f>
        <v>0</v>
      </c>
      <c r="E795" s="17">
        <f>Start.listina!X592</f>
        <v>0</v>
      </c>
      <c r="F795" s="17"/>
      <c r="G795" s="142"/>
      <c r="H795" s="69"/>
      <c r="I795" s="69"/>
    </row>
    <row r="796" spans="1:9" ht="12" customHeight="1">
      <c r="A796" s="17"/>
      <c r="B796" s="17">
        <f>Start.listina!AA592</f>
        <v>0</v>
      </c>
      <c r="C796" s="17">
        <f>Start.listina!AB592</f>
        <v>0</v>
      </c>
      <c r="D796" s="17">
        <f>Start.listina!AC592</f>
        <v>0</v>
      </c>
      <c r="E796" s="17">
        <f>Start.listina!AD592</f>
        <v>0</v>
      </c>
      <c r="F796" s="17"/>
      <c r="G796" s="142"/>
      <c r="H796" s="69"/>
      <c r="I796" s="69"/>
    </row>
    <row r="797" spans="1:9" ht="12" customHeight="1">
      <c r="A797" s="17">
        <f>Start.listina!AH593</f>
        <v>0</v>
      </c>
      <c r="B797" s="17">
        <f>Start.listina!I593</f>
        <v>0</v>
      </c>
      <c r="C797" s="141">
        <f>Start.listina!J593</f>
        <v>0</v>
      </c>
      <c r="D797" s="17">
        <f>Start.listina!K593</f>
        <v>0</v>
      </c>
      <c r="E797" s="17">
        <f>Start.listina!L593</f>
        <v>0</v>
      </c>
      <c r="F797" s="17"/>
      <c r="G797" s="142" t="str">
        <f>IF(N(A797)&gt;0,VLOOKUP(A797,Body!$A$4:$F$259,5,0),"")</f>
        <v/>
      </c>
      <c r="H797" s="69" t="str">
        <f>IF(N(A797)&gt;0,VLOOKUP(A797,Body!$A$4:$F$259,6,0),"")</f>
        <v/>
      </c>
      <c r="I797" s="69" t="str">
        <f>IF(N(A797)&gt;0,VLOOKUP(A797,Body!$A$4:$F$259,2,0),"")</f>
        <v/>
      </c>
    </row>
    <row r="798" spans="1:9" ht="12" customHeight="1">
      <c r="A798" s="17"/>
      <c r="B798" s="17">
        <f>Start.listina!O593</f>
        <v>0</v>
      </c>
      <c r="C798" s="17">
        <f>Start.listina!P593</f>
        <v>0</v>
      </c>
      <c r="D798" s="17">
        <f>Start.listina!Q593</f>
        <v>0</v>
      </c>
      <c r="E798" s="17">
        <f>Start.listina!R593</f>
        <v>0</v>
      </c>
      <c r="F798" s="17"/>
      <c r="G798" s="142"/>
      <c r="H798" s="69"/>
      <c r="I798" s="69"/>
    </row>
    <row r="799" spans="1:9" ht="12" customHeight="1">
      <c r="A799" s="17"/>
      <c r="B799" s="17">
        <f>Start.listina!U593</f>
        <v>0</v>
      </c>
      <c r="C799" s="17">
        <f>Start.listina!V593</f>
        <v>0</v>
      </c>
      <c r="D799" s="17">
        <f>Start.listina!W593</f>
        <v>0</v>
      </c>
      <c r="E799" s="17">
        <f>Start.listina!X593</f>
        <v>0</v>
      </c>
      <c r="F799" s="17"/>
      <c r="G799" s="142"/>
      <c r="H799" s="69"/>
      <c r="I799" s="69"/>
    </row>
    <row r="800" spans="1:9" ht="12" customHeight="1">
      <c r="A800" s="17"/>
      <c r="B800" s="17">
        <f>Start.listina!AA593</f>
        <v>0</v>
      </c>
      <c r="C800" s="17">
        <f>Start.listina!AB593</f>
        <v>0</v>
      </c>
      <c r="D800" s="17">
        <f>Start.listina!AC593</f>
        <v>0</v>
      </c>
      <c r="E800" s="17">
        <f>Start.listina!AD593</f>
        <v>0</v>
      </c>
      <c r="F800" s="17"/>
      <c r="G800" s="142"/>
      <c r="H800" s="69"/>
      <c r="I800" s="69"/>
    </row>
    <row r="801" spans="1:9" ht="12" customHeight="1">
      <c r="A801" s="17">
        <f>Start.listina!AH594</f>
        <v>0</v>
      </c>
      <c r="B801" s="17">
        <f>Start.listina!I594</f>
        <v>0</v>
      </c>
      <c r="C801" s="141">
        <f>Start.listina!J594</f>
        <v>0</v>
      </c>
      <c r="D801" s="17">
        <f>Start.listina!K594</f>
        <v>0</v>
      </c>
      <c r="E801" s="17">
        <f>Start.listina!L594</f>
        <v>0</v>
      </c>
      <c r="F801" s="17"/>
      <c r="G801" s="142" t="str">
        <f>IF(N(A801)&gt;0,VLOOKUP(A801,Body!$A$4:$F$259,5,0),"")</f>
        <v/>
      </c>
      <c r="H801" s="69" t="str">
        <f>IF(N(A801)&gt;0,VLOOKUP(A801,Body!$A$4:$F$259,6,0),"")</f>
        <v/>
      </c>
      <c r="I801" s="69" t="str">
        <f>IF(N(A801)&gt;0,VLOOKUP(A801,Body!$A$4:$F$259,2,0),"")</f>
        <v/>
      </c>
    </row>
    <row r="802" spans="1:9" ht="12" customHeight="1">
      <c r="A802" s="17"/>
      <c r="B802" s="17">
        <f>Start.listina!O594</f>
        <v>0</v>
      </c>
      <c r="C802" s="17">
        <f>Start.listina!P594</f>
        <v>0</v>
      </c>
      <c r="D802" s="17">
        <f>Start.listina!Q594</f>
        <v>0</v>
      </c>
      <c r="E802" s="17">
        <f>Start.listina!R594</f>
        <v>0</v>
      </c>
      <c r="F802" s="17"/>
      <c r="G802" s="142"/>
      <c r="H802" s="69"/>
      <c r="I802" s="69"/>
    </row>
    <row r="803" spans="1:9" ht="12" customHeight="1">
      <c r="A803" s="17"/>
      <c r="B803" s="17">
        <f>Start.listina!U594</f>
        <v>0</v>
      </c>
      <c r="C803" s="17">
        <f>Start.listina!V594</f>
        <v>0</v>
      </c>
      <c r="D803" s="17">
        <f>Start.listina!W594</f>
        <v>0</v>
      </c>
      <c r="E803" s="17">
        <f>Start.listina!X594</f>
        <v>0</v>
      </c>
      <c r="F803" s="17"/>
      <c r="G803" s="142"/>
      <c r="H803" s="69"/>
      <c r="I803" s="69"/>
    </row>
    <row r="804" spans="1:9" ht="12" customHeight="1">
      <c r="A804" s="17"/>
      <c r="B804" s="17">
        <f>Start.listina!AA594</f>
        <v>0</v>
      </c>
      <c r="C804" s="17">
        <f>Start.listina!AB594</f>
        <v>0</v>
      </c>
      <c r="D804" s="17">
        <f>Start.listina!AC594</f>
        <v>0</v>
      </c>
      <c r="E804" s="17">
        <f>Start.listina!AD594</f>
        <v>0</v>
      </c>
      <c r="F804" s="17"/>
      <c r="G804" s="142"/>
      <c r="H804" s="69"/>
      <c r="I804" s="69"/>
    </row>
    <row r="805" spans="1:9" ht="12" customHeight="1">
      <c r="A805" s="17">
        <f>Start.listina!AH595</f>
        <v>0</v>
      </c>
      <c r="B805" s="17">
        <f>Start.listina!I595</f>
        <v>0</v>
      </c>
      <c r="C805" s="141">
        <f>Start.listina!J595</f>
        <v>0</v>
      </c>
      <c r="D805" s="17">
        <f>Start.listina!K595</f>
        <v>0</v>
      </c>
      <c r="E805" s="17">
        <f>Start.listina!L595</f>
        <v>0</v>
      </c>
      <c r="F805" s="17"/>
      <c r="G805" s="142" t="str">
        <f>IF(N(A805)&gt;0,VLOOKUP(A805,Body!$A$4:$F$259,5,0),"")</f>
        <v/>
      </c>
      <c r="H805" s="69" t="str">
        <f>IF(N(A805)&gt;0,VLOOKUP(A805,Body!$A$4:$F$259,6,0),"")</f>
        <v/>
      </c>
      <c r="I805" s="69" t="str">
        <f>IF(N(A805)&gt;0,VLOOKUP(A805,Body!$A$4:$F$259,2,0),"")</f>
        <v/>
      </c>
    </row>
    <row r="806" spans="1:9" ht="12" customHeight="1">
      <c r="A806" s="17"/>
      <c r="B806" s="17">
        <f>Start.listina!O595</f>
        <v>0</v>
      </c>
      <c r="C806" s="17">
        <f>Start.listina!P595</f>
        <v>0</v>
      </c>
      <c r="D806" s="17">
        <f>Start.listina!Q595</f>
        <v>0</v>
      </c>
      <c r="E806" s="17">
        <f>Start.listina!R595</f>
        <v>0</v>
      </c>
      <c r="F806" s="17"/>
      <c r="G806" s="142"/>
      <c r="H806" s="69"/>
      <c r="I806" s="69"/>
    </row>
    <row r="807" spans="1:9" ht="12" customHeight="1">
      <c r="A807" s="17"/>
      <c r="B807" s="17">
        <f>Start.listina!U595</f>
        <v>0</v>
      </c>
      <c r="C807" s="17">
        <f>Start.listina!V595</f>
        <v>0</v>
      </c>
      <c r="D807" s="17">
        <f>Start.listina!W595</f>
        <v>0</v>
      </c>
      <c r="E807" s="17">
        <f>Start.listina!X595</f>
        <v>0</v>
      </c>
      <c r="F807" s="17"/>
      <c r="G807" s="142"/>
      <c r="H807" s="69"/>
      <c r="I807" s="69"/>
    </row>
    <row r="808" spans="1:9" ht="12" customHeight="1">
      <c r="A808" s="17"/>
      <c r="B808" s="17">
        <f>Start.listina!AA595</f>
        <v>0</v>
      </c>
      <c r="C808" s="17">
        <f>Start.listina!AB595</f>
        <v>0</v>
      </c>
      <c r="D808" s="17">
        <f>Start.listina!AC595</f>
        <v>0</v>
      </c>
      <c r="E808" s="17">
        <f>Start.listina!AD595</f>
        <v>0</v>
      </c>
      <c r="F808" s="17"/>
      <c r="G808" s="142"/>
      <c r="H808" s="69"/>
      <c r="I808" s="69"/>
    </row>
    <row r="809" spans="1:9" ht="12" customHeight="1">
      <c r="A809" s="17">
        <f>Start.listina!AH596</f>
        <v>0</v>
      </c>
      <c r="B809" s="17">
        <f>Start.listina!I596</f>
        <v>0</v>
      </c>
      <c r="C809" s="141">
        <f>Start.listina!J596</f>
        <v>0</v>
      </c>
      <c r="D809" s="17">
        <f>Start.listina!K596</f>
        <v>0</v>
      </c>
      <c r="E809" s="17">
        <f>Start.listina!L596</f>
        <v>0</v>
      </c>
      <c r="F809" s="17"/>
      <c r="G809" s="142" t="str">
        <f>IF(N(A809)&gt;0,VLOOKUP(A809,Body!$A$4:$F$259,5,0),"")</f>
        <v/>
      </c>
      <c r="H809" s="69" t="str">
        <f>IF(N(A809)&gt;0,VLOOKUP(A809,Body!$A$4:$F$259,6,0),"")</f>
        <v/>
      </c>
      <c r="I809" s="69" t="str">
        <f>IF(N(A809)&gt;0,VLOOKUP(A809,Body!$A$4:$F$259,2,0),"")</f>
        <v/>
      </c>
    </row>
    <row r="810" spans="1:9" ht="12" customHeight="1">
      <c r="A810" s="17"/>
      <c r="B810" s="17">
        <f>Start.listina!O596</f>
        <v>0</v>
      </c>
      <c r="C810" s="17">
        <f>Start.listina!P596</f>
        <v>0</v>
      </c>
      <c r="D810" s="17">
        <f>Start.listina!Q596</f>
        <v>0</v>
      </c>
      <c r="E810" s="17">
        <f>Start.listina!R596</f>
        <v>0</v>
      </c>
      <c r="F810" s="17"/>
      <c r="G810" s="142"/>
      <c r="H810" s="69"/>
      <c r="I810" s="69"/>
    </row>
    <row r="811" spans="1:9" ht="12" customHeight="1">
      <c r="A811" s="17"/>
      <c r="B811" s="17">
        <f>Start.listina!U596</f>
        <v>0</v>
      </c>
      <c r="C811" s="17">
        <f>Start.listina!V596</f>
        <v>0</v>
      </c>
      <c r="D811" s="17">
        <f>Start.listina!W596</f>
        <v>0</v>
      </c>
      <c r="E811" s="17">
        <f>Start.listina!X596</f>
        <v>0</v>
      </c>
      <c r="F811" s="17"/>
      <c r="G811" s="142"/>
      <c r="H811" s="69"/>
      <c r="I811" s="69"/>
    </row>
    <row r="812" spans="1:9" ht="12" customHeight="1">
      <c r="A812" s="17"/>
      <c r="B812" s="17">
        <f>Start.listina!AA596</f>
        <v>0</v>
      </c>
      <c r="C812" s="17">
        <f>Start.listina!AB596</f>
        <v>0</v>
      </c>
      <c r="D812" s="17">
        <f>Start.listina!AC596</f>
        <v>0</v>
      </c>
      <c r="E812" s="17">
        <f>Start.listina!AD596</f>
        <v>0</v>
      </c>
      <c r="F812" s="17"/>
      <c r="G812" s="142"/>
      <c r="H812" s="69"/>
      <c r="I812" s="69"/>
    </row>
    <row r="813" spans="1:9" ht="12" customHeight="1">
      <c r="A813" s="17">
        <f>Start.listina!AH597</f>
        <v>0</v>
      </c>
      <c r="B813" s="17">
        <f>Start.listina!I597</f>
        <v>0</v>
      </c>
      <c r="C813" s="141">
        <f>Start.listina!J597</f>
        <v>0</v>
      </c>
      <c r="D813" s="17">
        <f>Start.listina!K597</f>
        <v>0</v>
      </c>
      <c r="E813" s="17">
        <f>Start.listina!L597</f>
        <v>0</v>
      </c>
      <c r="F813" s="17"/>
      <c r="G813" s="142" t="str">
        <f>IF(N(A813)&gt;0,VLOOKUP(A813,Body!$A$4:$F$259,5,0),"")</f>
        <v/>
      </c>
      <c r="H813" s="69" t="str">
        <f>IF(N(A813)&gt;0,VLOOKUP(A813,Body!$A$4:$F$259,6,0),"")</f>
        <v/>
      </c>
      <c r="I813" s="69" t="str">
        <f>IF(N(A813)&gt;0,VLOOKUP(A813,Body!$A$4:$F$259,2,0),"")</f>
        <v/>
      </c>
    </row>
    <row r="814" spans="1:9" ht="12" customHeight="1">
      <c r="A814" s="17"/>
      <c r="B814" s="17">
        <f>Start.listina!O597</f>
        <v>0</v>
      </c>
      <c r="C814" s="17">
        <f>Start.listina!P597</f>
        <v>0</v>
      </c>
      <c r="D814" s="17">
        <f>Start.listina!Q597</f>
        <v>0</v>
      </c>
      <c r="E814" s="17">
        <f>Start.listina!R597</f>
        <v>0</v>
      </c>
      <c r="F814" s="17"/>
      <c r="G814" s="142"/>
      <c r="H814" s="69"/>
      <c r="I814" s="69"/>
    </row>
    <row r="815" spans="1:9" ht="12" customHeight="1">
      <c r="A815" s="17"/>
      <c r="B815" s="17">
        <f>Start.listina!U597</f>
        <v>0</v>
      </c>
      <c r="C815" s="17">
        <f>Start.listina!V597</f>
        <v>0</v>
      </c>
      <c r="D815" s="17">
        <f>Start.listina!W597</f>
        <v>0</v>
      </c>
      <c r="E815" s="17">
        <f>Start.listina!X597</f>
        <v>0</v>
      </c>
      <c r="F815" s="17"/>
      <c r="G815" s="142"/>
      <c r="H815" s="69"/>
      <c r="I815" s="69"/>
    </row>
    <row r="816" spans="1:9" ht="12" customHeight="1">
      <c r="A816" s="17"/>
      <c r="B816" s="17">
        <f>Start.listina!AA597</f>
        <v>0</v>
      </c>
      <c r="C816" s="17">
        <f>Start.listina!AB597</f>
        <v>0</v>
      </c>
      <c r="D816" s="17">
        <f>Start.listina!AC597</f>
        <v>0</v>
      </c>
      <c r="E816" s="17">
        <f>Start.listina!AD597</f>
        <v>0</v>
      </c>
      <c r="F816" s="17"/>
      <c r="G816" s="142"/>
      <c r="H816" s="69"/>
      <c r="I816" s="69"/>
    </row>
    <row r="817" spans="1:9" ht="12" customHeight="1">
      <c r="A817" s="17">
        <f>Start.listina!AH598</f>
        <v>0</v>
      </c>
      <c r="B817" s="17">
        <f>Start.listina!I598</f>
        <v>0</v>
      </c>
      <c r="C817" s="141">
        <f>Start.listina!J598</f>
        <v>0</v>
      </c>
      <c r="D817" s="17">
        <f>Start.listina!K598</f>
        <v>0</v>
      </c>
      <c r="E817" s="17">
        <f>Start.listina!L598</f>
        <v>0</v>
      </c>
      <c r="F817" s="17"/>
      <c r="G817" s="142" t="str">
        <f>IF(N(A817)&gt;0,VLOOKUP(A817,Body!$A$4:$F$259,5,0),"")</f>
        <v/>
      </c>
      <c r="H817" s="69" t="str">
        <f>IF(N(A817)&gt;0,VLOOKUP(A817,Body!$A$4:$F$259,6,0),"")</f>
        <v/>
      </c>
      <c r="I817" s="69" t="str">
        <f>IF(N(A817)&gt;0,VLOOKUP(A817,Body!$A$4:$F$259,2,0),"")</f>
        <v/>
      </c>
    </row>
    <row r="818" spans="1:9" ht="12" customHeight="1">
      <c r="A818" s="17"/>
      <c r="B818" s="17">
        <f>Start.listina!O598</f>
        <v>0</v>
      </c>
      <c r="C818" s="17">
        <f>Start.listina!P598</f>
        <v>0</v>
      </c>
      <c r="D818" s="17">
        <f>Start.listina!Q598</f>
        <v>0</v>
      </c>
      <c r="E818" s="17">
        <f>Start.listina!R598</f>
        <v>0</v>
      </c>
      <c r="F818" s="17"/>
      <c r="G818" s="142"/>
      <c r="H818" s="69"/>
      <c r="I818" s="69"/>
    </row>
    <row r="819" spans="1:9" ht="12" customHeight="1">
      <c r="A819" s="17"/>
      <c r="B819" s="17">
        <f>Start.listina!U598</f>
        <v>0</v>
      </c>
      <c r="C819" s="17">
        <f>Start.listina!V598</f>
        <v>0</v>
      </c>
      <c r="D819" s="17">
        <f>Start.listina!W598</f>
        <v>0</v>
      </c>
      <c r="E819" s="17">
        <f>Start.listina!X598</f>
        <v>0</v>
      </c>
      <c r="F819" s="17"/>
      <c r="G819" s="142"/>
      <c r="H819" s="69"/>
      <c r="I819" s="69"/>
    </row>
    <row r="820" spans="1:9" ht="12" customHeight="1">
      <c r="A820" s="17"/>
      <c r="B820" s="17">
        <f>Start.listina!AA598</f>
        <v>0</v>
      </c>
      <c r="C820" s="17">
        <f>Start.listina!AB598</f>
        <v>0</v>
      </c>
      <c r="D820" s="17">
        <f>Start.listina!AC598</f>
        <v>0</v>
      </c>
      <c r="E820" s="17">
        <f>Start.listina!AD598</f>
        <v>0</v>
      </c>
      <c r="F820" s="17"/>
      <c r="G820" s="142"/>
      <c r="H820" s="69"/>
      <c r="I820" s="69"/>
    </row>
    <row r="821" spans="1:9" ht="12" customHeight="1">
      <c r="A821" s="17">
        <f>Start.listina!AH599</f>
        <v>0</v>
      </c>
      <c r="B821" s="17">
        <f>Start.listina!I599</f>
        <v>0</v>
      </c>
      <c r="C821" s="141">
        <f>Start.listina!J599</f>
        <v>0</v>
      </c>
      <c r="D821" s="17">
        <f>Start.listina!K599</f>
        <v>0</v>
      </c>
      <c r="E821" s="17">
        <f>Start.listina!L599</f>
        <v>0</v>
      </c>
      <c r="F821" s="17"/>
      <c r="G821" s="142" t="str">
        <f>IF(N(A821)&gt;0,VLOOKUP(A821,Body!$A$4:$F$259,5,0),"")</f>
        <v/>
      </c>
      <c r="H821" s="69" t="str">
        <f>IF(N(A821)&gt;0,VLOOKUP(A821,Body!$A$4:$F$259,6,0),"")</f>
        <v/>
      </c>
      <c r="I821" s="69" t="str">
        <f>IF(N(A821)&gt;0,VLOOKUP(A821,Body!$A$4:$F$259,2,0),"")</f>
        <v/>
      </c>
    </row>
    <row r="822" spans="1:9" ht="12" customHeight="1">
      <c r="A822" s="17"/>
      <c r="B822" s="17">
        <f>Start.listina!O599</f>
        <v>0</v>
      </c>
      <c r="C822" s="17">
        <f>Start.listina!P599</f>
        <v>0</v>
      </c>
      <c r="D822" s="17">
        <f>Start.listina!Q599</f>
        <v>0</v>
      </c>
      <c r="E822" s="17">
        <f>Start.listina!R599</f>
        <v>0</v>
      </c>
      <c r="F822" s="17"/>
      <c r="G822" s="142"/>
      <c r="H822" s="69"/>
      <c r="I822" s="69"/>
    </row>
    <row r="823" spans="1:9" ht="12" customHeight="1">
      <c r="A823" s="17"/>
      <c r="B823" s="17">
        <f>Start.listina!U599</f>
        <v>0</v>
      </c>
      <c r="C823" s="17">
        <f>Start.listina!V599</f>
        <v>0</v>
      </c>
      <c r="D823" s="17">
        <f>Start.listina!W599</f>
        <v>0</v>
      </c>
      <c r="E823" s="17">
        <f>Start.listina!X599</f>
        <v>0</v>
      </c>
      <c r="F823" s="17"/>
      <c r="G823" s="142"/>
      <c r="H823" s="69"/>
      <c r="I823" s="69"/>
    </row>
    <row r="824" spans="1:9" ht="12" customHeight="1">
      <c r="A824" s="17"/>
      <c r="B824" s="17">
        <f>Start.listina!AA599</f>
        <v>0</v>
      </c>
      <c r="C824" s="17">
        <f>Start.listina!AB599</f>
        <v>0</v>
      </c>
      <c r="D824" s="17">
        <f>Start.listina!AC599</f>
        <v>0</v>
      </c>
      <c r="E824" s="17">
        <f>Start.listina!AD599</f>
        <v>0</v>
      </c>
      <c r="F824" s="17"/>
      <c r="G824" s="142"/>
      <c r="H824" s="69"/>
      <c r="I824" s="69"/>
    </row>
    <row r="825" spans="1:9" ht="12" customHeight="1">
      <c r="A825" s="17">
        <f>Start.listina!AH600</f>
        <v>0</v>
      </c>
      <c r="B825" s="17">
        <f>Start.listina!I600</f>
        <v>0</v>
      </c>
      <c r="C825" s="141">
        <f>Start.listina!J600</f>
        <v>0</v>
      </c>
      <c r="D825" s="17">
        <f>Start.listina!K600</f>
        <v>0</v>
      </c>
      <c r="E825" s="17">
        <f>Start.listina!L600</f>
        <v>0</v>
      </c>
      <c r="F825" s="17"/>
      <c r="G825" s="142" t="str">
        <f>IF(N(A825)&gt;0,VLOOKUP(A825,Body!$A$4:$F$259,5,0),"")</f>
        <v/>
      </c>
      <c r="H825" s="69" t="str">
        <f>IF(N(A825)&gt;0,VLOOKUP(A825,Body!$A$4:$F$259,6,0),"")</f>
        <v/>
      </c>
      <c r="I825" s="69" t="str">
        <f>IF(N(A825)&gt;0,VLOOKUP(A825,Body!$A$4:$F$259,2,0),"")</f>
        <v/>
      </c>
    </row>
    <row r="826" spans="1:9" ht="12" customHeight="1">
      <c r="A826" s="17"/>
      <c r="B826" s="17">
        <f>Start.listina!O600</f>
        <v>0</v>
      </c>
      <c r="C826" s="17">
        <f>Start.listina!P600</f>
        <v>0</v>
      </c>
      <c r="D826" s="17">
        <f>Start.listina!Q600</f>
        <v>0</v>
      </c>
      <c r="E826" s="17">
        <f>Start.listina!R600</f>
        <v>0</v>
      </c>
      <c r="F826" s="17"/>
      <c r="G826" s="142"/>
      <c r="H826" s="69"/>
      <c r="I826" s="69"/>
    </row>
    <row r="827" spans="1:9" ht="12" customHeight="1">
      <c r="A827" s="17"/>
      <c r="B827" s="17">
        <f>Start.listina!U600</f>
        <v>0</v>
      </c>
      <c r="C827" s="17">
        <f>Start.listina!V600</f>
        <v>0</v>
      </c>
      <c r="D827" s="17">
        <f>Start.listina!W600</f>
        <v>0</v>
      </c>
      <c r="E827" s="17">
        <f>Start.listina!X600</f>
        <v>0</v>
      </c>
      <c r="F827" s="17"/>
      <c r="G827" s="142"/>
      <c r="H827" s="69"/>
      <c r="I827" s="69"/>
    </row>
    <row r="828" spans="1:9" ht="12" customHeight="1">
      <c r="A828" s="17"/>
      <c r="B828" s="17">
        <f>Start.listina!AA600</f>
        <v>0</v>
      </c>
      <c r="C828" s="17">
        <f>Start.listina!AB600</f>
        <v>0</v>
      </c>
      <c r="D828" s="17">
        <f>Start.listina!AC600</f>
        <v>0</v>
      </c>
      <c r="E828" s="17">
        <f>Start.listina!AD600</f>
        <v>0</v>
      </c>
      <c r="F828" s="17"/>
      <c r="G828" s="142"/>
      <c r="H828" s="69"/>
      <c r="I828" s="69"/>
    </row>
    <row r="829" spans="1:9" ht="12" customHeight="1">
      <c r="A829" s="17">
        <f>Start.listina!AH601</f>
        <v>0</v>
      </c>
      <c r="B829" s="17">
        <f>Start.listina!I601</f>
        <v>0</v>
      </c>
      <c r="C829" s="141">
        <f>Start.listina!J601</f>
        <v>0</v>
      </c>
      <c r="D829" s="17">
        <f>Start.listina!K601</f>
        <v>0</v>
      </c>
      <c r="E829" s="17">
        <f>Start.listina!L601</f>
        <v>0</v>
      </c>
      <c r="F829" s="17"/>
      <c r="G829" s="142" t="str">
        <f>IF(N(A829)&gt;0,VLOOKUP(A829,Body!$A$4:$F$259,5,0),"")</f>
        <v/>
      </c>
      <c r="H829" s="69" t="str">
        <f>IF(N(A829)&gt;0,VLOOKUP(A829,Body!$A$4:$F$259,6,0),"")</f>
        <v/>
      </c>
      <c r="I829" s="69" t="str">
        <f>IF(N(A829)&gt;0,VLOOKUP(A829,Body!$A$4:$F$259,2,0),"")</f>
        <v/>
      </c>
    </row>
    <row r="830" spans="1:9" ht="12" customHeight="1">
      <c r="A830" s="17"/>
      <c r="B830" s="17">
        <f>Start.listina!O601</f>
        <v>0</v>
      </c>
      <c r="C830" s="17">
        <f>Start.listina!P601</f>
        <v>0</v>
      </c>
      <c r="D830" s="17">
        <f>Start.listina!Q601</f>
        <v>0</v>
      </c>
      <c r="E830" s="17">
        <f>Start.listina!R601</f>
        <v>0</v>
      </c>
      <c r="F830" s="17"/>
      <c r="G830" s="142"/>
      <c r="H830" s="69"/>
      <c r="I830" s="69"/>
    </row>
    <row r="831" spans="1:9" ht="12" customHeight="1">
      <c r="A831" s="17"/>
      <c r="B831" s="17">
        <f>Start.listina!U601</f>
        <v>0</v>
      </c>
      <c r="C831" s="17">
        <f>Start.listina!V601</f>
        <v>0</v>
      </c>
      <c r="D831" s="17">
        <f>Start.listina!W601</f>
        <v>0</v>
      </c>
      <c r="E831" s="17">
        <f>Start.listina!X601</f>
        <v>0</v>
      </c>
      <c r="F831" s="17"/>
      <c r="G831" s="142"/>
      <c r="H831" s="69"/>
      <c r="I831" s="69"/>
    </row>
    <row r="832" spans="1:9" ht="12" customHeight="1">
      <c r="A832" s="17"/>
      <c r="B832" s="17">
        <f>Start.listina!AA601</f>
        <v>0</v>
      </c>
      <c r="C832" s="17">
        <f>Start.listina!AB601</f>
        <v>0</v>
      </c>
      <c r="D832" s="17">
        <f>Start.listina!AC601</f>
        <v>0</v>
      </c>
      <c r="E832" s="17">
        <f>Start.listina!AD601</f>
        <v>0</v>
      </c>
      <c r="F832" s="17"/>
      <c r="G832" s="142"/>
      <c r="H832" s="69"/>
      <c r="I832" s="69"/>
    </row>
    <row r="833" spans="1:9" ht="12" customHeight="1">
      <c r="A833" s="17">
        <f>Start.listina!AH602</f>
        <v>0</v>
      </c>
      <c r="B833" s="17">
        <f>Start.listina!I602</f>
        <v>0</v>
      </c>
      <c r="C833" s="141">
        <f>Start.listina!J602</f>
        <v>0</v>
      </c>
      <c r="D833" s="17">
        <f>Start.listina!K602</f>
        <v>0</v>
      </c>
      <c r="E833" s="17">
        <f>Start.listina!L602</f>
        <v>0</v>
      </c>
      <c r="F833" s="17"/>
      <c r="G833" s="142" t="str">
        <f>IF(N(A833)&gt;0,VLOOKUP(A833,Body!$A$4:$F$259,5,0),"")</f>
        <v/>
      </c>
      <c r="H833" s="69" t="str">
        <f>IF(N(A833)&gt;0,VLOOKUP(A833,Body!$A$4:$F$259,6,0),"")</f>
        <v/>
      </c>
      <c r="I833" s="69" t="str">
        <f>IF(N(A833)&gt;0,VLOOKUP(A833,Body!$A$4:$F$259,2,0),"")</f>
        <v/>
      </c>
    </row>
    <row r="834" spans="1:9" ht="12" customHeight="1">
      <c r="A834" s="17"/>
      <c r="B834" s="17">
        <f>Start.listina!O602</f>
        <v>0</v>
      </c>
      <c r="C834" s="17">
        <f>Start.listina!P602</f>
        <v>0</v>
      </c>
      <c r="D834" s="17">
        <f>Start.listina!Q602</f>
        <v>0</v>
      </c>
      <c r="E834" s="17">
        <f>Start.listina!R602</f>
        <v>0</v>
      </c>
      <c r="F834" s="17"/>
      <c r="G834" s="142"/>
      <c r="H834" s="69"/>
      <c r="I834" s="69"/>
    </row>
    <row r="835" spans="1:9" ht="12" customHeight="1">
      <c r="A835" s="17"/>
      <c r="B835" s="17">
        <f>Start.listina!U602</f>
        <v>0</v>
      </c>
      <c r="C835" s="17">
        <f>Start.listina!V602</f>
        <v>0</v>
      </c>
      <c r="D835" s="17">
        <f>Start.listina!W602</f>
        <v>0</v>
      </c>
      <c r="E835" s="17">
        <f>Start.listina!X602</f>
        <v>0</v>
      </c>
      <c r="F835" s="17"/>
      <c r="G835" s="142"/>
      <c r="H835" s="69"/>
      <c r="I835" s="69"/>
    </row>
    <row r="836" spans="1:9" ht="12" customHeight="1">
      <c r="A836" s="17"/>
      <c r="B836" s="17">
        <f>Start.listina!AA602</f>
        <v>0</v>
      </c>
      <c r="C836" s="17">
        <f>Start.listina!AB602</f>
        <v>0</v>
      </c>
      <c r="D836" s="17">
        <f>Start.listina!AC602</f>
        <v>0</v>
      </c>
      <c r="E836" s="17">
        <f>Start.listina!AD602</f>
        <v>0</v>
      </c>
      <c r="F836" s="17"/>
      <c r="G836" s="142"/>
      <c r="H836" s="69"/>
      <c r="I836" s="69"/>
    </row>
    <row r="837" spans="1:9" ht="12" customHeight="1">
      <c r="A837" s="17">
        <f>Start.listina!AH603</f>
        <v>0</v>
      </c>
      <c r="B837" s="17">
        <f>Start.listina!I603</f>
        <v>0</v>
      </c>
      <c r="C837" s="141">
        <f>Start.listina!J603</f>
        <v>0</v>
      </c>
      <c r="D837" s="17">
        <f>Start.listina!K603</f>
        <v>0</v>
      </c>
      <c r="E837" s="17">
        <f>Start.listina!L603</f>
        <v>0</v>
      </c>
      <c r="F837" s="17"/>
      <c r="G837" s="142" t="str">
        <f>IF(N(A837)&gt;0,VLOOKUP(A837,Body!$A$4:$F$259,5,0),"")</f>
        <v/>
      </c>
      <c r="H837" s="69" t="str">
        <f>IF(N(A837)&gt;0,VLOOKUP(A837,Body!$A$4:$F$259,6,0),"")</f>
        <v/>
      </c>
      <c r="I837" s="69" t="str">
        <f>IF(N(A837)&gt;0,VLOOKUP(A837,Body!$A$4:$F$259,2,0),"")</f>
        <v/>
      </c>
    </row>
    <row r="838" spans="1:9" ht="12" customHeight="1">
      <c r="A838" s="17"/>
      <c r="B838" s="17">
        <f>Start.listina!O603</f>
        <v>0</v>
      </c>
      <c r="C838" s="17">
        <f>Start.listina!P603</f>
        <v>0</v>
      </c>
      <c r="D838" s="17">
        <f>Start.listina!Q603</f>
        <v>0</v>
      </c>
      <c r="E838" s="17">
        <f>Start.listina!R603</f>
        <v>0</v>
      </c>
      <c r="F838" s="17"/>
      <c r="G838" s="142"/>
      <c r="H838" s="69"/>
      <c r="I838" s="69"/>
    </row>
    <row r="839" spans="1:9" ht="12" customHeight="1">
      <c r="A839" s="17"/>
      <c r="B839" s="17">
        <f>Start.listina!U603</f>
        <v>0</v>
      </c>
      <c r="C839" s="17">
        <f>Start.listina!V603</f>
        <v>0</v>
      </c>
      <c r="D839" s="17">
        <f>Start.listina!W603</f>
        <v>0</v>
      </c>
      <c r="E839" s="17">
        <f>Start.listina!X603</f>
        <v>0</v>
      </c>
      <c r="F839" s="17"/>
      <c r="G839" s="142"/>
      <c r="H839" s="69"/>
      <c r="I839" s="69"/>
    </row>
    <row r="840" spans="1:9" ht="12" customHeight="1">
      <c r="A840" s="17"/>
      <c r="B840" s="17">
        <f>Start.listina!AA603</f>
        <v>0</v>
      </c>
      <c r="C840" s="17">
        <f>Start.listina!AB603</f>
        <v>0</v>
      </c>
      <c r="D840" s="17">
        <f>Start.listina!AC603</f>
        <v>0</v>
      </c>
      <c r="E840" s="17">
        <f>Start.listina!AD603</f>
        <v>0</v>
      </c>
      <c r="F840" s="17"/>
      <c r="G840" s="142"/>
      <c r="H840" s="69"/>
      <c r="I840" s="69"/>
    </row>
    <row r="841" spans="1:9" ht="12" customHeight="1">
      <c r="A841" s="17">
        <f>Start.listina!AH604</f>
        <v>0</v>
      </c>
      <c r="B841" s="17">
        <f>Start.listina!I604</f>
        <v>0</v>
      </c>
      <c r="C841" s="141">
        <f>Start.listina!J604</f>
        <v>0</v>
      </c>
      <c r="D841" s="17">
        <f>Start.listina!K604</f>
        <v>0</v>
      </c>
      <c r="E841" s="17">
        <f>Start.listina!L604</f>
        <v>0</v>
      </c>
      <c r="F841" s="17"/>
      <c r="G841" s="142" t="str">
        <f>IF(N(A841)&gt;0,VLOOKUP(A841,Body!$A$4:$F$259,5,0),"")</f>
        <v/>
      </c>
      <c r="H841" s="69" t="str">
        <f>IF(N(A841)&gt;0,VLOOKUP(A841,Body!$A$4:$F$259,6,0),"")</f>
        <v/>
      </c>
      <c r="I841" s="69" t="str">
        <f>IF(N(A841)&gt;0,VLOOKUP(A841,Body!$A$4:$F$259,2,0),"")</f>
        <v/>
      </c>
    </row>
    <row r="842" spans="1:9" ht="12" customHeight="1">
      <c r="A842" s="17"/>
      <c r="B842" s="17">
        <f>Start.listina!O604</f>
        <v>0</v>
      </c>
      <c r="C842" s="17">
        <f>Start.listina!P604</f>
        <v>0</v>
      </c>
      <c r="D842" s="17">
        <f>Start.listina!Q604</f>
        <v>0</v>
      </c>
      <c r="E842" s="17">
        <f>Start.listina!R604</f>
        <v>0</v>
      </c>
      <c r="F842" s="17"/>
      <c r="G842" s="142"/>
      <c r="H842" s="69"/>
      <c r="I842" s="69"/>
    </row>
    <row r="843" spans="1:9" ht="12" customHeight="1">
      <c r="A843" s="17"/>
      <c r="B843" s="17">
        <f>Start.listina!U604</f>
        <v>0</v>
      </c>
      <c r="C843" s="17">
        <f>Start.listina!V604</f>
        <v>0</v>
      </c>
      <c r="D843" s="17">
        <f>Start.listina!W604</f>
        <v>0</v>
      </c>
      <c r="E843" s="17">
        <f>Start.listina!X604</f>
        <v>0</v>
      </c>
      <c r="F843" s="17"/>
      <c r="G843" s="142"/>
      <c r="H843" s="69"/>
      <c r="I843" s="69"/>
    </row>
    <row r="844" spans="1:9" ht="12" customHeight="1">
      <c r="A844" s="17"/>
      <c r="B844" s="17">
        <f>Start.listina!AA604</f>
        <v>0</v>
      </c>
      <c r="C844" s="17">
        <f>Start.listina!AB604</f>
        <v>0</v>
      </c>
      <c r="D844" s="17">
        <f>Start.listina!AC604</f>
        <v>0</v>
      </c>
      <c r="E844" s="17">
        <f>Start.listina!AD604</f>
        <v>0</v>
      </c>
      <c r="F844" s="17"/>
      <c r="G844" s="142"/>
      <c r="H844" s="69"/>
      <c r="I844" s="69"/>
    </row>
    <row r="845" spans="1:9" ht="12" customHeight="1">
      <c r="A845" s="17">
        <f>Start.listina!AH605</f>
        <v>0</v>
      </c>
      <c r="B845" s="17">
        <f>Start.listina!I605</f>
        <v>0</v>
      </c>
      <c r="C845" s="141">
        <f>Start.listina!J605</f>
        <v>0</v>
      </c>
      <c r="D845" s="17">
        <f>Start.listina!K605</f>
        <v>0</v>
      </c>
      <c r="E845" s="17">
        <f>Start.listina!L605</f>
        <v>0</v>
      </c>
      <c r="F845" s="17"/>
      <c r="G845" s="142" t="str">
        <f>IF(N(A845)&gt;0,VLOOKUP(A845,Body!$A$4:$F$259,5,0),"")</f>
        <v/>
      </c>
      <c r="H845" s="69" t="str">
        <f>IF(N(A845)&gt;0,VLOOKUP(A845,Body!$A$4:$F$259,6,0),"")</f>
        <v/>
      </c>
      <c r="I845" s="69" t="str">
        <f>IF(N(A845)&gt;0,VLOOKUP(A845,Body!$A$4:$F$259,2,0),"")</f>
        <v/>
      </c>
    </row>
    <row r="846" spans="1:9" ht="12" customHeight="1">
      <c r="A846" s="17"/>
      <c r="B846" s="17">
        <f>Start.listina!O605</f>
        <v>0</v>
      </c>
      <c r="C846" s="17">
        <f>Start.listina!P605</f>
        <v>0</v>
      </c>
      <c r="D846" s="17">
        <f>Start.listina!Q605</f>
        <v>0</v>
      </c>
      <c r="E846" s="17">
        <f>Start.listina!R605</f>
        <v>0</v>
      </c>
      <c r="F846" s="17"/>
      <c r="G846" s="142"/>
      <c r="H846" s="69"/>
      <c r="I846" s="69"/>
    </row>
    <row r="847" spans="1:9" ht="12" customHeight="1">
      <c r="A847" s="17"/>
      <c r="B847" s="17">
        <f>Start.listina!U605</f>
        <v>0</v>
      </c>
      <c r="C847" s="17">
        <f>Start.listina!V605</f>
        <v>0</v>
      </c>
      <c r="D847" s="17">
        <f>Start.listina!W605</f>
        <v>0</v>
      </c>
      <c r="E847" s="17">
        <f>Start.listina!X605</f>
        <v>0</v>
      </c>
      <c r="F847" s="17"/>
      <c r="G847" s="142"/>
      <c r="H847" s="69"/>
      <c r="I847" s="69"/>
    </row>
    <row r="848" spans="1:9" ht="12" customHeight="1">
      <c r="A848" s="17"/>
      <c r="B848" s="17">
        <f>Start.listina!AA605</f>
        <v>0</v>
      </c>
      <c r="C848" s="17">
        <f>Start.listina!AB605</f>
        <v>0</v>
      </c>
      <c r="D848" s="17">
        <f>Start.listina!AC605</f>
        <v>0</v>
      </c>
      <c r="E848" s="17">
        <f>Start.listina!AD605</f>
        <v>0</v>
      </c>
      <c r="F848" s="17"/>
      <c r="G848" s="142"/>
      <c r="H848" s="69"/>
      <c r="I848" s="69"/>
    </row>
    <row r="849" spans="1:9" ht="12" customHeight="1">
      <c r="A849" s="17">
        <f>Start.listina!AH606</f>
        <v>0</v>
      </c>
      <c r="B849" s="17">
        <f>Start.listina!I606</f>
        <v>0</v>
      </c>
      <c r="C849" s="141">
        <f>Start.listina!J606</f>
        <v>0</v>
      </c>
      <c r="D849" s="17">
        <f>Start.listina!K606</f>
        <v>0</v>
      </c>
      <c r="E849" s="17">
        <f>Start.listina!L606</f>
        <v>0</v>
      </c>
      <c r="F849" s="17"/>
      <c r="G849" s="142" t="str">
        <f>IF(N(A849)&gt;0,VLOOKUP(A849,Body!$A$4:$F$259,5,0),"")</f>
        <v/>
      </c>
      <c r="H849" s="69" t="str">
        <f>IF(N(A849)&gt;0,VLOOKUP(A849,Body!$A$4:$F$259,6,0),"")</f>
        <v/>
      </c>
      <c r="I849" s="69" t="str">
        <f>IF(N(A849)&gt;0,VLOOKUP(A849,Body!$A$4:$F$259,2,0),"")</f>
        <v/>
      </c>
    </row>
    <row r="850" spans="1:9" ht="12" customHeight="1">
      <c r="A850" s="17"/>
      <c r="B850" s="17">
        <f>Start.listina!O606</f>
        <v>0</v>
      </c>
      <c r="C850" s="17">
        <f>Start.listina!P606</f>
        <v>0</v>
      </c>
      <c r="D850" s="17">
        <f>Start.listina!Q606</f>
        <v>0</v>
      </c>
      <c r="E850" s="17">
        <f>Start.listina!R606</f>
        <v>0</v>
      </c>
      <c r="F850" s="17"/>
      <c r="G850" s="142"/>
      <c r="H850" s="69"/>
      <c r="I850" s="69"/>
    </row>
    <row r="851" spans="1:9" ht="12" customHeight="1">
      <c r="A851" s="17"/>
      <c r="B851" s="17">
        <f>Start.listina!U606</f>
        <v>0</v>
      </c>
      <c r="C851" s="17">
        <f>Start.listina!V606</f>
        <v>0</v>
      </c>
      <c r="D851" s="17">
        <f>Start.listina!W606</f>
        <v>0</v>
      </c>
      <c r="E851" s="17">
        <f>Start.listina!X606</f>
        <v>0</v>
      </c>
      <c r="F851" s="17"/>
      <c r="G851" s="142"/>
      <c r="H851" s="69"/>
      <c r="I851" s="69"/>
    </row>
    <row r="852" spans="1:9" ht="12" customHeight="1">
      <c r="A852" s="17"/>
      <c r="B852" s="17">
        <f>Start.listina!AA606</f>
        <v>0</v>
      </c>
      <c r="C852" s="17">
        <f>Start.listina!AB606</f>
        <v>0</v>
      </c>
      <c r="D852" s="17">
        <f>Start.listina!AC606</f>
        <v>0</v>
      </c>
      <c r="E852" s="17">
        <f>Start.listina!AD606</f>
        <v>0</v>
      </c>
      <c r="F852" s="17"/>
      <c r="G852" s="142"/>
      <c r="H852" s="69"/>
      <c r="I852" s="69"/>
    </row>
    <row r="853" spans="1:9" ht="12" customHeight="1">
      <c r="A853" s="17">
        <f>Start.listina!AH607</f>
        <v>0</v>
      </c>
      <c r="B853" s="17">
        <f>Start.listina!I607</f>
        <v>0</v>
      </c>
      <c r="C853" s="141">
        <f>Start.listina!J607</f>
        <v>0</v>
      </c>
      <c r="D853" s="17">
        <f>Start.listina!K607</f>
        <v>0</v>
      </c>
      <c r="E853" s="17">
        <f>Start.listina!L607</f>
        <v>0</v>
      </c>
      <c r="F853" s="17"/>
      <c r="G853" s="142" t="str">
        <f>IF(N(A853)&gt;0,VLOOKUP(A853,Body!$A$4:$F$259,5,0),"")</f>
        <v/>
      </c>
      <c r="H853" s="69" t="str">
        <f>IF(N(A853)&gt;0,VLOOKUP(A853,Body!$A$4:$F$259,6,0),"")</f>
        <v/>
      </c>
      <c r="I853" s="69" t="str">
        <f>IF(N(A853)&gt;0,VLOOKUP(A853,Body!$A$4:$F$259,2,0),"")</f>
        <v/>
      </c>
    </row>
    <row r="854" spans="1:9" ht="12" customHeight="1">
      <c r="A854" s="17"/>
      <c r="B854" s="17">
        <f>Start.listina!O607</f>
        <v>0</v>
      </c>
      <c r="C854" s="17">
        <f>Start.listina!P607</f>
        <v>0</v>
      </c>
      <c r="D854" s="17">
        <f>Start.listina!Q607</f>
        <v>0</v>
      </c>
      <c r="E854" s="17">
        <f>Start.listina!R607</f>
        <v>0</v>
      </c>
      <c r="F854" s="17"/>
      <c r="G854" s="142"/>
      <c r="H854" s="69"/>
      <c r="I854" s="69"/>
    </row>
    <row r="855" spans="1:9" ht="12" customHeight="1">
      <c r="A855" s="17"/>
      <c r="B855" s="17">
        <f>Start.listina!U607</f>
        <v>0</v>
      </c>
      <c r="C855" s="17">
        <f>Start.listina!V607</f>
        <v>0</v>
      </c>
      <c r="D855" s="17">
        <f>Start.listina!W607</f>
        <v>0</v>
      </c>
      <c r="E855" s="17">
        <f>Start.listina!X607</f>
        <v>0</v>
      </c>
      <c r="F855" s="17"/>
      <c r="G855" s="142"/>
      <c r="H855" s="69"/>
      <c r="I855" s="69"/>
    </row>
    <row r="856" spans="1:9" ht="12" customHeight="1">
      <c r="A856" s="17"/>
      <c r="B856" s="17">
        <f>Start.listina!AA607</f>
        <v>0</v>
      </c>
      <c r="C856" s="17">
        <f>Start.listina!AB607</f>
        <v>0</v>
      </c>
      <c r="D856" s="17">
        <f>Start.listina!AC607</f>
        <v>0</v>
      </c>
      <c r="E856" s="17">
        <f>Start.listina!AD607</f>
        <v>0</v>
      </c>
      <c r="F856" s="17"/>
      <c r="G856" s="142"/>
      <c r="H856" s="69"/>
      <c r="I856" s="69"/>
    </row>
    <row r="857" spans="1:9" ht="12" customHeight="1">
      <c r="A857" s="17">
        <f>Start.listina!AH608</f>
        <v>0</v>
      </c>
      <c r="B857" s="17">
        <f>Start.listina!I608</f>
        <v>0</v>
      </c>
      <c r="C857" s="141">
        <f>Start.listina!J608</f>
        <v>0</v>
      </c>
      <c r="D857" s="17">
        <f>Start.listina!K608</f>
        <v>0</v>
      </c>
      <c r="E857" s="17">
        <f>Start.listina!L608</f>
        <v>0</v>
      </c>
      <c r="F857" s="17"/>
      <c r="G857" s="142" t="str">
        <f>IF(N(A857)&gt;0,VLOOKUP(A857,Body!$A$4:$F$259,5,0),"")</f>
        <v/>
      </c>
      <c r="H857" s="69" t="str">
        <f>IF(N(A857)&gt;0,VLOOKUP(A857,Body!$A$4:$F$259,6,0),"")</f>
        <v/>
      </c>
      <c r="I857" s="69" t="str">
        <f>IF(N(A857)&gt;0,VLOOKUP(A857,Body!$A$4:$F$259,2,0),"")</f>
        <v/>
      </c>
    </row>
    <row r="858" spans="1:9" ht="12" customHeight="1">
      <c r="A858" s="17"/>
      <c r="B858" s="17">
        <f>Start.listina!O608</f>
        <v>0</v>
      </c>
      <c r="C858" s="17">
        <f>Start.listina!P608</f>
        <v>0</v>
      </c>
      <c r="D858" s="17">
        <f>Start.listina!Q608</f>
        <v>0</v>
      </c>
      <c r="E858" s="17">
        <f>Start.listina!R608</f>
        <v>0</v>
      </c>
      <c r="F858" s="17"/>
      <c r="G858" s="142"/>
      <c r="H858" s="69"/>
      <c r="I858" s="69"/>
    </row>
    <row r="859" spans="1:9" ht="12" customHeight="1">
      <c r="A859" s="17"/>
      <c r="B859" s="17">
        <f>Start.listina!U608</f>
        <v>0</v>
      </c>
      <c r="C859" s="17">
        <f>Start.listina!V608</f>
        <v>0</v>
      </c>
      <c r="D859" s="17">
        <f>Start.listina!W608</f>
        <v>0</v>
      </c>
      <c r="E859" s="17">
        <f>Start.listina!X608</f>
        <v>0</v>
      </c>
      <c r="F859" s="17"/>
      <c r="G859" s="142"/>
      <c r="H859" s="69"/>
      <c r="I859" s="69"/>
    </row>
    <row r="860" spans="1:9" ht="12" customHeight="1">
      <c r="A860" s="17"/>
      <c r="B860" s="17">
        <f>Start.listina!AA608</f>
        <v>0</v>
      </c>
      <c r="C860" s="17">
        <f>Start.listina!AB608</f>
        <v>0</v>
      </c>
      <c r="D860" s="17">
        <f>Start.listina!AC608</f>
        <v>0</v>
      </c>
      <c r="E860" s="17">
        <f>Start.listina!AD608</f>
        <v>0</v>
      </c>
      <c r="F860" s="17"/>
      <c r="G860" s="142"/>
      <c r="H860" s="69"/>
      <c r="I860" s="69"/>
    </row>
    <row r="861" spans="1:9" ht="12" customHeight="1">
      <c r="A861" s="17">
        <f>Start.listina!AH609</f>
        <v>0</v>
      </c>
      <c r="B861" s="17">
        <f>Start.listina!I609</f>
        <v>0</v>
      </c>
      <c r="C861" s="141">
        <f>Start.listina!J609</f>
        <v>0</v>
      </c>
      <c r="D861" s="17">
        <f>Start.listina!K609</f>
        <v>0</v>
      </c>
      <c r="E861" s="17">
        <f>Start.listina!L609</f>
        <v>0</v>
      </c>
      <c r="F861" s="17"/>
      <c r="G861" s="142" t="str">
        <f>IF(N(A861)&gt;0,VLOOKUP(A861,Body!$A$4:$F$259,5,0),"")</f>
        <v/>
      </c>
      <c r="H861" s="69" t="str">
        <f>IF(N(A861)&gt;0,VLOOKUP(A861,Body!$A$4:$F$259,6,0),"")</f>
        <v/>
      </c>
      <c r="I861" s="69" t="str">
        <f>IF(N(A861)&gt;0,VLOOKUP(A861,Body!$A$4:$F$259,2,0),"")</f>
        <v/>
      </c>
    </row>
    <row r="862" spans="1:9" ht="12" customHeight="1">
      <c r="A862" s="17"/>
      <c r="B862" s="17">
        <f>Start.listina!O609</f>
        <v>0</v>
      </c>
      <c r="C862" s="17">
        <f>Start.listina!P609</f>
        <v>0</v>
      </c>
      <c r="D862" s="17">
        <f>Start.listina!Q609</f>
        <v>0</v>
      </c>
      <c r="E862" s="17">
        <f>Start.listina!R609</f>
        <v>0</v>
      </c>
      <c r="F862" s="17"/>
      <c r="G862" s="142"/>
      <c r="H862" s="69"/>
      <c r="I862" s="69"/>
    </row>
    <row r="863" spans="1:9" ht="12" customHeight="1">
      <c r="A863" s="17"/>
      <c r="B863" s="17">
        <f>Start.listina!U609</f>
        <v>0</v>
      </c>
      <c r="C863" s="17">
        <f>Start.listina!V609</f>
        <v>0</v>
      </c>
      <c r="D863" s="17">
        <f>Start.listina!W609</f>
        <v>0</v>
      </c>
      <c r="E863" s="17">
        <f>Start.listina!X609</f>
        <v>0</v>
      </c>
      <c r="F863" s="17"/>
      <c r="G863" s="142"/>
      <c r="H863" s="69"/>
      <c r="I863" s="69"/>
    </row>
    <row r="864" spans="1:9" ht="12" customHeight="1">
      <c r="A864" s="17"/>
      <c r="B864" s="17">
        <f>Start.listina!AA609</f>
        <v>0</v>
      </c>
      <c r="C864" s="17">
        <f>Start.listina!AB609</f>
        <v>0</v>
      </c>
      <c r="D864" s="17">
        <f>Start.listina!AC609</f>
        <v>0</v>
      </c>
      <c r="E864" s="17">
        <f>Start.listina!AD609</f>
        <v>0</v>
      </c>
      <c r="F864" s="17"/>
      <c r="G864" s="142"/>
      <c r="H864" s="69"/>
      <c r="I864" s="69"/>
    </row>
    <row r="865" spans="1:9" ht="12" customHeight="1">
      <c r="A865" s="17">
        <f>Start.listina!AH610</f>
        <v>0</v>
      </c>
      <c r="B865" s="17">
        <f>Start.listina!I610</f>
        <v>0</v>
      </c>
      <c r="C865" s="141">
        <f>Start.listina!J610</f>
        <v>0</v>
      </c>
      <c r="D865" s="17">
        <f>Start.listina!K610</f>
        <v>0</v>
      </c>
      <c r="E865" s="17">
        <f>Start.listina!L610</f>
        <v>0</v>
      </c>
      <c r="F865" s="17"/>
      <c r="G865" s="142" t="str">
        <f>IF(N(A865)&gt;0,VLOOKUP(A865,Body!$A$4:$F$259,5,0),"")</f>
        <v/>
      </c>
      <c r="H865" s="69" t="str">
        <f>IF(N(A865)&gt;0,VLOOKUP(A865,Body!$A$4:$F$259,6,0),"")</f>
        <v/>
      </c>
      <c r="I865" s="69" t="str">
        <f>IF(N(A865)&gt;0,VLOOKUP(A865,Body!$A$4:$F$259,2,0),"")</f>
        <v/>
      </c>
    </row>
    <row r="866" spans="1:9" ht="12" customHeight="1">
      <c r="A866" s="17"/>
      <c r="B866" s="17">
        <f>Start.listina!O610</f>
        <v>0</v>
      </c>
      <c r="C866" s="17">
        <f>Start.listina!P610</f>
        <v>0</v>
      </c>
      <c r="D866" s="17">
        <f>Start.listina!Q610</f>
        <v>0</v>
      </c>
      <c r="E866" s="17">
        <f>Start.listina!R610</f>
        <v>0</v>
      </c>
      <c r="F866" s="17"/>
      <c r="G866" s="142"/>
      <c r="H866" s="69"/>
      <c r="I866" s="69"/>
    </row>
    <row r="867" spans="1:9" ht="12" customHeight="1">
      <c r="A867" s="17"/>
      <c r="B867" s="17">
        <f>Start.listina!U610</f>
        <v>0</v>
      </c>
      <c r="C867" s="17">
        <f>Start.listina!V610</f>
        <v>0</v>
      </c>
      <c r="D867" s="17">
        <f>Start.listina!W610</f>
        <v>0</v>
      </c>
      <c r="E867" s="17">
        <f>Start.listina!X610</f>
        <v>0</v>
      </c>
      <c r="F867" s="17"/>
      <c r="G867" s="142"/>
      <c r="H867" s="69"/>
      <c r="I867" s="69"/>
    </row>
    <row r="868" spans="1:9" ht="12" customHeight="1">
      <c r="A868" s="17"/>
      <c r="B868" s="17">
        <f>Start.listina!AA610</f>
        <v>0</v>
      </c>
      <c r="C868" s="17">
        <f>Start.listina!AB610</f>
        <v>0</v>
      </c>
      <c r="D868" s="17">
        <f>Start.listina!AC610</f>
        <v>0</v>
      </c>
      <c r="E868" s="17">
        <f>Start.listina!AD610</f>
        <v>0</v>
      </c>
      <c r="F868" s="17"/>
      <c r="G868" s="142"/>
      <c r="H868" s="69"/>
      <c r="I868" s="69"/>
    </row>
    <row r="869" spans="1:9" ht="12" customHeight="1">
      <c r="A869" s="17">
        <f>Start.listina!AH611</f>
        <v>0</v>
      </c>
      <c r="B869" s="17">
        <f>Start.listina!I611</f>
        <v>0</v>
      </c>
      <c r="C869" s="141">
        <f>Start.listina!J611</f>
        <v>0</v>
      </c>
      <c r="D869" s="17">
        <f>Start.listina!K611</f>
        <v>0</v>
      </c>
      <c r="E869" s="17">
        <f>Start.listina!L611</f>
        <v>0</v>
      </c>
      <c r="F869" s="17"/>
      <c r="G869" s="142" t="str">
        <f>IF(N(A869)&gt;0,VLOOKUP(A869,Body!$A$4:$F$259,5,0),"")</f>
        <v/>
      </c>
      <c r="H869" s="69" t="str">
        <f>IF(N(A869)&gt;0,VLOOKUP(A869,Body!$A$4:$F$259,6,0),"")</f>
        <v/>
      </c>
      <c r="I869" s="69" t="str">
        <f>IF(N(A869)&gt;0,VLOOKUP(A869,Body!$A$4:$F$259,2,0),"")</f>
        <v/>
      </c>
    </row>
    <row r="870" spans="1:9" ht="12" customHeight="1">
      <c r="A870" s="17"/>
      <c r="B870" s="17">
        <f>Start.listina!O611</f>
        <v>0</v>
      </c>
      <c r="C870" s="17">
        <f>Start.listina!P611</f>
        <v>0</v>
      </c>
      <c r="D870" s="17">
        <f>Start.listina!Q611</f>
        <v>0</v>
      </c>
      <c r="E870" s="17">
        <f>Start.listina!R611</f>
        <v>0</v>
      </c>
      <c r="F870" s="17"/>
      <c r="G870" s="142"/>
      <c r="H870" s="69"/>
      <c r="I870" s="69"/>
    </row>
    <row r="871" spans="1:9" ht="12" customHeight="1">
      <c r="A871" s="17"/>
      <c r="B871" s="17">
        <f>Start.listina!U611</f>
        <v>0</v>
      </c>
      <c r="C871" s="17">
        <f>Start.listina!V611</f>
        <v>0</v>
      </c>
      <c r="D871" s="17">
        <f>Start.listina!W611</f>
        <v>0</v>
      </c>
      <c r="E871" s="17">
        <f>Start.listina!X611</f>
        <v>0</v>
      </c>
      <c r="F871" s="17"/>
      <c r="G871" s="142"/>
      <c r="H871" s="69"/>
      <c r="I871" s="69"/>
    </row>
    <row r="872" spans="1:9" ht="12" customHeight="1">
      <c r="A872" s="17"/>
      <c r="B872" s="17">
        <f>Start.listina!AA611</f>
        <v>0</v>
      </c>
      <c r="C872" s="17">
        <f>Start.listina!AB611</f>
        <v>0</v>
      </c>
      <c r="D872" s="17">
        <f>Start.listina!AC611</f>
        <v>0</v>
      </c>
      <c r="E872" s="17">
        <f>Start.listina!AD611</f>
        <v>0</v>
      </c>
      <c r="F872" s="17"/>
      <c r="G872" s="142"/>
      <c r="H872" s="69"/>
      <c r="I872" s="69"/>
    </row>
    <row r="873" spans="1:9" ht="12" customHeight="1">
      <c r="A873" s="17">
        <f>Start.listina!AH612</f>
        <v>0</v>
      </c>
      <c r="B873" s="17">
        <f>Start.listina!I612</f>
        <v>0</v>
      </c>
      <c r="C873" s="141">
        <f>Start.listina!J612</f>
        <v>0</v>
      </c>
      <c r="D873" s="17">
        <f>Start.listina!K612</f>
        <v>0</v>
      </c>
      <c r="E873" s="17">
        <f>Start.listina!L612</f>
        <v>0</v>
      </c>
      <c r="F873" s="17"/>
      <c r="G873" s="142" t="str">
        <f>IF(N(A873)&gt;0,VLOOKUP(A873,Body!$A$4:$F$259,5,0),"")</f>
        <v/>
      </c>
      <c r="H873" s="69" t="str">
        <f>IF(N(A873)&gt;0,VLOOKUP(A873,Body!$A$4:$F$259,6,0),"")</f>
        <v/>
      </c>
      <c r="I873" s="69" t="str">
        <f>IF(N(A873)&gt;0,VLOOKUP(A873,Body!$A$4:$F$259,2,0),"")</f>
        <v/>
      </c>
    </row>
    <row r="874" spans="1:9" ht="12" customHeight="1">
      <c r="A874" s="17"/>
      <c r="B874" s="17">
        <f>Start.listina!O612</f>
        <v>0</v>
      </c>
      <c r="C874" s="17">
        <f>Start.listina!P612</f>
        <v>0</v>
      </c>
      <c r="D874" s="17">
        <f>Start.listina!Q612</f>
        <v>0</v>
      </c>
      <c r="E874" s="17">
        <f>Start.listina!R612</f>
        <v>0</v>
      </c>
      <c r="F874" s="17"/>
      <c r="G874" s="142"/>
      <c r="H874" s="69"/>
      <c r="I874" s="69"/>
    </row>
    <row r="875" spans="1:9" ht="12" customHeight="1">
      <c r="A875" s="17"/>
      <c r="B875" s="17">
        <f>Start.listina!U612</f>
        <v>0</v>
      </c>
      <c r="C875" s="17">
        <f>Start.listina!V612</f>
        <v>0</v>
      </c>
      <c r="D875" s="17">
        <f>Start.listina!W612</f>
        <v>0</v>
      </c>
      <c r="E875" s="17">
        <f>Start.listina!X612</f>
        <v>0</v>
      </c>
      <c r="F875" s="17"/>
      <c r="G875" s="142"/>
      <c r="H875" s="69"/>
      <c r="I875" s="69"/>
    </row>
    <row r="876" spans="1:9" ht="12" customHeight="1">
      <c r="A876" s="17"/>
      <c r="B876" s="17">
        <f>Start.listina!AA612</f>
        <v>0</v>
      </c>
      <c r="C876" s="17">
        <f>Start.listina!AB612</f>
        <v>0</v>
      </c>
      <c r="D876" s="17">
        <f>Start.listina!AC612</f>
        <v>0</v>
      </c>
      <c r="E876" s="17">
        <f>Start.listina!AD612</f>
        <v>0</v>
      </c>
      <c r="F876" s="17"/>
      <c r="G876" s="142"/>
      <c r="H876" s="69"/>
      <c r="I876" s="69"/>
    </row>
    <row r="877" spans="1:9" ht="12" customHeight="1">
      <c r="A877" s="17">
        <f>Start.listina!AH613</f>
        <v>0</v>
      </c>
      <c r="B877" s="17">
        <f>Start.listina!I613</f>
        <v>0</v>
      </c>
      <c r="C877" s="141">
        <f>Start.listina!J613</f>
        <v>0</v>
      </c>
      <c r="D877" s="17">
        <f>Start.listina!K613</f>
        <v>0</v>
      </c>
      <c r="E877" s="17">
        <f>Start.listina!L613</f>
        <v>0</v>
      </c>
      <c r="F877" s="17"/>
      <c r="G877" s="142" t="str">
        <f>IF(N(A877)&gt;0,VLOOKUP(A877,Body!$A$4:$F$259,5,0),"")</f>
        <v/>
      </c>
      <c r="H877" s="69" t="str">
        <f>IF(N(A877)&gt;0,VLOOKUP(A877,Body!$A$4:$F$259,6,0),"")</f>
        <v/>
      </c>
      <c r="I877" s="69" t="str">
        <f>IF(N(A877)&gt;0,VLOOKUP(A877,Body!$A$4:$F$259,2,0),"")</f>
        <v/>
      </c>
    </row>
    <row r="878" spans="1:9" ht="12" customHeight="1">
      <c r="A878" s="17"/>
      <c r="B878" s="17">
        <f>Start.listina!O613</f>
        <v>0</v>
      </c>
      <c r="C878" s="17">
        <f>Start.listina!P613</f>
        <v>0</v>
      </c>
      <c r="D878" s="17">
        <f>Start.listina!Q613</f>
        <v>0</v>
      </c>
      <c r="E878" s="17">
        <f>Start.listina!R613</f>
        <v>0</v>
      </c>
      <c r="F878" s="17"/>
      <c r="G878" s="142"/>
      <c r="H878" s="69"/>
      <c r="I878" s="69"/>
    </row>
    <row r="879" spans="1:9" ht="12" customHeight="1">
      <c r="A879" s="17"/>
      <c r="B879" s="17">
        <f>Start.listina!U613</f>
        <v>0</v>
      </c>
      <c r="C879" s="17">
        <f>Start.listina!V613</f>
        <v>0</v>
      </c>
      <c r="D879" s="17">
        <f>Start.listina!W613</f>
        <v>0</v>
      </c>
      <c r="E879" s="17">
        <f>Start.listina!X613</f>
        <v>0</v>
      </c>
      <c r="F879" s="17"/>
      <c r="G879" s="142"/>
      <c r="H879" s="69"/>
      <c r="I879" s="69"/>
    </row>
    <row r="880" spans="1:9" ht="12" customHeight="1">
      <c r="A880" s="17"/>
      <c r="B880" s="17">
        <f>Start.listina!AA613</f>
        <v>0</v>
      </c>
      <c r="C880" s="17">
        <f>Start.listina!AB613</f>
        <v>0</v>
      </c>
      <c r="D880" s="17">
        <f>Start.listina!AC613</f>
        <v>0</v>
      </c>
      <c r="E880" s="17">
        <f>Start.listina!AD613</f>
        <v>0</v>
      </c>
      <c r="F880" s="17"/>
      <c r="G880" s="142"/>
      <c r="H880" s="69"/>
      <c r="I880" s="69"/>
    </row>
    <row r="881" spans="1:9" ht="12" customHeight="1">
      <c r="A881" s="17">
        <f>Start.listina!AH614</f>
        <v>0</v>
      </c>
      <c r="B881" s="17">
        <f>Start.listina!I614</f>
        <v>0</v>
      </c>
      <c r="C881" s="141">
        <f>Start.listina!J614</f>
        <v>0</v>
      </c>
      <c r="D881" s="17">
        <f>Start.listina!K614</f>
        <v>0</v>
      </c>
      <c r="E881" s="17">
        <f>Start.listina!L614</f>
        <v>0</v>
      </c>
      <c r="F881" s="17"/>
      <c r="G881" s="142" t="str">
        <f>IF(N(A881)&gt;0,VLOOKUP(A881,Body!$A$4:$F$259,5,0),"")</f>
        <v/>
      </c>
      <c r="H881" s="69" t="str">
        <f>IF(N(A881)&gt;0,VLOOKUP(A881,Body!$A$4:$F$259,6,0),"")</f>
        <v/>
      </c>
      <c r="I881" s="69" t="str">
        <f>IF(N(A881)&gt;0,VLOOKUP(A881,Body!$A$4:$F$259,2,0),"")</f>
        <v/>
      </c>
    </row>
    <row r="882" spans="1:9" ht="12" customHeight="1">
      <c r="A882" s="17"/>
      <c r="B882" s="17">
        <f>Start.listina!O614</f>
        <v>0</v>
      </c>
      <c r="C882" s="17">
        <f>Start.listina!P614</f>
        <v>0</v>
      </c>
      <c r="D882" s="17">
        <f>Start.listina!Q614</f>
        <v>0</v>
      </c>
      <c r="E882" s="17">
        <f>Start.listina!R614</f>
        <v>0</v>
      </c>
      <c r="F882" s="17"/>
      <c r="G882" s="142"/>
      <c r="H882" s="69"/>
      <c r="I882" s="69"/>
    </row>
    <row r="883" spans="1:9" ht="12" customHeight="1">
      <c r="A883" s="17"/>
      <c r="B883" s="17">
        <f>Start.listina!U614</f>
        <v>0</v>
      </c>
      <c r="C883" s="17">
        <f>Start.listina!V614</f>
        <v>0</v>
      </c>
      <c r="D883" s="17">
        <f>Start.listina!W614</f>
        <v>0</v>
      </c>
      <c r="E883" s="17">
        <f>Start.listina!X614</f>
        <v>0</v>
      </c>
      <c r="F883" s="17"/>
      <c r="G883" s="142"/>
      <c r="H883" s="69"/>
      <c r="I883" s="69"/>
    </row>
    <row r="884" spans="1:9" ht="12" customHeight="1">
      <c r="A884" s="17"/>
      <c r="B884" s="17">
        <f>Start.listina!AA614</f>
        <v>0</v>
      </c>
      <c r="C884" s="17">
        <f>Start.listina!AB614</f>
        <v>0</v>
      </c>
      <c r="D884" s="17">
        <f>Start.listina!AC614</f>
        <v>0</v>
      </c>
      <c r="E884" s="17">
        <f>Start.listina!AD614</f>
        <v>0</v>
      </c>
      <c r="F884" s="17"/>
      <c r="G884" s="142"/>
      <c r="H884" s="69"/>
      <c r="I884" s="69"/>
    </row>
    <row r="885" spans="1:9" ht="12" customHeight="1">
      <c r="A885" s="17">
        <f>Start.listina!AH615</f>
        <v>0</v>
      </c>
      <c r="B885" s="17">
        <f>Start.listina!I615</f>
        <v>0</v>
      </c>
      <c r="C885" s="141">
        <f>Start.listina!J615</f>
        <v>0</v>
      </c>
      <c r="D885" s="17">
        <f>Start.listina!K615</f>
        <v>0</v>
      </c>
      <c r="E885" s="17">
        <f>Start.listina!L615</f>
        <v>0</v>
      </c>
      <c r="F885" s="17"/>
      <c r="G885" s="142" t="str">
        <f>IF(N(A885)&gt;0,VLOOKUP(A885,Body!$A$4:$F$259,5,0),"")</f>
        <v/>
      </c>
      <c r="H885" s="69" t="str">
        <f>IF(N(A885)&gt;0,VLOOKUP(A885,Body!$A$4:$F$259,6,0),"")</f>
        <v/>
      </c>
      <c r="I885" s="69" t="str">
        <f>IF(N(A885)&gt;0,VLOOKUP(A885,Body!$A$4:$F$259,2,0),"")</f>
        <v/>
      </c>
    </row>
    <row r="886" spans="1:9" ht="12" customHeight="1">
      <c r="A886" s="17"/>
      <c r="B886" s="17">
        <f>Start.listina!O615</f>
        <v>0</v>
      </c>
      <c r="C886" s="17">
        <f>Start.listina!P615</f>
        <v>0</v>
      </c>
      <c r="D886" s="17">
        <f>Start.listina!Q615</f>
        <v>0</v>
      </c>
      <c r="E886" s="17">
        <f>Start.listina!R615</f>
        <v>0</v>
      </c>
      <c r="F886" s="17"/>
      <c r="G886" s="142"/>
      <c r="H886" s="69"/>
      <c r="I886" s="69"/>
    </row>
    <row r="887" spans="1:9" ht="12" customHeight="1">
      <c r="A887" s="17"/>
      <c r="B887" s="17">
        <f>Start.listina!U615</f>
        <v>0</v>
      </c>
      <c r="C887" s="17">
        <f>Start.listina!V615</f>
        <v>0</v>
      </c>
      <c r="D887" s="17">
        <f>Start.listina!W615</f>
        <v>0</v>
      </c>
      <c r="E887" s="17">
        <f>Start.listina!X615</f>
        <v>0</v>
      </c>
      <c r="F887" s="17"/>
      <c r="G887" s="142"/>
      <c r="H887" s="69"/>
      <c r="I887" s="69"/>
    </row>
    <row r="888" spans="1:9" ht="12" customHeight="1">
      <c r="A888" s="17"/>
      <c r="B888" s="17">
        <f>Start.listina!AA615</f>
        <v>0</v>
      </c>
      <c r="C888" s="17">
        <f>Start.listina!AB615</f>
        <v>0</v>
      </c>
      <c r="D888" s="17">
        <f>Start.listina!AC615</f>
        <v>0</v>
      </c>
      <c r="E888" s="17">
        <f>Start.listina!AD615</f>
        <v>0</v>
      </c>
      <c r="F888" s="17"/>
      <c r="G888" s="142"/>
      <c r="H888" s="69"/>
      <c r="I888" s="69"/>
    </row>
    <row r="889" spans="1:9" ht="12" customHeight="1">
      <c r="A889" s="17">
        <f>Start.listina!AH616</f>
        <v>0</v>
      </c>
      <c r="B889" s="17">
        <f>Start.listina!I616</f>
        <v>0</v>
      </c>
      <c r="C889" s="141">
        <f>Start.listina!J616</f>
        <v>0</v>
      </c>
      <c r="D889" s="17">
        <f>Start.listina!K616</f>
        <v>0</v>
      </c>
      <c r="E889" s="17">
        <f>Start.listina!L616</f>
        <v>0</v>
      </c>
      <c r="F889" s="17"/>
      <c r="G889" s="142" t="str">
        <f>IF(N(A889)&gt;0,VLOOKUP(A889,Body!$A$4:$F$259,5,0),"")</f>
        <v/>
      </c>
      <c r="H889" s="69" t="str">
        <f>IF(N(A889)&gt;0,VLOOKUP(A889,Body!$A$4:$F$259,6,0),"")</f>
        <v/>
      </c>
      <c r="I889" s="69" t="str">
        <f>IF(N(A889)&gt;0,VLOOKUP(A889,Body!$A$4:$F$259,2,0),"")</f>
        <v/>
      </c>
    </row>
    <row r="890" spans="1:9" ht="12" customHeight="1">
      <c r="A890" s="17"/>
      <c r="B890" s="17">
        <f>Start.listina!O616</f>
        <v>0</v>
      </c>
      <c r="C890" s="17">
        <f>Start.listina!P616</f>
        <v>0</v>
      </c>
      <c r="D890" s="17">
        <f>Start.listina!Q616</f>
        <v>0</v>
      </c>
      <c r="E890" s="17">
        <f>Start.listina!R616</f>
        <v>0</v>
      </c>
      <c r="F890" s="17"/>
      <c r="G890" s="142"/>
      <c r="H890" s="69"/>
      <c r="I890" s="69"/>
    </row>
    <row r="891" spans="1:9" ht="12" customHeight="1">
      <c r="A891" s="17"/>
      <c r="B891" s="17">
        <f>Start.listina!U616</f>
        <v>0</v>
      </c>
      <c r="C891" s="17">
        <f>Start.listina!V616</f>
        <v>0</v>
      </c>
      <c r="D891" s="17">
        <f>Start.listina!W616</f>
        <v>0</v>
      </c>
      <c r="E891" s="17">
        <f>Start.listina!X616</f>
        <v>0</v>
      </c>
      <c r="F891" s="17"/>
      <c r="G891" s="142"/>
      <c r="H891" s="69"/>
      <c r="I891" s="69"/>
    </row>
    <row r="892" spans="1:9" ht="12" customHeight="1">
      <c r="A892" s="17"/>
      <c r="B892" s="17">
        <f>Start.listina!AA616</f>
        <v>0</v>
      </c>
      <c r="C892" s="17">
        <f>Start.listina!AB616</f>
        <v>0</v>
      </c>
      <c r="D892" s="17">
        <f>Start.listina!AC616</f>
        <v>0</v>
      </c>
      <c r="E892" s="17">
        <f>Start.listina!AD616</f>
        <v>0</v>
      </c>
      <c r="F892" s="17"/>
      <c r="G892" s="142"/>
      <c r="H892" s="69"/>
      <c r="I892" s="69"/>
    </row>
    <row r="893" spans="1:9" ht="12" customHeight="1">
      <c r="A893" s="17">
        <f>Start.listina!AH617</f>
        <v>0</v>
      </c>
      <c r="B893" s="17">
        <f>Start.listina!I617</f>
        <v>0</v>
      </c>
      <c r="C893" s="141">
        <f>Start.listina!J617</f>
        <v>0</v>
      </c>
      <c r="D893" s="17">
        <f>Start.listina!K617</f>
        <v>0</v>
      </c>
      <c r="E893" s="17">
        <f>Start.listina!L617</f>
        <v>0</v>
      </c>
      <c r="F893" s="17"/>
      <c r="G893" s="142" t="str">
        <f>IF(N(A893)&gt;0,VLOOKUP(A893,Body!$A$4:$F$259,5,0),"")</f>
        <v/>
      </c>
      <c r="H893" s="69" t="str">
        <f>IF(N(A893)&gt;0,VLOOKUP(A893,Body!$A$4:$F$259,6,0),"")</f>
        <v/>
      </c>
      <c r="I893" s="69" t="str">
        <f>IF(N(A893)&gt;0,VLOOKUP(A893,Body!$A$4:$F$259,2,0),"")</f>
        <v/>
      </c>
    </row>
    <row r="894" spans="1:9" ht="12" customHeight="1">
      <c r="A894" s="17"/>
      <c r="B894" s="17">
        <f>Start.listina!O617</f>
        <v>0</v>
      </c>
      <c r="C894" s="17">
        <f>Start.listina!P617</f>
        <v>0</v>
      </c>
      <c r="D894" s="17">
        <f>Start.listina!Q617</f>
        <v>0</v>
      </c>
      <c r="E894" s="17">
        <f>Start.listina!R617</f>
        <v>0</v>
      </c>
      <c r="F894" s="17"/>
      <c r="G894" s="142"/>
      <c r="H894" s="69"/>
      <c r="I894" s="69"/>
    </row>
    <row r="895" spans="1:9" ht="12" customHeight="1">
      <c r="A895" s="17"/>
      <c r="B895" s="17">
        <f>Start.listina!U617</f>
        <v>0</v>
      </c>
      <c r="C895" s="17">
        <f>Start.listina!V617</f>
        <v>0</v>
      </c>
      <c r="D895" s="17">
        <f>Start.listina!W617</f>
        <v>0</v>
      </c>
      <c r="E895" s="17">
        <f>Start.listina!X617</f>
        <v>0</v>
      </c>
      <c r="F895" s="17"/>
      <c r="G895" s="142"/>
      <c r="H895" s="69"/>
      <c r="I895" s="69"/>
    </row>
    <row r="896" spans="1:9" ht="12" customHeight="1">
      <c r="A896" s="17"/>
      <c r="B896" s="17">
        <f>Start.listina!AA617</f>
        <v>0</v>
      </c>
      <c r="C896" s="17">
        <f>Start.listina!AB617</f>
        <v>0</v>
      </c>
      <c r="D896" s="17">
        <f>Start.listina!AC617</f>
        <v>0</v>
      </c>
      <c r="E896" s="17">
        <f>Start.listina!AD617</f>
        <v>0</v>
      </c>
      <c r="F896" s="17"/>
      <c r="G896" s="142"/>
      <c r="H896" s="69"/>
      <c r="I896" s="69"/>
    </row>
    <row r="897" spans="1:9" ht="12" customHeight="1">
      <c r="A897" s="17">
        <f>Start.listina!AH618</f>
        <v>0</v>
      </c>
      <c r="B897" s="17">
        <f>Start.listina!I618</f>
        <v>0</v>
      </c>
      <c r="C897" s="141">
        <f>Start.listina!J618</f>
        <v>0</v>
      </c>
      <c r="D897" s="17">
        <f>Start.listina!K618</f>
        <v>0</v>
      </c>
      <c r="E897" s="17">
        <f>Start.listina!L618</f>
        <v>0</v>
      </c>
      <c r="F897" s="17"/>
      <c r="G897" s="142" t="str">
        <f>IF(N(A897)&gt;0,VLOOKUP(A897,Body!$A$4:$F$259,5,0),"")</f>
        <v/>
      </c>
      <c r="H897" s="69" t="str">
        <f>IF(N(A897)&gt;0,VLOOKUP(A897,Body!$A$4:$F$259,6,0),"")</f>
        <v/>
      </c>
      <c r="I897" s="69" t="str">
        <f>IF(N(A897)&gt;0,VLOOKUP(A897,Body!$A$4:$F$259,2,0),"")</f>
        <v/>
      </c>
    </row>
    <row r="898" spans="1:9" ht="12" customHeight="1">
      <c r="A898" s="17"/>
      <c r="B898" s="17">
        <f>Start.listina!O618</f>
        <v>0</v>
      </c>
      <c r="C898" s="17">
        <f>Start.listina!P618</f>
        <v>0</v>
      </c>
      <c r="D898" s="17">
        <f>Start.listina!Q618</f>
        <v>0</v>
      </c>
      <c r="E898" s="17">
        <f>Start.listina!R618</f>
        <v>0</v>
      </c>
      <c r="F898" s="17"/>
      <c r="G898" s="142"/>
      <c r="H898" s="69"/>
      <c r="I898" s="69"/>
    </row>
    <row r="899" spans="1:9" ht="12" customHeight="1">
      <c r="A899" s="17"/>
      <c r="B899" s="17">
        <f>Start.listina!U618</f>
        <v>0</v>
      </c>
      <c r="C899" s="17">
        <f>Start.listina!V618</f>
        <v>0</v>
      </c>
      <c r="D899" s="17">
        <f>Start.listina!W618</f>
        <v>0</v>
      </c>
      <c r="E899" s="17">
        <f>Start.listina!X618</f>
        <v>0</v>
      </c>
      <c r="F899" s="17"/>
      <c r="G899" s="142"/>
      <c r="H899" s="69"/>
      <c r="I899" s="69"/>
    </row>
    <row r="900" spans="1:9" ht="12" customHeight="1">
      <c r="A900" s="17"/>
      <c r="B900" s="17">
        <f>Start.listina!AA618</f>
        <v>0</v>
      </c>
      <c r="C900" s="17">
        <f>Start.listina!AB618</f>
        <v>0</v>
      </c>
      <c r="D900" s="17">
        <f>Start.listina!AC618</f>
        <v>0</v>
      </c>
      <c r="E900" s="17">
        <f>Start.listina!AD618</f>
        <v>0</v>
      </c>
      <c r="F900" s="17"/>
      <c r="G900" s="142"/>
      <c r="H900" s="69"/>
      <c r="I900" s="69"/>
    </row>
    <row r="901" spans="1:9" ht="12" customHeight="1">
      <c r="A901" s="17">
        <f>Start.listina!AH619</f>
        <v>0</v>
      </c>
      <c r="B901" s="17">
        <f>Start.listina!I619</f>
        <v>0</v>
      </c>
      <c r="C901" s="141">
        <f>Start.listina!J619</f>
        <v>0</v>
      </c>
      <c r="D901" s="17">
        <f>Start.listina!K619</f>
        <v>0</v>
      </c>
      <c r="E901" s="17">
        <f>Start.listina!L619</f>
        <v>0</v>
      </c>
      <c r="F901" s="17"/>
      <c r="G901" s="142" t="str">
        <f>IF(N(A901)&gt;0,VLOOKUP(A901,Body!$A$4:$F$259,5,0),"")</f>
        <v/>
      </c>
      <c r="H901" s="69" t="str">
        <f>IF(N(A901)&gt;0,VLOOKUP(A901,Body!$A$4:$F$259,6,0),"")</f>
        <v/>
      </c>
      <c r="I901" s="69" t="str">
        <f>IF(N(A901)&gt;0,VLOOKUP(A901,Body!$A$4:$F$259,2,0),"")</f>
        <v/>
      </c>
    </row>
    <row r="902" spans="1:9" ht="12" customHeight="1">
      <c r="A902" s="17"/>
      <c r="B902" s="17">
        <f>Start.listina!O619</f>
        <v>0</v>
      </c>
      <c r="C902" s="17">
        <f>Start.listina!P619</f>
        <v>0</v>
      </c>
      <c r="D902" s="17">
        <f>Start.listina!Q619</f>
        <v>0</v>
      </c>
      <c r="E902" s="17">
        <f>Start.listina!R619</f>
        <v>0</v>
      </c>
      <c r="F902" s="17"/>
      <c r="G902" s="142"/>
      <c r="H902" s="69"/>
      <c r="I902" s="69"/>
    </row>
    <row r="903" spans="1:9" ht="12" customHeight="1">
      <c r="A903" s="17"/>
      <c r="B903" s="17">
        <f>Start.listina!U619</f>
        <v>0</v>
      </c>
      <c r="C903" s="17">
        <f>Start.listina!V619</f>
        <v>0</v>
      </c>
      <c r="D903" s="17">
        <f>Start.listina!W619</f>
        <v>0</v>
      </c>
      <c r="E903" s="17">
        <f>Start.listina!X619</f>
        <v>0</v>
      </c>
      <c r="F903" s="17"/>
      <c r="G903" s="142"/>
      <c r="H903" s="69"/>
      <c r="I903" s="69"/>
    </row>
    <row r="904" spans="1:9" ht="12" customHeight="1">
      <c r="A904" s="17"/>
      <c r="B904" s="17">
        <f>Start.listina!AA619</f>
        <v>0</v>
      </c>
      <c r="C904" s="17">
        <f>Start.listina!AB619</f>
        <v>0</v>
      </c>
      <c r="D904" s="17">
        <f>Start.listina!AC619</f>
        <v>0</v>
      </c>
      <c r="E904" s="17">
        <f>Start.listina!AD619</f>
        <v>0</v>
      </c>
      <c r="F904" s="17"/>
      <c r="G904" s="142"/>
      <c r="H904" s="69"/>
      <c r="I904" s="69"/>
    </row>
    <row r="905" spans="1:9" ht="12" customHeight="1">
      <c r="A905" s="17">
        <f>Start.listina!AH620</f>
        <v>0</v>
      </c>
      <c r="B905" s="17">
        <f>Start.listina!I620</f>
        <v>0</v>
      </c>
      <c r="C905" s="141">
        <f>Start.listina!J620</f>
        <v>0</v>
      </c>
      <c r="D905" s="17">
        <f>Start.listina!K620</f>
        <v>0</v>
      </c>
      <c r="E905" s="17">
        <f>Start.listina!L620</f>
        <v>0</v>
      </c>
      <c r="F905" s="17"/>
      <c r="G905" s="142" t="str">
        <f>IF(N(A905)&gt;0,VLOOKUP(A905,Body!$A$4:$F$259,5,0),"")</f>
        <v/>
      </c>
      <c r="H905" s="69" t="str">
        <f>IF(N(A905)&gt;0,VLOOKUP(A905,Body!$A$4:$F$259,6,0),"")</f>
        <v/>
      </c>
      <c r="I905" s="69" t="str">
        <f>IF(N(A905)&gt;0,VLOOKUP(A905,Body!$A$4:$F$259,2,0),"")</f>
        <v/>
      </c>
    </row>
    <row r="906" spans="1:9" ht="12" customHeight="1">
      <c r="A906" s="17"/>
      <c r="B906" s="17">
        <f>Start.listina!O620</f>
        <v>0</v>
      </c>
      <c r="C906" s="17">
        <f>Start.listina!P620</f>
        <v>0</v>
      </c>
      <c r="D906" s="17">
        <f>Start.listina!Q620</f>
        <v>0</v>
      </c>
      <c r="E906" s="17">
        <f>Start.listina!R620</f>
        <v>0</v>
      </c>
      <c r="F906" s="17"/>
      <c r="G906" s="142"/>
      <c r="H906" s="69"/>
      <c r="I906" s="69"/>
    </row>
    <row r="907" spans="1:9" ht="12" customHeight="1">
      <c r="A907" s="17"/>
      <c r="B907" s="17">
        <f>Start.listina!U620</f>
        <v>0</v>
      </c>
      <c r="C907" s="17">
        <f>Start.listina!V620</f>
        <v>0</v>
      </c>
      <c r="D907" s="17">
        <f>Start.listina!W620</f>
        <v>0</v>
      </c>
      <c r="E907" s="17">
        <f>Start.listina!X620</f>
        <v>0</v>
      </c>
      <c r="F907" s="17"/>
      <c r="G907" s="142"/>
      <c r="H907" s="69"/>
      <c r="I907" s="69"/>
    </row>
    <row r="908" spans="1:9" ht="12" customHeight="1">
      <c r="A908" s="17"/>
      <c r="B908" s="17">
        <f>Start.listina!AA620</f>
        <v>0</v>
      </c>
      <c r="C908" s="17">
        <f>Start.listina!AB620</f>
        <v>0</v>
      </c>
      <c r="D908" s="17">
        <f>Start.listina!AC620</f>
        <v>0</v>
      </c>
      <c r="E908" s="17">
        <f>Start.listina!AD620</f>
        <v>0</v>
      </c>
      <c r="F908" s="17"/>
      <c r="G908" s="142"/>
      <c r="H908" s="69"/>
      <c r="I908" s="69"/>
    </row>
    <row r="909" spans="1:9" ht="12" customHeight="1">
      <c r="A909" s="17">
        <f>Start.listina!AH621</f>
        <v>0</v>
      </c>
      <c r="B909" s="17">
        <f>Start.listina!I621</f>
        <v>0</v>
      </c>
      <c r="C909" s="141">
        <f>Start.listina!J621</f>
        <v>0</v>
      </c>
      <c r="D909" s="17">
        <f>Start.listina!K621</f>
        <v>0</v>
      </c>
      <c r="E909" s="17">
        <f>Start.listina!L621</f>
        <v>0</v>
      </c>
      <c r="F909" s="17"/>
      <c r="G909" s="142" t="str">
        <f>IF(N(A909)&gt;0,VLOOKUP(A909,Body!$A$4:$F$259,5,0),"")</f>
        <v/>
      </c>
      <c r="H909" s="69" t="str">
        <f>IF(N(A909)&gt;0,VLOOKUP(A909,Body!$A$4:$F$259,6,0),"")</f>
        <v/>
      </c>
      <c r="I909" s="69" t="str">
        <f>IF(N(A909)&gt;0,VLOOKUP(A909,Body!$A$4:$F$259,2,0),"")</f>
        <v/>
      </c>
    </row>
    <row r="910" spans="1:9" ht="12" customHeight="1">
      <c r="A910" s="17"/>
      <c r="B910" s="17">
        <f>Start.listina!O621</f>
        <v>0</v>
      </c>
      <c r="C910" s="17">
        <f>Start.listina!P621</f>
        <v>0</v>
      </c>
      <c r="D910" s="17">
        <f>Start.listina!Q621</f>
        <v>0</v>
      </c>
      <c r="E910" s="17">
        <f>Start.listina!R621</f>
        <v>0</v>
      </c>
      <c r="F910" s="17"/>
      <c r="G910" s="142"/>
      <c r="H910" s="69"/>
      <c r="I910" s="69"/>
    </row>
    <row r="911" spans="1:9" ht="12" customHeight="1">
      <c r="A911" s="17"/>
      <c r="B911" s="17">
        <f>Start.listina!U621</f>
        <v>0</v>
      </c>
      <c r="C911" s="17">
        <f>Start.listina!V621</f>
        <v>0</v>
      </c>
      <c r="D911" s="17">
        <f>Start.listina!W621</f>
        <v>0</v>
      </c>
      <c r="E911" s="17">
        <f>Start.listina!X621</f>
        <v>0</v>
      </c>
      <c r="F911" s="17"/>
      <c r="G911" s="142"/>
      <c r="H911" s="69"/>
      <c r="I911" s="69"/>
    </row>
    <row r="912" spans="1:9" ht="12" customHeight="1">
      <c r="A912" s="17"/>
      <c r="B912" s="17">
        <f>Start.listina!AA621</f>
        <v>0</v>
      </c>
      <c r="C912" s="17">
        <f>Start.listina!AB621</f>
        <v>0</v>
      </c>
      <c r="D912" s="17">
        <f>Start.listina!AC621</f>
        <v>0</v>
      </c>
      <c r="E912" s="17">
        <f>Start.listina!AD621</f>
        <v>0</v>
      </c>
      <c r="F912" s="17"/>
      <c r="G912" s="142"/>
      <c r="H912" s="69"/>
      <c r="I912" s="69"/>
    </row>
    <row r="913" spans="1:9" ht="12" customHeight="1">
      <c r="A913" s="17">
        <f>Start.listina!AH622</f>
        <v>0</v>
      </c>
      <c r="B913" s="17">
        <f>Start.listina!I622</f>
        <v>0</v>
      </c>
      <c r="C913" s="141">
        <f>Start.listina!J622</f>
        <v>0</v>
      </c>
      <c r="D913" s="17">
        <f>Start.listina!K622</f>
        <v>0</v>
      </c>
      <c r="E913" s="17">
        <f>Start.listina!L622</f>
        <v>0</v>
      </c>
      <c r="F913" s="17"/>
      <c r="G913" s="142" t="str">
        <f>IF(N(A913)&gt;0,VLOOKUP(A913,Body!$A$4:$F$259,5,0),"")</f>
        <v/>
      </c>
      <c r="H913" s="69" t="str">
        <f>IF(N(A913)&gt;0,VLOOKUP(A913,Body!$A$4:$F$259,6,0),"")</f>
        <v/>
      </c>
      <c r="I913" s="69" t="str">
        <f>IF(N(A913)&gt;0,VLOOKUP(A913,Body!$A$4:$F$259,2,0),"")</f>
        <v/>
      </c>
    </row>
    <row r="914" spans="1:9" ht="12" customHeight="1">
      <c r="A914" s="17"/>
      <c r="B914" s="17">
        <f>Start.listina!O622</f>
        <v>0</v>
      </c>
      <c r="C914" s="17">
        <f>Start.listina!P622</f>
        <v>0</v>
      </c>
      <c r="D914" s="17">
        <f>Start.listina!Q622</f>
        <v>0</v>
      </c>
      <c r="E914" s="17">
        <f>Start.listina!R622</f>
        <v>0</v>
      </c>
      <c r="F914" s="17"/>
      <c r="G914" s="142"/>
      <c r="H914" s="69"/>
      <c r="I914" s="69"/>
    </row>
    <row r="915" spans="1:9" ht="12" customHeight="1">
      <c r="A915" s="17"/>
      <c r="B915" s="17">
        <f>Start.listina!U622</f>
        <v>0</v>
      </c>
      <c r="C915" s="17">
        <f>Start.listina!V622</f>
        <v>0</v>
      </c>
      <c r="D915" s="17">
        <f>Start.listina!W622</f>
        <v>0</v>
      </c>
      <c r="E915" s="17">
        <f>Start.listina!X622</f>
        <v>0</v>
      </c>
      <c r="F915" s="17"/>
      <c r="G915" s="142"/>
      <c r="H915" s="69"/>
      <c r="I915" s="69"/>
    </row>
    <row r="916" spans="1:9" ht="12" customHeight="1">
      <c r="A916" s="17"/>
      <c r="B916" s="17">
        <f>Start.listina!AA622</f>
        <v>0</v>
      </c>
      <c r="C916" s="17">
        <f>Start.listina!AB622</f>
        <v>0</v>
      </c>
      <c r="D916" s="17">
        <f>Start.listina!AC622</f>
        <v>0</v>
      </c>
      <c r="E916" s="17">
        <f>Start.listina!AD622</f>
        <v>0</v>
      </c>
      <c r="F916" s="17"/>
      <c r="G916" s="142"/>
      <c r="H916" s="69"/>
      <c r="I916" s="69"/>
    </row>
    <row r="917" spans="1:9" ht="12" customHeight="1">
      <c r="A917" s="17">
        <f>Start.listina!AH623</f>
        <v>0</v>
      </c>
      <c r="B917" s="17">
        <f>Start.listina!I623</f>
        <v>0</v>
      </c>
      <c r="C917" s="141">
        <f>Start.listina!J623</f>
        <v>0</v>
      </c>
      <c r="D917" s="17">
        <f>Start.listina!K623</f>
        <v>0</v>
      </c>
      <c r="E917" s="17">
        <f>Start.listina!L623</f>
        <v>0</v>
      </c>
      <c r="F917" s="17"/>
      <c r="G917" s="142" t="str">
        <f>IF(N(A917)&gt;0,VLOOKUP(A917,Body!$A$4:$F$259,5,0),"")</f>
        <v/>
      </c>
      <c r="H917" s="69" t="str">
        <f>IF(N(A917)&gt;0,VLOOKUP(A917,Body!$A$4:$F$259,6,0),"")</f>
        <v/>
      </c>
      <c r="I917" s="69" t="str">
        <f>IF(N(A917)&gt;0,VLOOKUP(A917,Body!$A$4:$F$259,2,0),"")</f>
        <v/>
      </c>
    </row>
    <row r="918" spans="1:9" ht="12" customHeight="1">
      <c r="A918" s="17"/>
      <c r="B918" s="17">
        <f>Start.listina!O623</f>
        <v>0</v>
      </c>
      <c r="C918" s="17">
        <f>Start.listina!P623</f>
        <v>0</v>
      </c>
      <c r="D918" s="17">
        <f>Start.listina!Q623</f>
        <v>0</v>
      </c>
      <c r="E918" s="17">
        <f>Start.listina!R623</f>
        <v>0</v>
      </c>
      <c r="F918" s="17"/>
      <c r="G918" s="142"/>
      <c r="H918" s="69"/>
      <c r="I918" s="69"/>
    </row>
    <row r="919" spans="1:9" ht="12" customHeight="1">
      <c r="A919" s="17"/>
      <c r="B919" s="17">
        <f>Start.listina!U623</f>
        <v>0</v>
      </c>
      <c r="C919" s="17">
        <f>Start.listina!V623</f>
        <v>0</v>
      </c>
      <c r="D919" s="17">
        <f>Start.listina!W623</f>
        <v>0</v>
      </c>
      <c r="E919" s="17">
        <f>Start.listina!X623</f>
        <v>0</v>
      </c>
      <c r="F919" s="17"/>
      <c r="G919" s="142"/>
      <c r="H919" s="69"/>
      <c r="I919" s="69"/>
    </row>
    <row r="920" spans="1:9" ht="12" customHeight="1">
      <c r="A920" s="17"/>
      <c r="B920" s="17">
        <f>Start.listina!AA623</f>
        <v>0</v>
      </c>
      <c r="C920" s="17">
        <f>Start.listina!AB623</f>
        <v>0</v>
      </c>
      <c r="D920" s="17">
        <f>Start.listina!AC623</f>
        <v>0</v>
      </c>
      <c r="E920" s="17">
        <f>Start.listina!AD623</f>
        <v>0</v>
      </c>
      <c r="F920" s="17"/>
      <c r="G920" s="142"/>
      <c r="H920" s="69"/>
      <c r="I920" s="69"/>
    </row>
    <row r="921" spans="1:9" ht="12" customHeight="1">
      <c r="A921" s="17">
        <f>Start.listina!AH624</f>
        <v>0</v>
      </c>
      <c r="B921" s="17">
        <f>Start.listina!I624</f>
        <v>0</v>
      </c>
      <c r="C921" s="141">
        <f>Start.listina!J624</f>
        <v>0</v>
      </c>
      <c r="D921" s="17">
        <f>Start.listina!K624</f>
        <v>0</v>
      </c>
      <c r="E921" s="17">
        <f>Start.listina!L624</f>
        <v>0</v>
      </c>
      <c r="F921" s="17"/>
      <c r="G921" s="142" t="str">
        <f>IF(N(A921)&gt;0,VLOOKUP(A921,Body!$A$4:$F$259,5,0),"")</f>
        <v/>
      </c>
      <c r="H921" s="69" t="str">
        <f>IF(N(A921)&gt;0,VLOOKUP(A921,Body!$A$4:$F$259,6,0),"")</f>
        <v/>
      </c>
      <c r="I921" s="69" t="str">
        <f>IF(N(A921)&gt;0,VLOOKUP(A921,Body!$A$4:$F$259,2,0),"")</f>
        <v/>
      </c>
    </row>
    <row r="922" spans="1:9" ht="12" customHeight="1">
      <c r="A922" s="17"/>
      <c r="B922" s="17">
        <f>Start.listina!O624</f>
        <v>0</v>
      </c>
      <c r="C922" s="17">
        <f>Start.listina!P624</f>
        <v>0</v>
      </c>
      <c r="D922" s="17">
        <f>Start.listina!Q624</f>
        <v>0</v>
      </c>
      <c r="E922" s="17">
        <f>Start.listina!R624</f>
        <v>0</v>
      </c>
      <c r="F922" s="17"/>
      <c r="G922" s="142"/>
      <c r="H922" s="69"/>
      <c r="I922" s="69"/>
    </row>
    <row r="923" spans="1:9" ht="12" customHeight="1">
      <c r="A923" s="17"/>
      <c r="B923" s="17">
        <f>Start.listina!U624</f>
        <v>0</v>
      </c>
      <c r="C923" s="17">
        <f>Start.listina!V624</f>
        <v>0</v>
      </c>
      <c r="D923" s="17">
        <f>Start.listina!W624</f>
        <v>0</v>
      </c>
      <c r="E923" s="17">
        <f>Start.listina!X624</f>
        <v>0</v>
      </c>
      <c r="F923" s="17"/>
      <c r="G923" s="142"/>
      <c r="H923" s="69"/>
      <c r="I923" s="69"/>
    </row>
    <row r="924" spans="1:9" ht="12" customHeight="1">
      <c r="A924" s="17"/>
      <c r="B924" s="17">
        <f>Start.listina!AA624</f>
        <v>0</v>
      </c>
      <c r="C924" s="17">
        <f>Start.listina!AB624</f>
        <v>0</v>
      </c>
      <c r="D924" s="17">
        <f>Start.listina!AC624</f>
        <v>0</v>
      </c>
      <c r="E924" s="17">
        <f>Start.listina!AD624</f>
        <v>0</v>
      </c>
      <c r="F924" s="17"/>
      <c r="G924" s="142"/>
      <c r="H924" s="69"/>
      <c r="I924" s="69"/>
    </row>
    <row r="925" spans="1:9" ht="12" customHeight="1">
      <c r="A925" s="17">
        <f>Start.listina!AH625</f>
        <v>0</v>
      </c>
      <c r="B925" s="17">
        <f>Start.listina!I625</f>
        <v>0</v>
      </c>
      <c r="C925" s="141">
        <f>Start.listina!J625</f>
        <v>0</v>
      </c>
      <c r="D925" s="17">
        <f>Start.listina!K625</f>
        <v>0</v>
      </c>
      <c r="E925" s="17">
        <f>Start.listina!L625</f>
        <v>0</v>
      </c>
      <c r="F925" s="17"/>
      <c r="G925" s="142" t="str">
        <f>IF(N(A925)&gt;0,VLOOKUP(A925,Body!$A$4:$F$259,5,0),"")</f>
        <v/>
      </c>
      <c r="H925" s="69" t="str">
        <f>IF(N(A925)&gt;0,VLOOKUP(A925,Body!$A$4:$F$259,6,0),"")</f>
        <v/>
      </c>
      <c r="I925" s="69" t="str">
        <f>IF(N(A925)&gt;0,VLOOKUP(A925,Body!$A$4:$F$259,2,0),"")</f>
        <v/>
      </c>
    </row>
    <row r="926" spans="1:9" ht="12" customHeight="1">
      <c r="A926" s="17"/>
      <c r="B926" s="17">
        <f>Start.listina!O625</f>
        <v>0</v>
      </c>
      <c r="C926" s="17">
        <f>Start.listina!P625</f>
        <v>0</v>
      </c>
      <c r="D926" s="17">
        <f>Start.listina!Q625</f>
        <v>0</v>
      </c>
      <c r="E926" s="17">
        <f>Start.listina!R625</f>
        <v>0</v>
      </c>
      <c r="F926" s="17"/>
      <c r="G926" s="142"/>
      <c r="H926" s="69"/>
      <c r="I926" s="69"/>
    </row>
    <row r="927" spans="1:9" ht="12" customHeight="1">
      <c r="A927" s="17"/>
      <c r="B927" s="17">
        <f>Start.listina!U625</f>
        <v>0</v>
      </c>
      <c r="C927" s="17">
        <f>Start.listina!V625</f>
        <v>0</v>
      </c>
      <c r="D927" s="17">
        <f>Start.listina!W625</f>
        <v>0</v>
      </c>
      <c r="E927" s="17">
        <f>Start.listina!X625</f>
        <v>0</v>
      </c>
      <c r="F927" s="17"/>
      <c r="G927" s="142"/>
      <c r="H927" s="69"/>
      <c r="I927" s="69"/>
    </row>
    <row r="928" spans="1:9" ht="12" customHeight="1">
      <c r="A928" s="17"/>
      <c r="B928" s="17">
        <f>Start.listina!AA625</f>
        <v>0</v>
      </c>
      <c r="C928" s="17">
        <f>Start.listina!AB625</f>
        <v>0</v>
      </c>
      <c r="D928" s="17">
        <f>Start.listina!AC625</f>
        <v>0</v>
      </c>
      <c r="E928" s="17">
        <f>Start.listina!AD625</f>
        <v>0</v>
      </c>
      <c r="F928" s="17"/>
      <c r="G928" s="142"/>
      <c r="H928" s="69"/>
      <c r="I928" s="69"/>
    </row>
    <row r="929" spans="1:9" ht="12" customHeight="1">
      <c r="A929" s="17">
        <f>Start.listina!AH626</f>
        <v>0</v>
      </c>
      <c r="B929" s="17">
        <f>Start.listina!I626</f>
        <v>0</v>
      </c>
      <c r="C929" s="141">
        <f>Start.listina!J626</f>
        <v>0</v>
      </c>
      <c r="D929" s="17">
        <f>Start.listina!K626</f>
        <v>0</v>
      </c>
      <c r="E929" s="17">
        <f>Start.listina!L626</f>
        <v>0</v>
      </c>
      <c r="F929" s="17"/>
      <c r="G929" s="142" t="str">
        <f>IF(N(A929)&gt;0,VLOOKUP(A929,Body!$A$4:$F$259,5,0),"")</f>
        <v/>
      </c>
      <c r="H929" s="69" t="str">
        <f>IF(N(A929)&gt;0,VLOOKUP(A929,Body!$A$4:$F$259,6,0),"")</f>
        <v/>
      </c>
      <c r="I929" s="69" t="str">
        <f>IF(N(A929)&gt;0,VLOOKUP(A929,Body!$A$4:$F$259,2,0),"")</f>
        <v/>
      </c>
    </row>
    <row r="930" spans="1:9" ht="12" customHeight="1">
      <c r="A930" s="17"/>
      <c r="B930" s="17">
        <f>Start.listina!O626</f>
        <v>0</v>
      </c>
      <c r="C930" s="17">
        <f>Start.listina!P626</f>
        <v>0</v>
      </c>
      <c r="D930" s="17">
        <f>Start.listina!Q626</f>
        <v>0</v>
      </c>
      <c r="E930" s="17">
        <f>Start.listina!R626</f>
        <v>0</v>
      </c>
      <c r="F930" s="17"/>
      <c r="G930" s="142"/>
      <c r="H930" s="69"/>
      <c r="I930" s="69"/>
    </row>
    <row r="931" spans="1:9" ht="12" customHeight="1">
      <c r="A931" s="17"/>
      <c r="B931" s="17">
        <f>Start.listina!U626</f>
        <v>0</v>
      </c>
      <c r="C931" s="17">
        <f>Start.listina!V626</f>
        <v>0</v>
      </c>
      <c r="D931" s="17">
        <f>Start.listina!W626</f>
        <v>0</v>
      </c>
      <c r="E931" s="17">
        <f>Start.listina!X626</f>
        <v>0</v>
      </c>
      <c r="F931" s="17"/>
      <c r="G931" s="142"/>
      <c r="H931" s="69"/>
      <c r="I931" s="69"/>
    </row>
    <row r="932" spans="1:9" ht="12" customHeight="1">
      <c r="A932" s="17"/>
      <c r="B932" s="17">
        <f>Start.listina!AA626</f>
        <v>0</v>
      </c>
      <c r="C932" s="17">
        <f>Start.listina!AB626</f>
        <v>0</v>
      </c>
      <c r="D932" s="17">
        <f>Start.listina!AC626</f>
        <v>0</v>
      </c>
      <c r="E932" s="17">
        <f>Start.listina!AD626</f>
        <v>0</v>
      </c>
      <c r="F932" s="17"/>
      <c r="G932" s="142"/>
      <c r="H932" s="69"/>
      <c r="I932" s="69"/>
    </row>
    <row r="933" spans="1:9" ht="12" customHeight="1">
      <c r="A933" s="17">
        <f>Start.listina!AH627</f>
        <v>0</v>
      </c>
      <c r="B933" s="17">
        <f>Start.listina!I627</f>
        <v>0</v>
      </c>
      <c r="C933" s="141">
        <f>Start.listina!J627</f>
        <v>0</v>
      </c>
      <c r="D933" s="17">
        <f>Start.listina!K627</f>
        <v>0</v>
      </c>
      <c r="E933" s="17">
        <f>Start.listina!L627</f>
        <v>0</v>
      </c>
      <c r="F933" s="17"/>
      <c r="G933" s="142" t="str">
        <f>IF(N(A933)&gt;0,VLOOKUP(A933,Body!$A$4:$F$259,5,0),"")</f>
        <v/>
      </c>
      <c r="H933" s="69" t="str">
        <f>IF(N(A933)&gt;0,VLOOKUP(A933,Body!$A$4:$F$259,6,0),"")</f>
        <v/>
      </c>
      <c r="I933" s="69" t="str">
        <f>IF(N(A933)&gt;0,VLOOKUP(A933,Body!$A$4:$F$259,2,0),"")</f>
        <v/>
      </c>
    </row>
    <row r="934" spans="1:9" ht="12" customHeight="1">
      <c r="A934" s="17"/>
      <c r="B934" s="17">
        <f>Start.listina!O627</f>
        <v>0</v>
      </c>
      <c r="C934" s="17">
        <f>Start.listina!P627</f>
        <v>0</v>
      </c>
      <c r="D934" s="17">
        <f>Start.listina!Q627</f>
        <v>0</v>
      </c>
      <c r="E934" s="17">
        <f>Start.listina!R627</f>
        <v>0</v>
      </c>
      <c r="F934" s="17"/>
      <c r="G934" s="142"/>
      <c r="H934" s="69"/>
      <c r="I934" s="69"/>
    </row>
    <row r="935" spans="1:9" ht="12" customHeight="1">
      <c r="A935" s="17"/>
      <c r="B935" s="17">
        <f>Start.listina!U627</f>
        <v>0</v>
      </c>
      <c r="C935" s="17">
        <f>Start.listina!V627</f>
        <v>0</v>
      </c>
      <c r="D935" s="17">
        <f>Start.listina!W627</f>
        <v>0</v>
      </c>
      <c r="E935" s="17">
        <f>Start.listina!X627</f>
        <v>0</v>
      </c>
      <c r="F935" s="17"/>
      <c r="G935" s="142"/>
      <c r="H935" s="69"/>
      <c r="I935" s="69"/>
    </row>
    <row r="936" spans="1:9" ht="12" customHeight="1">
      <c r="A936" s="17"/>
      <c r="B936" s="17">
        <f>Start.listina!AA627</f>
        <v>0</v>
      </c>
      <c r="C936" s="17">
        <f>Start.listina!AB627</f>
        <v>0</v>
      </c>
      <c r="D936" s="17">
        <f>Start.listina!AC627</f>
        <v>0</v>
      </c>
      <c r="E936" s="17">
        <f>Start.listina!AD627</f>
        <v>0</v>
      </c>
      <c r="F936" s="17"/>
      <c r="G936" s="142"/>
      <c r="H936" s="69"/>
      <c r="I936" s="69"/>
    </row>
    <row r="937" spans="1:9" ht="12" customHeight="1">
      <c r="A937" s="17">
        <f>Start.listina!AH628</f>
        <v>0</v>
      </c>
      <c r="B937" s="17">
        <f>Start.listina!I628</f>
        <v>0</v>
      </c>
      <c r="C937" s="141">
        <f>Start.listina!J628</f>
        <v>0</v>
      </c>
      <c r="D937" s="17">
        <f>Start.listina!K628</f>
        <v>0</v>
      </c>
      <c r="E937" s="17">
        <f>Start.listina!L628</f>
        <v>0</v>
      </c>
      <c r="F937" s="17"/>
      <c r="G937" s="142" t="str">
        <f>IF(N(A937)&gt;0,VLOOKUP(A937,Body!$A$4:$F$259,5,0),"")</f>
        <v/>
      </c>
      <c r="H937" s="69" t="str">
        <f>IF(N(A937)&gt;0,VLOOKUP(A937,Body!$A$4:$F$259,6,0),"")</f>
        <v/>
      </c>
      <c r="I937" s="69" t="str">
        <f>IF(N(A937)&gt;0,VLOOKUP(A937,Body!$A$4:$F$259,2,0),"")</f>
        <v/>
      </c>
    </row>
    <row r="938" spans="1:9" ht="12" customHeight="1">
      <c r="A938" s="17"/>
      <c r="B938" s="17">
        <f>Start.listina!O628</f>
        <v>0</v>
      </c>
      <c r="C938" s="17">
        <f>Start.listina!P628</f>
        <v>0</v>
      </c>
      <c r="D938" s="17">
        <f>Start.listina!Q628</f>
        <v>0</v>
      </c>
      <c r="E938" s="17">
        <f>Start.listina!R628</f>
        <v>0</v>
      </c>
      <c r="F938" s="17"/>
      <c r="G938" s="142"/>
      <c r="H938" s="69"/>
      <c r="I938" s="69"/>
    </row>
    <row r="939" spans="1:9" ht="12" customHeight="1">
      <c r="A939" s="17"/>
      <c r="B939" s="17">
        <f>Start.listina!U628</f>
        <v>0</v>
      </c>
      <c r="C939" s="17">
        <f>Start.listina!V628</f>
        <v>0</v>
      </c>
      <c r="D939" s="17">
        <f>Start.listina!W628</f>
        <v>0</v>
      </c>
      <c r="E939" s="17">
        <f>Start.listina!X628</f>
        <v>0</v>
      </c>
      <c r="F939" s="17"/>
      <c r="G939" s="142"/>
      <c r="H939" s="69"/>
      <c r="I939" s="69"/>
    </row>
    <row r="940" spans="1:9" ht="12" customHeight="1">
      <c r="A940" s="17"/>
      <c r="B940" s="17">
        <f>Start.listina!AA628</f>
        <v>0</v>
      </c>
      <c r="C940" s="17">
        <f>Start.listina!AB628</f>
        <v>0</v>
      </c>
      <c r="D940" s="17">
        <f>Start.listina!AC628</f>
        <v>0</v>
      </c>
      <c r="E940" s="17">
        <f>Start.listina!AD628</f>
        <v>0</v>
      </c>
      <c r="F940" s="17"/>
      <c r="G940" s="142"/>
      <c r="H940" s="69"/>
      <c r="I940" s="69"/>
    </row>
    <row r="941" spans="1:9" ht="12" customHeight="1">
      <c r="A941" s="17">
        <f>Start.listina!AH629</f>
        <v>0</v>
      </c>
      <c r="B941" s="17">
        <f>Start.listina!I629</f>
        <v>0</v>
      </c>
      <c r="C941" s="141">
        <f>Start.listina!J629</f>
        <v>0</v>
      </c>
      <c r="D941" s="17">
        <f>Start.listina!K629</f>
        <v>0</v>
      </c>
      <c r="E941" s="17">
        <f>Start.listina!L629</f>
        <v>0</v>
      </c>
      <c r="F941" s="17"/>
      <c r="G941" s="142" t="str">
        <f>IF(N(A941)&gt;0,VLOOKUP(A941,Body!$A$4:$F$259,5,0),"")</f>
        <v/>
      </c>
      <c r="H941" s="69" t="str">
        <f>IF(N(A941)&gt;0,VLOOKUP(A941,Body!$A$4:$F$259,6,0),"")</f>
        <v/>
      </c>
      <c r="I941" s="69" t="str">
        <f>IF(N(A941)&gt;0,VLOOKUP(A941,Body!$A$4:$F$259,2,0),"")</f>
        <v/>
      </c>
    </row>
    <row r="942" spans="1:9" ht="12" customHeight="1">
      <c r="A942" s="17"/>
      <c r="B942" s="17">
        <f>Start.listina!O629</f>
        <v>0</v>
      </c>
      <c r="C942" s="17">
        <f>Start.listina!P629</f>
        <v>0</v>
      </c>
      <c r="D942" s="17">
        <f>Start.listina!Q629</f>
        <v>0</v>
      </c>
      <c r="E942" s="17">
        <f>Start.listina!R629</f>
        <v>0</v>
      </c>
      <c r="F942" s="17"/>
      <c r="G942" s="142"/>
      <c r="H942" s="69"/>
      <c r="I942" s="69"/>
    </row>
    <row r="943" spans="1:9" ht="12" customHeight="1">
      <c r="A943" s="17"/>
      <c r="B943" s="17">
        <f>Start.listina!U629</f>
        <v>0</v>
      </c>
      <c r="C943" s="17">
        <f>Start.listina!V629</f>
        <v>0</v>
      </c>
      <c r="D943" s="17">
        <f>Start.listina!W629</f>
        <v>0</v>
      </c>
      <c r="E943" s="17">
        <f>Start.listina!X629</f>
        <v>0</v>
      </c>
      <c r="F943" s="17"/>
      <c r="G943" s="142"/>
      <c r="H943" s="69"/>
      <c r="I943" s="69"/>
    </row>
    <row r="944" spans="1:9" ht="12" customHeight="1">
      <c r="A944" s="17"/>
      <c r="B944" s="17">
        <f>Start.listina!AA629</f>
        <v>0</v>
      </c>
      <c r="C944" s="17">
        <f>Start.listina!AB629</f>
        <v>0</v>
      </c>
      <c r="D944" s="17">
        <f>Start.listina!AC629</f>
        <v>0</v>
      </c>
      <c r="E944" s="17">
        <f>Start.listina!AD629</f>
        <v>0</v>
      </c>
      <c r="F944" s="17"/>
      <c r="G944" s="142"/>
      <c r="H944" s="69"/>
      <c r="I944" s="69"/>
    </row>
    <row r="945" spans="1:9" ht="12" customHeight="1">
      <c r="A945" s="17">
        <f>Start.listina!AH630</f>
        <v>0</v>
      </c>
      <c r="B945" s="17">
        <f>Start.listina!I630</f>
        <v>0</v>
      </c>
      <c r="C945" s="141">
        <f>Start.listina!J630</f>
        <v>0</v>
      </c>
      <c r="D945" s="17">
        <f>Start.listina!K630</f>
        <v>0</v>
      </c>
      <c r="E945" s="17">
        <f>Start.listina!L630</f>
        <v>0</v>
      </c>
      <c r="F945" s="17"/>
      <c r="G945" s="142" t="str">
        <f>IF(N(A945)&gt;0,VLOOKUP(A945,Body!$A$4:$F$259,5,0),"")</f>
        <v/>
      </c>
      <c r="H945" s="69" t="str">
        <f>IF(N(A945)&gt;0,VLOOKUP(A945,Body!$A$4:$F$259,6,0),"")</f>
        <v/>
      </c>
      <c r="I945" s="69" t="str">
        <f>IF(N(A945)&gt;0,VLOOKUP(A945,Body!$A$4:$F$259,2,0),"")</f>
        <v/>
      </c>
    </row>
    <row r="946" spans="1:9" ht="12" customHeight="1">
      <c r="A946" s="17"/>
      <c r="B946" s="17">
        <f>Start.listina!O630</f>
        <v>0</v>
      </c>
      <c r="C946" s="17">
        <f>Start.listina!P630</f>
        <v>0</v>
      </c>
      <c r="D946" s="17">
        <f>Start.listina!Q630</f>
        <v>0</v>
      </c>
      <c r="E946" s="17">
        <f>Start.listina!R630</f>
        <v>0</v>
      </c>
      <c r="F946" s="17"/>
      <c r="G946" s="142"/>
      <c r="H946" s="69"/>
      <c r="I946" s="69"/>
    </row>
    <row r="947" spans="1:9" ht="12" customHeight="1">
      <c r="A947" s="17"/>
      <c r="B947" s="17">
        <f>Start.listina!U630</f>
        <v>0</v>
      </c>
      <c r="C947" s="17">
        <f>Start.listina!V630</f>
        <v>0</v>
      </c>
      <c r="D947" s="17">
        <f>Start.listina!W630</f>
        <v>0</v>
      </c>
      <c r="E947" s="17">
        <f>Start.listina!X630</f>
        <v>0</v>
      </c>
      <c r="F947" s="17"/>
      <c r="G947" s="142"/>
      <c r="H947" s="69"/>
      <c r="I947" s="69"/>
    </row>
    <row r="948" spans="1:9" ht="12" customHeight="1">
      <c r="A948" s="17"/>
      <c r="B948" s="17">
        <f>Start.listina!AA630</f>
        <v>0</v>
      </c>
      <c r="C948" s="17">
        <f>Start.listina!AB630</f>
        <v>0</v>
      </c>
      <c r="D948" s="17">
        <f>Start.listina!AC630</f>
        <v>0</v>
      </c>
      <c r="E948" s="17">
        <f>Start.listina!AD630</f>
        <v>0</v>
      </c>
      <c r="F948" s="17"/>
      <c r="G948" s="142"/>
      <c r="H948" s="69"/>
      <c r="I948" s="69"/>
    </row>
    <row r="949" spans="1:9" ht="12" customHeight="1">
      <c r="A949" s="17">
        <f>Start.listina!AH631</f>
        <v>0</v>
      </c>
      <c r="B949" s="17">
        <f>Start.listina!I631</f>
        <v>0</v>
      </c>
      <c r="C949" s="141">
        <f>Start.listina!J631</f>
        <v>0</v>
      </c>
      <c r="D949" s="17">
        <f>Start.listina!K631</f>
        <v>0</v>
      </c>
      <c r="E949" s="17">
        <f>Start.listina!L631</f>
        <v>0</v>
      </c>
      <c r="F949" s="17"/>
      <c r="G949" s="142" t="str">
        <f>IF(N(A949)&gt;0,VLOOKUP(A949,Body!$A$4:$F$259,5,0),"")</f>
        <v/>
      </c>
      <c r="H949" s="69" t="str">
        <f>IF(N(A949)&gt;0,VLOOKUP(A949,Body!$A$4:$F$259,6,0),"")</f>
        <v/>
      </c>
      <c r="I949" s="69" t="str">
        <f>IF(N(A949)&gt;0,VLOOKUP(A949,Body!$A$4:$F$259,2,0),"")</f>
        <v/>
      </c>
    </row>
    <row r="950" spans="1:9" ht="12" customHeight="1">
      <c r="A950" s="17"/>
      <c r="B950" s="17">
        <f>Start.listina!O631</f>
        <v>0</v>
      </c>
      <c r="C950" s="17">
        <f>Start.listina!P631</f>
        <v>0</v>
      </c>
      <c r="D950" s="17">
        <f>Start.listina!Q631</f>
        <v>0</v>
      </c>
      <c r="E950" s="17">
        <f>Start.listina!R631</f>
        <v>0</v>
      </c>
      <c r="F950" s="17"/>
      <c r="G950" s="142"/>
      <c r="H950" s="69"/>
      <c r="I950" s="69"/>
    </row>
    <row r="951" spans="1:9" ht="12" customHeight="1">
      <c r="A951" s="17"/>
      <c r="B951" s="17">
        <f>Start.listina!U631</f>
        <v>0</v>
      </c>
      <c r="C951" s="17">
        <f>Start.listina!V631</f>
        <v>0</v>
      </c>
      <c r="D951" s="17">
        <f>Start.listina!W631</f>
        <v>0</v>
      </c>
      <c r="E951" s="17">
        <f>Start.listina!X631</f>
        <v>0</v>
      </c>
      <c r="F951" s="17"/>
      <c r="G951" s="142"/>
      <c r="H951" s="69"/>
      <c r="I951" s="69"/>
    </row>
    <row r="952" spans="1:9" ht="12" customHeight="1">
      <c r="A952" s="17"/>
      <c r="B952" s="17">
        <f>Start.listina!AA631</f>
        <v>0</v>
      </c>
      <c r="C952" s="17">
        <f>Start.listina!AB631</f>
        <v>0</v>
      </c>
      <c r="D952" s="17">
        <f>Start.listina!AC631</f>
        <v>0</v>
      </c>
      <c r="E952" s="17">
        <f>Start.listina!AD631</f>
        <v>0</v>
      </c>
      <c r="F952" s="17"/>
      <c r="G952" s="142"/>
      <c r="H952" s="69"/>
      <c r="I952" s="69"/>
    </row>
    <row r="953" spans="1:9" ht="12" customHeight="1">
      <c r="A953" s="17">
        <f>Start.listina!AH632</f>
        <v>0</v>
      </c>
      <c r="B953" s="17">
        <f>Start.listina!I632</f>
        <v>0</v>
      </c>
      <c r="C953" s="141">
        <f>Start.listina!J632</f>
        <v>0</v>
      </c>
      <c r="D953" s="17">
        <f>Start.listina!K632</f>
        <v>0</v>
      </c>
      <c r="E953" s="17">
        <f>Start.listina!L632</f>
        <v>0</v>
      </c>
      <c r="F953" s="17"/>
      <c r="G953" s="142" t="str">
        <f>IF(N(A953)&gt;0,VLOOKUP(A953,Body!$A$4:$F$259,5,0),"")</f>
        <v/>
      </c>
      <c r="H953" s="69" t="str">
        <f>IF(N(A953)&gt;0,VLOOKUP(A953,Body!$A$4:$F$259,6,0),"")</f>
        <v/>
      </c>
      <c r="I953" s="69" t="str">
        <f>IF(N(A953)&gt;0,VLOOKUP(A953,Body!$A$4:$F$259,2,0),"")</f>
        <v/>
      </c>
    </row>
    <row r="954" spans="1:9" ht="12" customHeight="1">
      <c r="A954" s="17"/>
      <c r="B954" s="17">
        <f>Start.listina!O632</f>
        <v>0</v>
      </c>
      <c r="C954" s="17">
        <f>Start.listina!P632</f>
        <v>0</v>
      </c>
      <c r="D954" s="17">
        <f>Start.listina!Q632</f>
        <v>0</v>
      </c>
      <c r="E954" s="17">
        <f>Start.listina!R632</f>
        <v>0</v>
      </c>
      <c r="F954" s="17"/>
      <c r="G954" s="142"/>
      <c r="H954" s="69"/>
      <c r="I954" s="69"/>
    </row>
    <row r="955" spans="1:9" ht="12" customHeight="1">
      <c r="A955" s="17"/>
      <c r="B955" s="17">
        <f>Start.listina!U632</f>
        <v>0</v>
      </c>
      <c r="C955" s="17">
        <f>Start.listina!V632</f>
        <v>0</v>
      </c>
      <c r="D955" s="17">
        <f>Start.listina!W632</f>
        <v>0</v>
      </c>
      <c r="E955" s="17">
        <f>Start.listina!X632</f>
        <v>0</v>
      </c>
      <c r="F955" s="17"/>
      <c r="G955" s="142"/>
      <c r="H955" s="69"/>
      <c r="I955" s="69"/>
    </row>
    <row r="956" spans="1:9" ht="12" customHeight="1">
      <c r="A956" s="17"/>
      <c r="B956" s="17">
        <f>Start.listina!AA632</f>
        <v>0</v>
      </c>
      <c r="C956" s="17">
        <f>Start.listina!AB632</f>
        <v>0</v>
      </c>
      <c r="D956" s="17">
        <f>Start.listina!AC632</f>
        <v>0</v>
      </c>
      <c r="E956" s="17">
        <f>Start.listina!AD632</f>
        <v>0</v>
      </c>
      <c r="F956" s="17"/>
      <c r="G956" s="142"/>
      <c r="H956" s="69"/>
      <c r="I956" s="69"/>
    </row>
    <row r="957" spans="1:9" ht="12" customHeight="1">
      <c r="A957" s="17">
        <f>Start.listina!AH633</f>
        <v>0</v>
      </c>
      <c r="B957" s="17">
        <f>Start.listina!I633</f>
        <v>0</v>
      </c>
      <c r="C957" s="141">
        <f>Start.listina!J633</f>
        <v>0</v>
      </c>
      <c r="D957" s="17">
        <f>Start.listina!K633</f>
        <v>0</v>
      </c>
      <c r="E957" s="17">
        <f>Start.listina!L633</f>
        <v>0</v>
      </c>
      <c r="F957" s="17"/>
      <c r="G957" s="142" t="str">
        <f>IF(N(A957)&gt;0,VLOOKUP(A957,Body!$A$4:$F$259,5,0),"")</f>
        <v/>
      </c>
      <c r="H957" s="69" t="str">
        <f>IF(N(A957)&gt;0,VLOOKUP(A957,Body!$A$4:$F$259,6,0),"")</f>
        <v/>
      </c>
      <c r="I957" s="69" t="str">
        <f>IF(N(A957)&gt;0,VLOOKUP(A957,Body!$A$4:$F$259,2,0),"")</f>
        <v/>
      </c>
    </row>
    <row r="958" spans="1:9" ht="12" customHeight="1">
      <c r="A958" s="17"/>
      <c r="B958" s="17">
        <f>Start.listina!O633</f>
        <v>0</v>
      </c>
      <c r="C958" s="17">
        <f>Start.listina!P633</f>
        <v>0</v>
      </c>
      <c r="D958" s="17">
        <f>Start.listina!Q633</f>
        <v>0</v>
      </c>
      <c r="E958" s="17">
        <f>Start.listina!R633</f>
        <v>0</v>
      </c>
      <c r="F958" s="17"/>
      <c r="G958" s="142"/>
      <c r="H958" s="69"/>
      <c r="I958" s="69"/>
    </row>
    <row r="959" spans="1:9" ht="12" customHeight="1">
      <c r="A959" s="17"/>
      <c r="B959" s="17">
        <f>Start.listina!U633</f>
        <v>0</v>
      </c>
      <c r="C959" s="17">
        <f>Start.listina!V633</f>
        <v>0</v>
      </c>
      <c r="D959" s="17">
        <f>Start.listina!W633</f>
        <v>0</v>
      </c>
      <c r="E959" s="17">
        <f>Start.listina!X633</f>
        <v>0</v>
      </c>
      <c r="F959" s="17"/>
      <c r="G959" s="142"/>
      <c r="H959" s="69"/>
      <c r="I959" s="69"/>
    </row>
    <row r="960" spans="1:9" ht="12" customHeight="1">
      <c r="A960" s="17"/>
      <c r="B960" s="17">
        <f>Start.listina!AA633</f>
        <v>0</v>
      </c>
      <c r="C960" s="17">
        <f>Start.listina!AB633</f>
        <v>0</v>
      </c>
      <c r="D960" s="17">
        <f>Start.listina!AC633</f>
        <v>0</v>
      </c>
      <c r="E960" s="17">
        <f>Start.listina!AD633</f>
        <v>0</v>
      </c>
      <c r="F960" s="17"/>
      <c r="G960" s="142"/>
      <c r="H960" s="69"/>
      <c r="I960" s="69"/>
    </row>
    <row r="961" spans="1:9" ht="12" customHeight="1">
      <c r="A961" s="17">
        <f>Start.listina!AH634</f>
        <v>0</v>
      </c>
      <c r="B961" s="17">
        <f>Start.listina!I634</f>
        <v>0</v>
      </c>
      <c r="C961" s="141">
        <f>Start.listina!J634</f>
        <v>0</v>
      </c>
      <c r="D961" s="17">
        <f>Start.listina!K634</f>
        <v>0</v>
      </c>
      <c r="E961" s="17">
        <f>Start.listina!L634</f>
        <v>0</v>
      </c>
      <c r="F961" s="17"/>
      <c r="G961" s="142" t="str">
        <f>IF(N(A961)&gt;0,VLOOKUP(A961,Body!$A$4:$F$259,5,0),"")</f>
        <v/>
      </c>
      <c r="H961" s="69" t="str">
        <f>IF(N(A961)&gt;0,VLOOKUP(A961,Body!$A$4:$F$259,6,0),"")</f>
        <v/>
      </c>
      <c r="I961" s="69" t="str">
        <f>IF(N(A961)&gt;0,VLOOKUP(A961,Body!$A$4:$F$259,2,0),"")</f>
        <v/>
      </c>
    </row>
    <row r="962" spans="1:9" ht="12" customHeight="1">
      <c r="A962" s="17"/>
      <c r="B962" s="17">
        <f>Start.listina!O634</f>
        <v>0</v>
      </c>
      <c r="C962" s="17">
        <f>Start.listina!P634</f>
        <v>0</v>
      </c>
      <c r="D962" s="17">
        <f>Start.listina!Q634</f>
        <v>0</v>
      </c>
      <c r="E962" s="17">
        <f>Start.listina!R634</f>
        <v>0</v>
      </c>
      <c r="F962" s="17"/>
      <c r="G962" s="142"/>
      <c r="H962" s="69"/>
      <c r="I962" s="69"/>
    </row>
    <row r="963" spans="1:9" ht="12" customHeight="1">
      <c r="A963" s="17"/>
      <c r="B963" s="17">
        <f>Start.listina!U634</f>
        <v>0</v>
      </c>
      <c r="C963" s="17">
        <f>Start.listina!V634</f>
        <v>0</v>
      </c>
      <c r="D963" s="17">
        <f>Start.listina!W634</f>
        <v>0</v>
      </c>
      <c r="E963" s="17">
        <f>Start.listina!X634</f>
        <v>0</v>
      </c>
      <c r="F963" s="17"/>
      <c r="G963" s="142"/>
      <c r="H963" s="69"/>
      <c r="I963" s="69"/>
    </row>
    <row r="964" spans="1:9" ht="12" customHeight="1">
      <c r="A964" s="17"/>
      <c r="B964" s="17">
        <f>Start.listina!AA634</f>
        <v>0</v>
      </c>
      <c r="C964" s="17">
        <f>Start.listina!AB634</f>
        <v>0</v>
      </c>
      <c r="D964" s="17">
        <f>Start.listina!AC634</f>
        <v>0</v>
      </c>
      <c r="E964" s="17">
        <f>Start.listina!AD634</f>
        <v>0</v>
      </c>
      <c r="F964" s="17"/>
      <c r="G964" s="142"/>
      <c r="H964" s="69"/>
      <c r="I964" s="69"/>
    </row>
    <row r="965" spans="1:9" ht="12" customHeight="1">
      <c r="A965" s="17">
        <f>Start.listina!AH635</f>
        <v>0</v>
      </c>
      <c r="B965" s="17">
        <f>Start.listina!I635</f>
        <v>0</v>
      </c>
      <c r="C965" s="141">
        <f>Start.listina!J635</f>
        <v>0</v>
      </c>
      <c r="D965" s="17">
        <f>Start.listina!K635</f>
        <v>0</v>
      </c>
      <c r="E965" s="17">
        <f>Start.listina!L635</f>
        <v>0</v>
      </c>
      <c r="F965" s="17"/>
      <c r="G965" s="142" t="str">
        <f>IF(N(A965)&gt;0,VLOOKUP(A965,Body!$A$4:$F$259,5,0),"")</f>
        <v/>
      </c>
      <c r="H965" s="69" t="str">
        <f>IF(N(A965)&gt;0,VLOOKUP(A965,Body!$A$4:$F$259,6,0),"")</f>
        <v/>
      </c>
      <c r="I965" s="69" t="str">
        <f>IF(N(A965)&gt;0,VLOOKUP(A965,Body!$A$4:$F$259,2,0),"")</f>
        <v/>
      </c>
    </row>
    <row r="966" spans="1:9" ht="12" customHeight="1">
      <c r="A966" s="17"/>
      <c r="B966" s="17">
        <f>Start.listina!O635</f>
        <v>0</v>
      </c>
      <c r="C966" s="17">
        <f>Start.listina!P635</f>
        <v>0</v>
      </c>
      <c r="D966" s="17">
        <f>Start.listina!Q635</f>
        <v>0</v>
      </c>
      <c r="E966" s="17">
        <f>Start.listina!R635</f>
        <v>0</v>
      </c>
      <c r="F966" s="17"/>
      <c r="G966" s="142"/>
      <c r="H966" s="69"/>
      <c r="I966" s="69"/>
    </row>
    <row r="967" spans="1:9" ht="12" customHeight="1">
      <c r="A967" s="17"/>
      <c r="B967" s="17">
        <f>Start.listina!U635</f>
        <v>0</v>
      </c>
      <c r="C967" s="17">
        <f>Start.listina!V635</f>
        <v>0</v>
      </c>
      <c r="D967" s="17">
        <f>Start.listina!W635</f>
        <v>0</v>
      </c>
      <c r="E967" s="17">
        <f>Start.listina!X635</f>
        <v>0</v>
      </c>
      <c r="F967" s="17"/>
      <c r="G967" s="142"/>
      <c r="H967" s="69"/>
      <c r="I967" s="69"/>
    </row>
    <row r="968" spans="1:9" ht="12" customHeight="1">
      <c r="A968" s="17"/>
      <c r="B968" s="17">
        <f>Start.listina!AA635</f>
        <v>0</v>
      </c>
      <c r="C968" s="17">
        <f>Start.listina!AB635</f>
        <v>0</v>
      </c>
      <c r="D968" s="17">
        <f>Start.listina!AC635</f>
        <v>0</v>
      </c>
      <c r="E968" s="17">
        <f>Start.listina!AD635</f>
        <v>0</v>
      </c>
      <c r="F968" s="17"/>
      <c r="G968" s="142"/>
      <c r="H968" s="69"/>
      <c r="I968" s="69"/>
    </row>
    <row r="969" spans="1:9" ht="12" customHeight="1">
      <c r="A969" s="17">
        <f>Start.listina!AH636</f>
        <v>0</v>
      </c>
      <c r="B969" s="17">
        <f>Start.listina!I636</f>
        <v>0</v>
      </c>
      <c r="C969" s="141">
        <f>Start.listina!J636</f>
        <v>0</v>
      </c>
      <c r="D969" s="17">
        <f>Start.listina!K636</f>
        <v>0</v>
      </c>
      <c r="E969" s="17">
        <f>Start.listina!L636</f>
        <v>0</v>
      </c>
      <c r="F969" s="17"/>
      <c r="G969" s="142" t="str">
        <f>IF(N(A969)&gt;0,VLOOKUP(A969,Body!$A$4:$F$259,5,0),"")</f>
        <v/>
      </c>
      <c r="H969" s="69" t="str">
        <f>IF(N(A969)&gt;0,VLOOKUP(A969,Body!$A$4:$F$259,6,0),"")</f>
        <v/>
      </c>
      <c r="I969" s="69" t="str">
        <f>IF(N(A969)&gt;0,VLOOKUP(A969,Body!$A$4:$F$259,2,0),"")</f>
        <v/>
      </c>
    </row>
    <row r="970" spans="1:9" ht="12" customHeight="1">
      <c r="A970" s="17"/>
      <c r="B970" s="17">
        <f>Start.listina!O636</f>
        <v>0</v>
      </c>
      <c r="C970" s="17">
        <f>Start.listina!P636</f>
        <v>0</v>
      </c>
      <c r="D970" s="17">
        <f>Start.listina!Q636</f>
        <v>0</v>
      </c>
      <c r="E970" s="17">
        <f>Start.listina!R636</f>
        <v>0</v>
      </c>
      <c r="F970" s="17"/>
      <c r="G970" s="142"/>
      <c r="H970" s="69"/>
      <c r="I970" s="69"/>
    </row>
    <row r="971" spans="1:9" ht="12" customHeight="1">
      <c r="A971" s="17"/>
      <c r="B971" s="17">
        <f>Start.listina!U636</f>
        <v>0</v>
      </c>
      <c r="C971" s="17">
        <f>Start.listina!V636</f>
        <v>0</v>
      </c>
      <c r="D971" s="17">
        <f>Start.listina!W636</f>
        <v>0</v>
      </c>
      <c r="E971" s="17">
        <f>Start.listina!X636</f>
        <v>0</v>
      </c>
      <c r="F971" s="17"/>
      <c r="G971" s="142"/>
      <c r="H971" s="69"/>
      <c r="I971" s="69"/>
    </row>
    <row r="972" spans="1:9" ht="12" customHeight="1">
      <c r="A972" s="17"/>
      <c r="B972" s="17">
        <f>Start.listina!AA636</f>
        <v>0</v>
      </c>
      <c r="C972" s="17">
        <f>Start.listina!AB636</f>
        <v>0</v>
      </c>
      <c r="D972" s="17">
        <f>Start.listina!AC636</f>
        <v>0</v>
      </c>
      <c r="E972" s="17">
        <f>Start.listina!AD636</f>
        <v>0</v>
      </c>
      <c r="F972" s="17"/>
      <c r="G972" s="142"/>
      <c r="H972" s="69"/>
      <c r="I972" s="69"/>
    </row>
    <row r="973" spans="1:9" ht="12" customHeight="1">
      <c r="A973" s="17">
        <f>Start.listina!AH637</f>
        <v>0</v>
      </c>
      <c r="B973" s="17">
        <f>Start.listina!I637</f>
        <v>0</v>
      </c>
      <c r="C973" s="141">
        <f>Start.listina!J637</f>
        <v>0</v>
      </c>
      <c r="D973" s="17">
        <f>Start.listina!K637</f>
        <v>0</v>
      </c>
      <c r="E973" s="17">
        <f>Start.listina!L637</f>
        <v>0</v>
      </c>
      <c r="F973" s="17"/>
      <c r="G973" s="142" t="str">
        <f>IF(N(A973)&gt;0,VLOOKUP(A973,Body!$A$4:$F$259,5,0),"")</f>
        <v/>
      </c>
      <c r="H973" s="69" t="str">
        <f>IF(N(A973)&gt;0,VLOOKUP(A973,Body!$A$4:$F$259,6,0),"")</f>
        <v/>
      </c>
      <c r="I973" s="69" t="str">
        <f>IF(N(A973)&gt;0,VLOOKUP(A973,Body!$A$4:$F$259,2,0),"")</f>
        <v/>
      </c>
    </row>
    <row r="974" spans="1:9" ht="12" customHeight="1">
      <c r="A974" s="17"/>
      <c r="B974" s="17">
        <f>Start.listina!O637</f>
        <v>0</v>
      </c>
      <c r="C974" s="17">
        <f>Start.listina!P637</f>
        <v>0</v>
      </c>
      <c r="D974" s="17">
        <f>Start.listina!Q637</f>
        <v>0</v>
      </c>
      <c r="E974" s="17">
        <f>Start.listina!R637</f>
        <v>0</v>
      </c>
      <c r="F974" s="17"/>
      <c r="G974" s="142"/>
      <c r="H974" s="69"/>
      <c r="I974" s="69"/>
    </row>
    <row r="975" spans="1:9" ht="12" customHeight="1">
      <c r="A975" s="17"/>
      <c r="B975" s="17">
        <f>Start.listina!U637</f>
        <v>0</v>
      </c>
      <c r="C975" s="17">
        <f>Start.listina!V637</f>
        <v>0</v>
      </c>
      <c r="D975" s="17">
        <f>Start.listina!W637</f>
        <v>0</v>
      </c>
      <c r="E975" s="17">
        <f>Start.listina!X637</f>
        <v>0</v>
      </c>
      <c r="F975" s="17"/>
      <c r="G975" s="142"/>
      <c r="H975" s="69"/>
      <c r="I975" s="69"/>
    </row>
    <row r="976" spans="1:9" ht="12" customHeight="1">
      <c r="A976" s="17"/>
      <c r="B976" s="17">
        <f>Start.listina!AA637</f>
        <v>0</v>
      </c>
      <c r="C976" s="17">
        <f>Start.listina!AB637</f>
        <v>0</v>
      </c>
      <c r="D976" s="17">
        <f>Start.listina!AC637</f>
        <v>0</v>
      </c>
      <c r="E976" s="17">
        <f>Start.listina!AD637</f>
        <v>0</v>
      </c>
      <c r="F976" s="17"/>
      <c r="G976" s="142"/>
      <c r="H976" s="69"/>
      <c r="I976" s="69"/>
    </row>
    <row r="977" spans="1:9" ht="12" customHeight="1">
      <c r="A977" s="17">
        <f>Start.listina!AH638</f>
        <v>0</v>
      </c>
      <c r="B977" s="17">
        <f>Start.listina!I638</f>
        <v>0</v>
      </c>
      <c r="C977" s="141">
        <f>Start.listina!J638</f>
        <v>0</v>
      </c>
      <c r="D977" s="17">
        <f>Start.listina!K638</f>
        <v>0</v>
      </c>
      <c r="E977" s="17">
        <f>Start.listina!L638</f>
        <v>0</v>
      </c>
      <c r="F977" s="17"/>
      <c r="G977" s="142" t="str">
        <f>IF(N(A977)&gt;0,VLOOKUP(A977,Body!$A$4:$F$259,5,0),"")</f>
        <v/>
      </c>
      <c r="H977" s="69" t="str">
        <f>IF(N(A977)&gt;0,VLOOKUP(A977,Body!$A$4:$F$259,6,0),"")</f>
        <v/>
      </c>
      <c r="I977" s="69" t="str">
        <f>IF(N(A977)&gt;0,VLOOKUP(A977,Body!$A$4:$F$259,2,0),"")</f>
        <v/>
      </c>
    </row>
    <row r="978" spans="1:9" ht="12" customHeight="1">
      <c r="A978" s="17"/>
      <c r="B978" s="17">
        <f>Start.listina!O638</f>
        <v>0</v>
      </c>
      <c r="C978" s="17">
        <f>Start.listina!P638</f>
        <v>0</v>
      </c>
      <c r="D978" s="17">
        <f>Start.listina!Q638</f>
        <v>0</v>
      </c>
      <c r="E978" s="17">
        <f>Start.listina!R638</f>
        <v>0</v>
      </c>
      <c r="F978" s="17"/>
      <c r="G978" s="142"/>
      <c r="H978" s="69"/>
      <c r="I978" s="69"/>
    </row>
    <row r="979" spans="1:9" ht="12" customHeight="1">
      <c r="A979" s="17"/>
      <c r="B979" s="17">
        <f>Start.listina!U638</f>
        <v>0</v>
      </c>
      <c r="C979" s="17">
        <f>Start.listina!V638</f>
        <v>0</v>
      </c>
      <c r="D979" s="17">
        <f>Start.listina!W638</f>
        <v>0</v>
      </c>
      <c r="E979" s="17">
        <f>Start.listina!X638</f>
        <v>0</v>
      </c>
      <c r="F979" s="17"/>
      <c r="G979" s="142"/>
      <c r="H979" s="69"/>
      <c r="I979" s="69"/>
    </row>
    <row r="980" spans="1:9" ht="12" customHeight="1">
      <c r="A980" s="17"/>
      <c r="B980" s="17">
        <f>Start.listina!AA638</f>
        <v>0</v>
      </c>
      <c r="C980" s="17">
        <f>Start.listina!AB638</f>
        <v>0</v>
      </c>
      <c r="D980" s="17">
        <f>Start.listina!AC638</f>
        <v>0</v>
      </c>
      <c r="E980" s="17">
        <f>Start.listina!AD638</f>
        <v>0</v>
      </c>
      <c r="F980" s="17"/>
      <c r="G980" s="142"/>
      <c r="H980" s="69"/>
      <c r="I980" s="69"/>
    </row>
    <row r="981" spans="1:9" ht="12" customHeight="1">
      <c r="A981" s="17">
        <f>Start.listina!AH639</f>
        <v>0</v>
      </c>
      <c r="B981" s="17">
        <f>Start.listina!I639</f>
        <v>0</v>
      </c>
      <c r="C981" s="141">
        <f>Start.listina!J639</f>
        <v>0</v>
      </c>
      <c r="D981" s="17">
        <f>Start.listina!K639</f>
        <v>0</v>
      </c>
      <c r="E981" s="17">
        <f>Start.listina!L639</f>
        <v>0</v>
      </c>
      <c r="F981" s="17"/>
      <c r="G981" s="142" t="str">
        <f>IF(N(A981)&gt;0,VLOOKUP(A981,Body!$A$4:$F$259,5,0),"")</f>
        <v/>
      </c>
      <c r="H981" s="69" t="str">
        <f>IF(N(A981)&gt;0,VLOOKUP(A981,Body!$A$4:$F$259,6,0),"")</f>
        <v/>
      </c>
      <c r="I981" s="69" t="str">
        <f>IF(N(A981)&gt;0,VLOOKUP(A981,Body!$A$4:$F$259,2,0),"")</f>
        <v/>
      </c>
    </row>
    <row r="982" spans="1:9" ht="12" customHeight="1">
      <c r="A982" s="17"/>
      <c r="B982" s="17">
        <f>Start.listina!O639</f>
        <v>0</v>
      </c>
      <c r="C982" s="17">
        <f>Start.listina!P639</f>
        <v>0</v>
      </c>
      <c r="D982" s="17">
        <f>Start.listina!Q639</f>
        <v>0</v>
      </c>
      <c r="E982" s="17">
        <f>Start.listina!R639</f>
        <v>0</v>
      </c>
      <c r="F982" s="17"/>
      <c r="G982" s="142"/>
      <c r="H982" s="69"/>
      <c r="I982" s="69"/>
    </row>
    <row r="983" spans="1:9" ht="12" customHeight="1">
      <c r="A983" s="17"/>
      <c r="B983" s="17">
        <f>Start.listina!U639</f>
        <v>0</v>
      </c>
      <c r="C983" s="17">
        <f>Start.listina!V639</f>
        <v>0</v>
      </c>
      <c r="D983" s="17">
        <f>Start.listina!W639</f>
        <v>0</v>
      </c>
      <c r="E983" s="17">
        <f>Start.listina!X639</f>
        <v>0</v>
      </c>
      <c r="F983" s="17"/>
      <c r="G983" s="142"/>
      <c r="H983" s="69"/>
      <c r="I983" s="69"/>
    </row>
    <row r="984" spans="1:9" ht="12" customHeight="1">
      <c r="A984" s="17"/>
      <c r="B984" s="17">
        <f>Start.listina!AA639</f>
        <v>0</v>
      </c>
      <c r="C984" s="17">
        <f>Start.listina!AB639</f>
        <v>0</v>
      </c>
      <c r="D984" s="17">
        <f>Start.listina!AC639</f>
        <v>0</v>
      </c>
      <c r="E984" s="17">
        <f>Start.listina!AD639</f>
        <v>0</v>
      </c>
      <c r="F984" s="17"/>
      <c r="G984" s="142"/>
      <c r="H984" s="69"/>
      <c r="I984" s="69"/>
    </row>
    <row r="985" spans="1:9" ht="12" customHeight="1">
      <c r="A985" s="17">
        <f>Start.listina!AH640</f>
        <v>0</v>
      </c>
      <c r="B985" s="17">
        <f>Start.listina!I640</f>
        <v>0</v>
      </c>
      <c r="C985" s="141">
        <f>Start.listina!J640</f>
        <v>0</v>
      </c>
      <c r="D985" s="17">
        <f>Start.listina!K640</f>
        <v>0</v>
      </c>
      <c r="E985" s="17">
        <f>Start.listina!L640</f>
        <v>0</v>
      </c>
      <c r="F985" s="17"/>
      <c r="G985" s="142" t="str">
        <f>IF(N(A985)&gt;0,VLOOKUP(A985,Body!$A$4:$F$259,5,0),"")</f>
        <v/>
      </c>
      <c r="H985" s="69" t="str">
        <f>IF(N(A985)&gt;0,VLOOKUP(A985,Body!$A$4:$F$259,6,0),"")</f>
        <v/>
      </c>
      <c r="I985" s="69" t="str">
        <f>IF(N(A985)&gt;0,VLOOKUP(A985,Body!$A$4:$F$259,2,0),"")</f>
        <v/>
      </c>
    </row>
    <row r="986" spans="1:9" ht="12" customHeight="1">
      <c r="A986" s="17"/>
      <c r="B986" s="17">
        <f>Start.listina!O640</f>
        <v>0</v>
      </c>
      <c r="C986" s="17">
        <f>Start.listina!P640</f>
        <v>0</v>
      </c>
      <c r="D986" s="17">
        <f>Start.listina!Q640</f>
        <v>0</v>
      </c>
      <c r="E986" s="17">
        <f>Start.listina!R640</f>
        <v>0</v>
      </c>
      <c r="F986" s="17"/>
      <c r="G986" s="142"/>
      <c r="H986" s="69"/>
      <c r="I986" s="69"/>
    </row>
    <row r="987" spans="1:9" ht="12" customHeight="1">
      <c r="A987" s="17"/>
      <c r="B987" s="17">
        <f>Start.listina!U640</f>
        <v>0</v>
      </c>
      <c r="C987" s="17">
        <f>Start.listina!V640</f>
        <v>0</v>
      </c>
      <c r="D987" s="17">
        <f>Start.listina!W640</f>
        <v>0</v>
      </c>
      <c r="E987" s="17">
        <f>Start.listina!X640</f>
        <v>0</v>
      </c>
      <c r="F987" s="17"/>
      <c r="G987" s="142"/>
      <c r="H987" s="69"/>
      <c r="I987" s="69"/>
    </row>
    <row r="988" spans="1:9" ht="12" customHeight="1">
      <c r="A988" s="17"/>
      <c r="B988" s="17">
        <f>Start.listina!AA640</f>
        <v>0</v>
      </c>
      <c r="C988" s="17">
        <f>Start.listina!AB640</f>
        <v>0</v>
      </c>
      <c r="D988" s="17">
        <f>Start.listina!AC640</f>
        <v>0</v>
      </c>
      <c r="E988" s="17">
        <f>Start.listina!AD640</f>
        <v>0</v>
      </c>
      <c r="F988" s="17"/>
      <c r="G988" s="142"/>
      <c r="H988" s="69"/>
      <c r="I988" s="69"/>
    </row>
    <row r="989" spans="1:9" ht="12" customHeight="1">
      <c r="A989" s="17">
        <f>Start.listina!AH641</f>
        <v>0</v>
      </c>
      <c r="B989" s="17">
        <f>Start.listina!I641</f>
        <v>0</v>
      </c>
      <c r="C989" s="141">
        <f>Start.listina!J641</f>
        <v>0</v>
      </c>
      <c r="D989" s="17">
        <f>Start.listina!K641</f>
        <v>0</v>
      </c>
      <c r="E989" s="17">
        <f>Start.listina!L641</f>
        <v>0</v>
      </c>
      <c r="F989" s="17"/>
      <c r="G989" s="142" t="str">
        <f>IF(N(A989)&gt;0,VLOOKUP(A989,Body!$A$4:$F$259,5,0),"")</f>
        <v/>
      </c>
      <c r="H989" s="69" t="str">
        <f>IF(N(A989)&gt;0,VLOOKUP(A989,Body!$A$4:$F$259,6,0),"")</f>
        <v/>
      </c>
      <c r="I989" s="69" t="str">
        <f>IF(N(A989)&gt;0,VLOOKUP(A989,Body!$A$4:$F$259,2,0),"")</f>
        <v/>
      </c>
    </row>
    <row r="990" spans="1:9" ht="12" customHeight="1">
      <c r="A990" s="17"/>
      <c r="B990" s="17">
        <f>Start.listina!O641</f>
        <v>0</v>
      </c>
      <c r="C990" s="17">
        <f>Start.listina!P641</f>
        <v>0</v>
      </c>
      <c r="D990" s="17">
        <f>Start.listina!Q641</f>
        <v>0</v>
      </c>
      <c r="E990" s="17">
        <f>Start.listina!R641</f>
        <v>0</v>
      </c>
      <c r="F990" s="17"/>
      <c r="G990" s="142"/>
      <c r="H990" s="69"/>
      <c r="I990" s="69"/>
    </row>
    <row r="991" spans="1:9" ht="12" customHeight="1">
      <c r="A991" s="17"/>
      <c r="B991" s="17">
        <f>Start.listina!U641</f>
        <v>0</v>
      </c>
      <c r="C991" s="17">
        <f>Start.listina!V641</f>
        <v>0</v>
      </c>
      <c r="D991" s="17">
        <f>Start.listina!W641</f>
        <v>0</v>
      </c>
      <c r="E991" s="17">
        <f>Start.listina!X641</f>
        <v>0</v>
      </c>
      <c r="F991" s="17"/>
      <c r="G991" s="142"/>
      <c r="H991" s="69"/>
      <c r="I991" s="69"/>
    </row>
    <row r="992" spans="1:9" ht="12" customHeight="1">
      <c r="A992" s="17"/>
      <c r="B992" s="17">
        <f>Start.listina!AA641</f>
        <v>0</v>
      </c>
      <c r="C992" s="17">
        <f>Start.listina!AB641</f>
        <v>0</v>
      </c>
      <c r="D992" s="17">
        <f>Start.listina!AC641</f>
        <v>0</v>
      </c>
      <c r="E992" s="17">
        <f>Start.listina!AD641</f>
        <v>0</v>
      </c>
      <c r="F992" s="17"/>
      <c r="G992" s="142"/>
      <c r="H992" s="69"/>
      <c r="I992" s="69"/>
    </row>
    <row r="993" spans="1:9" ht="12" customHeight="1">
      <c r="A993" s="17">
        <f>Start.listina!AH642</f>
        <v>0</v>
      </c>
      <c r="B993" s="17">
        <f>Start.listina!I642</f>
        <v>0</v>
      </c>
      <c r="C993" s="141">
        <f>Start.listina!J642</f>
        <v>0</v>
      </c>
      <c r="D993" s="17">
        <f>Start.listina!K642</f>
        <v>0</v>
      </c>
      <c r="E993" s="17">
        <f>Start.listina!L642</f>
        <v>0</v>
      </c>
      <c r="F993" s="17"/>
      <c r="G993" s="142" t="str">
        <f>IF(N(A993)&gt;0,VLOOKUP(A993,Body!$A$4:$F$259,5,0),"")</f>
        <v/>
      </c>
      <c r="H993" s="69" t="str">
        <f>IF(N(A993)&gt;0,VLOOKUP(A993,Body!$A$4:$F$259,6,0),"")</f>
        <v/>
      </c>
      <c r="I993" s="69" t="str">
        <f>IF(N(A993)&gt;0,VLOOKUP(A993,Body!$A$4:$F$259,2,0),"")</f>
        <v/>
      </c>
    </row>
    <row r="994" spans="1:9" ht="12" customHeight="1">
      <c r="A994" s="17"/>
      <c r="B994" s="17">
        <f>Start.listina!O642</f>
        <v>0</v>
      </c>
      <c r="C994" s="17">
        <f>Start.listina!P642</f>
        <v>0</v>
      </c>
      <c r="D994" s="17">
        <f>Start.listina!Q642</f>
        <v>0</v>
      </c>
      <c r="E994" s="17">
        <f>Start.listina!R642</f>
        <v>0</v>
      </c>
      <c r="F994" s="17"/>
      <c r="G994" s="142"/>
      <c r="H994" s="69"/>
      <c r="I994" s="69"/>
    </row>
    <row r="995" spans="1:9" ht="12" customHeight="1">
      <c r="A995" s="17"/>
      <c r="B995" s="17">
        <f>Start.listina!U642</f>
        <v>0</v>
      </c>
      <c r="C995" s="17">
        <f>Start.listina!V642</f>
        <v>0</v>
      </c>
      <c r="D995" s="17">
        <f>Start.listina!W642</f>
        <v>0</v>
      </c>
      <c r="E995" s="17">
        <f>Start.listina!X642</f>
        <v>0</v>
      </c>
      <c r="F995" s="17"/>
      <c r="G995" s="142"/>
      <c r="H995" s="69"/>
      <c r="I995" s="69"/>
    </row>
    <row r="996" spans="1:9" ht="12" customHeight="1">
      <c r="A996" s="17"/>
      <c r="B996" s="17">
        <f>Start.listina!AA642</f>
        <v>0</v>
      </c>
      <c r="C996" s="17">
        <f>Start.listina!AB642</f>
        <v>0</v>
      </c>
      <c r="D996" s="17">
        <f>Start.listina!AC642</f>
        <v>0</v>
      </c>
      <c r="E996" s="17">
        <f>Start.listina!AD642</f>
        <v>0</v>
      </c>
      <c r="F996" s="17"/>
      <c r="G996" s="142"/>
      <c r="H996" s="69"/>
      <c r="I996" s="69"/>
    </row>
    <row r="997" spans="1:9" ht="12" customHeight="1">
      <c r="A997" s="17">
        <f>Start.listina!AH643</f>
        <v>0</v>
      </c>
      <c r="B997" s="17">
        <f>Start.listina!I643</f>
        <v>0</v>
      </c>
      <c r="C997" s="141">
        <f>Start.listina!J643</f>
        <v>0</v>
      </c>
      <c r="D997" s="17">
        <f>Start.listina!K643</f>
        <v>0</v>
      </c>
      <c r="E997" s="17">
        <f>Start.listina!L643</f>
        <v>0</v>
      </c>
      <c r="F997" s="17"/>
      <c r="G997" s="142" t="str">
        <f>IF(N(A997)&gt;0,VLOOKUP(A997,Body!$A$4:$F$259,5,0),"")</f>
        <v/>
      </c>
      <c r="H997" s="69" t="str">
        <f>IF(N(A997)&gt;0,VLOOKUP(A997,Body!$A$4:$F$259,6,0),"")</f>
        <v/>
      </c>
      <c r="I997" s="69" t="str">
        <f>IF(N(A997)&gt;0,VLOOKUP(A997,Body!$A$4:$F$259,2,0),"")</f>
        <v/>
      </c>
    </row>
    <row r="998" spans="1:9" ht="12" customHeight="1">
      <c r="A998" s="17"/>
      <c r="B998" s="17">
        <f>Start.listina!O643</f>
        <v>0</v>
      </c>
      <c r="C998" s="17">
        <f>Start.listina!P643</f>
        <v>0</v>
      </c>
      <c r="D998" s="17">
        <f>Start.listina!Q643</f>
        <v>0</v>
      </c>
      <c r="E998" s="17">
        <f>Start.listina!R643</f>
        <v>0</v>
      </c>
      <c r="F998" s="17"/>
      <c r="G998" s="142"/>
      <c r="H998" s="69"/>
      <c r="I998" s="69"/>
    </row>
    <row r="999" spans="1:9" ht="12" customHeight="1">
      <c r="A999" s="17"/>
      <c r="B999" s="17">
        <f>Start.listina!U643</f>
        <v>0</v>
      </c>
      <c r="C999" s="17">
        <f>Start.listina!V643</f>
        <v>0</v>
      </c>
      <c r="D999" s="17">
        <f>Start.listina!W643</f>
        <v>0</v>
      </c>
      <c r="E999" s="17">
        <f>Start.listina!X643</f>
        <v>0</v>
      </c>
      <c r="F999" s="17"/>
      <c r="G999" s="142"/>
      <c r="H999" s="69"/>
      <c r="I999" s="69"/>
    </row>
    <row r="1000" spans="1:9" ht="12" customHeight="1">
      <c r="A1000" s="17"/>
      <c r="B1000" s="17">
        <f>Start.listina!AA643</f>
        <v>0</v>
      </c>
      <c r="C1000" s="17">
        <f>Start.listina!AB643</f>
        <v>0</v>
      </c>
      <c r="D1000" s="17">
        <f>Start.listina!AC643</f>
        <v>0</v>
      </c>
      <c r="E1000" s="17">
        <f>Start.listina!AD643</f>
        <v>0</v>
      </c>
      <c r="F1000" s="17"/>
      <c r="G1000" s="142"/>
      <c r="H1000" s="69"/>
      <c r="I1000" s="69"/>
    </row>
    <row r="1001" spans="1:9" ht="12" customHeight="1">
      <c r="A1001" s="17">
        <f>Start.listina!AH644</f>
        <v>0</v>
      </c>
      <c r="B1001" s="17">
        <f>Start.listina!I644</f>
        <v>0</v>
      </c>
      <c r="C1001" s="141">
        <f>Start.listina!J644</f>
        <v>0</v>
      </c>
      <c r="D1001" s="17">
        <f>Start.listina!K644</f>
        <v>0</v>
      </c>
      <c r="E1001" s="17">
        <f>Start.listina!L644</f>
        <v>0</v>
      </c>
      <c r="F1001" s="17"/>
      <c r="G1001" s="142" t="str">
        <f>IF(N(A1001)&gt;0,VLOOKUP(A1001,Body!$A$4:$F$259,5,0),"")</f>
        <v/>
      </c>
      <c r="H1001" s="69" t="str">
        <f>IF(N(A1001)&gt;0,VLOOKUP(A1001,Body!$A$4:$F$259,6,0),"")</f>
        <v/>
      </c>
      <c r="I1001" s="69" t="str">
        <f>IF(N(A1001)&gt;0,VLOOKUP(A1001,Body!$A$4:$F$259,2,0),"")</f>
        <v/>
      </c>
    </row>
    <row r="1002" spans="1:9" ht="12" customHeight="1">
      <c r="A1002" s="17"/>
      <c r="B1002" s="17">
        <f>Start.listina!O644</f>
        <v>0</v>
      </c>
      <c r="C1002" s="17">
        <f>Start.listina!P644</f>
        <v>0</v>
      </c>
      <c r="D1002" s="17">
        <f>Start.listina!Q644</f>
        <v>0</v>
      </c>
      <c r="E1002" s="17">
        <f>Start.listina!R644</f>
        <v>0</v>
      </c>
      <c r="F1002" s="17"/>
      <c r="G1002" s="142"/>
      <c r="H1002" s="69"/>
      <c r="I1002" s="69"/>
    </row>
    <row r="1003" spans="1:9" ht="12" customHeight="1">
      <c r="A1003" s="17"/>
      <c r="B1003" s="17">
        <f>Start.listina!U644</f>
        <v>0</v>
      </c>
      <c r="C1003" s="17">
        <f>Start.listina!V644</f>
        <v>0</v>
      </c>
      <c r="D1003" s="17">
        <f>Start.listina!W644</f>
        <v>0</v>
      </c>
      <c r="E1003" s="17">
        <f>Start.listina!X644</f>
        <v>0</v>
      </c>
      <c r="F1003" s="17"/>
      <c r="G1003" s="142"/>
      <c r="H1003" s="69"/>
      <c r="I1003" s="69"/>
    </row>
    <row r="1004" spans="1:9" ht="12" customHeight="1">
      <c r="A1004" s="17"/>
      <c r="B1004" s="17">
        <f>Start.listina!AA644</f>
        <v>0</v>
      </c>
      <c r="C1004" s="17">
        <f>Start.listina!AB644</f>
        <v>0</v>
      </c>
      <c r="D1004" s="17">
        <f>Start.listina!AC644</f>
        <v>0</v>
      </c>
      <c r="E1004" s="17">
        <f>Start.listina!AD644</f>
        <v>0</v>
      </c>
      <c r="F1004" s="17"/>
      <c r="G1004" s="142"/>
      <c r="H1004" s="69"/>
      <c r="I1004" s="69"/>
    </row>
    <row r="1005" spans="1:9" ht="12" customHeight="1">
      <c r="A1005" s="17">
        <f>Start.listina!AH645</f>
        <v>0</v>
      </c>
      <c r="B1005" s="17">
        <f>Start.listina!I645</f>
        <v>0</v>
      </c>
      <c r="C1005" s="141">
        <f>Start.listina!J645</f>
        <v>0</v>
      </c>
      <c r="D1005" s="17">
        <f>Start.listina!K645</f>
        <v>0</v>
      </c>
      <c r="E1005" s="17">
        <f>Start.listina!L645</f>
        <v>0</v>
      </c>
      <c r="F1005" s="17"/>
      <c r="G1005" s="142" t="str">
        <f>IF(N(A1005)&gt;0,VLOOKUP(A1005,Body!$A$4:$F$259,5,0),"")</f>
        <v/>
      </c>
      <c r="H1005" s="69" t="str">
        <f>IF(N(A1005)&gt;0,VLOOKUP(A1005,Body!$A$4:$F$259,6,0),"")</f>
        <v/>
      </c>
      <c r="I1005" s="69" t="str">
        <f>IF(N(A1005)&gt;0,VLOOKUP(A1005,Body!$A$4:$F$259,2,0),"")</f>
        <v/>
      </c>
    </row>
    <row r="1006" spans="1:9" ht="12" customHeight="1">
      <c r="A1006" s="17"/>
      <c r="B1006" s="17">
        <f>Start.listina!O645</f>
        <v>0</v>
      </c>
      <c r="C1006" s="17">
        <f>Start.listina!P645</f>
        <v>0</v>
      </c>
      <c r="D1006" s="17">
        <f>Start.listina!Q645</f>
        <v>0</v>
      </c>
      <c r="E1006" s="17">
        <f>Start.listina!R645</f>
        <v>0</v>
      </c>
      <c r="F1006" s="17"/>
      <c r="G1006" s="142"/>
      <c r="H1006" s="69"/>
      <c r="I1006" s="69"/>
    </row>
    <row r="1007" spans="1:9" ht="12" customHeight="1">
      <c r="A1007" s="17"/>
      <c r="B1007" s="17">
        <f>Start.listina!U645</f>
        <v>0</v>
      </c>
      <c r="C1007" s="17">
        <f>Start.listina!V645</f>
        <v>0</v>
      </c>
      <c r="D1007" s="17">
        <f>Start.listina!W645</f>
        <v>0</v>
      </c>
      <c r="E1007" s="17">
        <f>Start.listina!X645</f>
        <v>0</v>
      </c>
      <c r="F1007" s="17"/>
      <c r="G1007" s="142"/>
      <c r="H1007" s="69"/>
      <c r="I1007" s="69"/>
    </row>
    <row r="1008" spans="1:9" ht="12" customHeight="1">
      <c r="A1008" s="17"/>
      <c r="B1008" s="17">
        <f>Start.listina!AA645</f>
        <v>0</v>
      </c>
      <c r="C1008" s="17">
        <f>Start.listina!AB645</f>
        <v>0</v>
      </c>
      <c r="D1008" s="17">
        <f>Start.listina!AC645</f>
        <v>0</v>
      </c>
      <c r="E1008" s="17">
        <f>Start.listina!AD645</f>
        <v>0</v>
      </c>
      <c r="F1008" s="17"/>
      <c r="G1008" s="142"/>
      <c r="H1008" s="69"/>
      <c r="I1008" s="69"/>
    </row>
    <row r="1009" spans="1:9" ht="12" customHeight="1">
      <c r="A1009" s="17">
        <f>Start.listina!AH646</f>
        <v>0</v>
      </c>
      <c r="B1009" s="17">
        <f>Start.listina!I646</f>
        <v>0</v>
      </c>
      <c r="C1009" s="141">
        <f>Start.listina!J646</f>
        <v>0</v>
      </c>
      <c r="D1009" s="17">
        <f>Start.listina!K646</f>
        <v>0</v>
      </c>
      <c r="E1009" s="17">
        <f>Start.listina!L646</f>
        <v>0</v>
      </c>
      <c r="F1009" s="17"/>
      <c r="G1009" s="142" t="str">
        <f>IF(N(A1009)&gt;0,VLOOKUP(A1009,Body!$A$4:$F$259,5,0),"")</f>
        <v/>
      </c>
      <c r="H1009" s="69" t="str">
        <f>IF(N(A1009)&gt;0,VLOOKUP(A1009,Body!$A$4:$F$259,6,0),"")</f>
        <v/>
      </c>
      <c r="I1009" s="69" t="str">
        <f>IF(N(A1009)&gt;0,VLOOKUP(A1009,Body!$A$4:$F$259,2,0),"")</f>
        <v/>
      </c>
    </row>
    <row r="1010" spans="1:9" ht="12" customHeight="1">
      <c r="A1010" s="17"/>
      <c r="B1010" s="17">
        <f>Start.listina!O646</f>
        <v>0</v>
      </c>
      <c r="C1010" s="17">
        <f>Start.listina!P646</f>
        <v>0</v>
      </c>
      <c r="D1010" s="17">
        <f>Start.listina!Q646</f>
        <v>0</v>
      </c>
      <c r="E1010" s="17">
        <f>Start.listina!R646</f>
        <v>0</v>
      </c>
      <c r="F1010" s="17"/>
      <c r="G1010" s="142"/>
      <c r="H1010" s="69"/>
      <c r="I1010" s="69"/>
    </row>
    <row r="1011" spans="1:9" ht="12" customHeight="1">
      <c r="A1011" s="17"/>
      <c r="B1011" s="17">
        <f>Start.listina!U646</f>
        <v>0</v>
      </c>
      <c r="C1011" s="17">
        <f>Start.listina!V646</f>
        <v>0</v>
      </c>
      <c r="D1011" s="17">
        <f>Start.listina!W646</f>
        <v>0</v>
      </c>
      <c r="E1011" s="17">
        <f>Start.listina!X646</f>
        <v>0</v>
      </c>
      <c r="F1011" s="17"/>
      <c r="G1011" s="142"/>
      <c r="H1011" s="69"/>
      <c r="I1011" s="69"/>
    </row>
    <row r="1012" spans="1:9" ht="12" customHeight="1">
      <c r="A1012" s="17"/>
      <c r="B1012" s="17">
        <f>Start.listina!AA646</f>
        <v>0</v>
      </c>
      <c r="C1012" s="17">
        <f>Start.listina!AB646</f>
        <v>0</v>
      </c>
      <c r="D1012" s="17">
        <f>Start.listina!AC646</f>
        <v>0</v>
      </c>
      <c r="E1012" s="17">
        <f>Start.listina!AD646</f>
        <v>0</v>
      </c>
      <c r="F1012" s="17"/>
      <c r="G1012" s="142"/>
      <c r="H1012" s="69"/>
      <c r="I1012" s="69"/>
    </row>
    <row r="1013" spans="1:9" ht="12" customHeight="1">
      <c r="A1013" s="17">
        <f>Start.listina!AH647</f>
        <v>0</v>
      </c>
      <c r="B1013" s="17">
        <f>Start.listina!I647</f>
        <v>0</v>
      </c>
      <c r="C1013" s="141">
        <f>Start.listina!J647</f>
        <v>0</v>
      </c>
      <c r="D1013" s="17">
        <f>Start.listina!K647</f>
        <v>0</v>
      </c>
      <c r="E1013" s="17">
        <f>Start.listina!L647</f>
        <v>0</v>
      </c>
      <c r="F1013" s="17"/>
      <c r="G1013" s="142" t="str">
        <f>IF(N(A1013)&gt;0,VLOOKUP(A1013,Body!$A$4:$F$259,5,0),"")</f>
        <v/>
      </c>
      <c r="H1013" s="69" t="str">
        <f>IF(N(A1013)&gt;0,VLOOKUP(A1013,Body!$A$4:$F$259,6,0),"")</f>
        <v/>
      </c>
      <c r="I1013" s="69" t="str">
        <f>IF(N(A1013)&gt;0,VLOOKUP(A1013,Body!$A$4:$F$259,2,0),"")</f>
        <v/>
      </c>
    </row>
    <row r="1014" spans="1:9" ht="12" customHeight="1">
      <c r="A1014" s="17"/>
      <c r="B1014" s="17">
        <f>Start.listina!O647</f>
        <v>0</v>
      </c>
      <c r="C1014" s="17">
        <f>Start.listina!P647</f>
        <v>0</v>
      </c>
      <c r="D1014" s="17">
        <f>Start.listina!Q647</f>
        <v>0</v>
      </c>
      <c r="E1014" s="17">
        <f>Start.listina!R647</f>
        <v>0</v>
      </c>
      <c r="F1014" s="17"/>
      <c r="G1014" s="142"/>
      <c r="H1014" s="69"/>
      <c r="I1014" s="69"/>
    </row>
    <row r="1015" spans="1:9" ht="12" customHeight="1">
      <c r="A1015" s="17"/>
      <c r="B1015" s="17">
        <f>Start.listina!U647</f>
        <v>0</v>
      </c>
      <c r="C1015" s="17">
        <f>Start.listina!V647</f>
        <v>0</v>
      </c>
      <c r="D1015" s="17">
        <f>Start.listina!W647</f>
        <v>0</v>
      </c>
      <c r="E1015" s="17">
        <f>Start.listina!X647</f>
        <v>0</v>
      </c>
      <c r="F1015" s="17"/>
      <c r="G1015" s="142"/>
      <c r="H1015" s="69"/>
      <c r="I1015" s="69"/>
    </row>
    <row r="1016" spans="1:9" ht="12" customHeight="1">
      <c r="A1016" s="17"/>
      <c r="B1016" s="17">
        <f>Start.listina!AA647</f>
        <v>0</v>
      </c>
      <c r="C1016" s="17">
        <f>Start.listina!AB647</f>
        <v>0</v>
      </c>
      <c r="D1016" s="17">
        <f>Start.listina!AC647</f>
        <v>0</v>
      </c>
      <c r="E1016" s="17">
        <f>Start.listina!AD647</f>
        <v>0</v>
      </c>
      <c r="F1016" s="17"/>
      <c r="G1016" s="142"/>
      <c r="H1016" s="69"/>
      <c r="I1016" s="69"/>
    </row>
    <row r="1017" spans="1:9" ht="12" customHeight="1">
      <c r="A1017" s="17">
        <f>Start.listina!AH648</f>
        <v>0</v>
      </c>
      <c r="B1017" s="17">
        <f>Start.listina!I648</f>
        <v>0</v>
      </c>
      <c r="C1017" s="141">
        <f>Start.listina!J648</f>
        <v>0</v>
      </c>
      <c r="D1017" s="17">
        <f>Start.listina!K648</f>
        <v>0</v>
      </c>
      <c r="E1017" s="17">
        <f>Start.listina!L648</f>
        <v>0</v>
      </c>
      <c r="F1017" s="17"/>
      <c r="G1017" s="142" t="str">
        <f>IF(N(A1017)&gt;0,VLOOKUP(A1017,Body!$A$4:$F$259,5,0),"")</f>
        <v/>
      </c>
      <c r="H1017" s="69" t="str">
        <f>IF(N(A1017)&gt;0,VLOOKUP(A1017,Body!$A$4:$F$259,6,0),"")</f>
        <v/>
      </c>
      <c r="I1017" s="69" t="str">
        <f>IF(N(A1017)&gt;0,VLOOKUP(A1017,Body!$A$4:$F$259,2,0),"")</f>
        <v/>
      </c>
    </row>
    <row r="1018" spans="1:9" ht="12" customHeight="1">
      <c r="A1018" s="17"/>
      <c r="B1018" s="17">
        <f>Start.listina!O648</f>
        <v>0</v>
      </c>
      <c r="C1018" s="17">
        <f>Start.listina!P648</f>
        <v>0</v>
      </c>
      <c r="D1018" s="17">
        <f>Start.listina!Q648</f>
        <v>0</v>
      </c>
      <c r="E1018" s="17">
        <f>Start.listina!R648</f>
        <v>0</v>
      </c>
      <c r="F1018" s="17"/>
      <c r="G1018" s="142"/>
      <c r="H1018" s="69"/>
      <c r="I1018" s="69"/>
    </row>
    <row r="1019" spans="1:9" ht="12" customHeight="1">
      <c r="A1019" s="17"/>
      <c r="B1019" s="17">
        <f>Start.listina!U648</f>
        <v>0</v>
      </c>
      <c r="C1019" s="17">
        <f>Start.listina!V648</f>
        <v>0</v>
      </c>
      <c r="D1019" s="17">
        <f>Start.listina!W648</f>
        <v>0</v>
      </c>
      <c r="E1019" s="17">
        <f>Start.listina!X648</f>
        <v>0</v>
      </c>
      <c r="F1019" s="17"/>
      <c r="G1019" s="142"/>
      <c r="H1019" s="69"/>
      <c r="I1019" s="69"/>
    </row>
    <row r="1020" spans="1:9" ht="12" customHeight="1">
      <c r="A1020" s="17"/>
      <c r="B1020" s="17">
        <f>Start.listina!AA648</f>
        <v>0</v>
      </c>
      <c r="C1020" s="17">
        <f>Start.listina!AB648</f>
        <v>0</v>
      </c>
      <c r="D1020" s="17">
        <f>Start.listina!AC648</f>
        <v>0</v>
      </c>
      <c r="E1020" s="17">
        <f>Start.listina!AD648</f>
        <v>0</v>
      </c>
      <c r="F1020" s="17"/>
      <c r="G1020" s="142"/>
      <c r="H1020" s="69"/>
      <c r="I1020" s="69"/>
    </row>
    <row r="1021" spans="1:9" ht="12" customHeight="1">
      <c r="A1021" s="17">
        <f>Start.listina!AH649</f>
        <v>0</v>
      </c>
      <c r="B1021" s="17">
        <f>Start.listina!I649</f>
        <v>0</v>
      </c>
      <c r="C1021" s="141">
        <f>Start.listina!J649</f>
        <v>0</v>
      </c>
      <c r="D1021" s="17">
        <f>Start.listina!K649</f>
        <v>0</v>
      </c>
      <c r="E1021" s="17">
        <f>Start.listina!L649</f>
        <v>0</v>
      </c>
      <c r="F1021" s="17"/>
      <c r="G1021" s="142" t="str">
        <f>IF(N(A1021)&gt;0,VLOOKUP(A1021,Body!$A$4:$F$259,5,0),"")</f>
        <v/>
      </c>
      <c r="H1021" s="69" t="str">
        <f>IF(N(A1021)&gt;0,VLOOKUP(A1021,Body!$A$4:$F$259,6,0),"")</f>
        <v/>
      </c>
      <c r="I1021" s="69" t="str">
        <f>IF(N(A1021)&gt;0,VLOOKUP(A1021,Body!$A$4:$F$259,2,0),"")</f>
        <v/>
      </c>
    </row>
    <row r="1022" spans="1:9" ht="12" customHeight="1">
      <c r="A1022" s="17"/>
      <c r="B1022" s="17">
        <f>Start.listina!O649</f>
        <v>0</v>
      </c>
      <c r="C1022" s="17">
        <f>Start.listina!P649</f>
        <v>0</v>
      </c>
      <c r="D1022" s="17">
        <f>Start.listina!Q649</f>
        <v>0</v>
      </c>
      <c r="E1022" s="17">
        <f>Start.listina!R649</f>
        <v>0</v>
      </c>
      <c r="F1022" s="17"/>
      <c r="G1022" s="142"/>
      <c r="H1022" s="69"/>
      <c r="I1022" s="69"/>
    </row>
    <row r="1023" spans="1:9" ht="12" customHeight="1">
      <c r="A1023" s="17"/>
      <c r="B1023" s="17">
        <f>Start.listina!U649</f>
        <v>0</v>
      </c>
      <c r="C1023" s="17">
        <f>Start.listina!V649</f>
        <v>0</v>
      </c>
      <c r="D1023" s="17">
        <f>Start.listina!W649</f>
        <v>0</v>
      </c>
      <c r="E1023" s="17">
        <f>Start.listina!X649</f>
        <v>0</v>
      </c>
      <c r="F1023" s="17"/>
      <c r="G1023" s="142"/>
      <c r="H1023" s="69"/>
      <c r="I1023" s="69"/>
    </row>
    <row r="1024" spans="1:9" ht="12" customHeight="1">
      <c r="A1024" s="17"/>
      <c r="B1024" s="17">
        <f>Start.listina!AA649</f>
        <v>0</v>
      </c>
      <c r="C1024" s="17">
        <f>Start.listina!AB649</f>
        <v>0</v>
      </c>
      <c r="D1024" s="17">
        <f>Start.listina!AC649</f>
        <v>0</v>
      </c>
      <c r="E1024" s="17">
        <f>Start.listina!AD649</f>
        <v>0</v>
      </c>
      <c r="F1024" s="17"/>
      <c r="G1024" s="142"/>
      <c r="H1024" s="69"/>
      <c r="I1024" s="69"/>
    </row>
    <row r="1025" spans="1:9" ht="12" customHeight="1">
      <c r="A1025" s="17">
        <f>Start.listina!AH650</f>
        <v>0</v>
      </c>
      <c r="B1025" s="17">
        <f>Start.listina!I650</f>
        <v>0</v>
      </c>
      <c r="C1025" s="141">
        <f>Start.listina!J650</f>
        <v>0</v>
      </c>
      <c r="D1025" s="17">
        <f>Start.listina!K650</f>
        <v>0</v>
      </c>
      <c r="E1025" s="17">
        <f>Start.listina!L650</f>
        <v>0</v>
      </c>
      <c r="F1025" s="17"/>
      <c r="G1025" s="142" t="str">
        <f>IF(N(A1025)&gt;0,VLOOKUP(A1025,Body!$A$4:$F$259,5,0),"")</f>
        <v/>
      </c>
      <c r="H1025" s="69" t="str">
        <f>IF(N(A1025)&gt;0,VLOOKUP(A1025,Body!$A$4:$F$259,6,0),"")</f>
        <v/>
      </c>
      <c r="I1025" s="69" t="str">
        <f>IF(N(A1025)&gt;0,VLOOKUP(A1025,Body!$A$4:$F$259,2,0),"")</f>
        <v/>
      </c>
    </row>
    <row r="1026" spans="1:9" ht="12" customHeight="1">
      <c r="A1026" s="17"/>
      <c r="B1026" s="17">
        <f>Start.listina!O650</f>
        <v>0</v>
      </c>
      <c r="C1026" s="17">
        <f>Start.listina!P650</f>
        <v>0</v>
      </c>
      <c r="D1026" s="17">
        <f>Start.listina!Q650</f>
        <v>0</v>
      </c>
      <c r="E1026" s="17">
        <f>Start.listina!R650</f>
        <v>0</v>
      </c>
      <c r="F1026" s="17"/>
      <c r="G1026" s="142"/>
      <c r="H1026" s="69"/>
      <c r="I1026" s="69"/>
    </row>
    <row r="1027" spans="1:9" ht="12" customHeight="1">
      <c r="A1027" s="17"/>
      <c r="B1027" s="17">
        <f>Start.listina!U650</f>
        <v>0</v>
      </c>
      <c r="C1027" s="17">
        <f>Start.listina!V650</f>
        <v>0</v>
      </c>
      <c r="D1027" s="17">
        <f>Start.listina!W650</f>
        <v>0</v>
      </c>
      <c r="E1027" s="17">
        <f>Start.listina!X650</f>
        <v>0</v>
      </c>
      <c r="F1027" s="17"/>
      <c r="G1027" s="142"/>
      <c r="H1027" s="69"/>
      <c r="I1027" s="69"/>
    </row>
    <row r="1028" spans="1:9" ht="12" customHeight="1">
      <c r="A1028" s="17"/>
      <c r="B1028" s="17">
        <f>Start.listina!AA650</f>
        <v>0</v>
      </c>
      <c r="C1028" s="17">
        <f>Start.listina!AB650</f>
        <v>0</v>
      </c>
      <c r="D1028" s="17">
        <f>Start.listina!AC650</f>
        <v>0</v>
      </c>
      <c r="E1028" s="17">
        <f>Start.listina!AD650</f>
        <v>0</v>
      </c>
      <c r="F1028" s="17"/>
      <c r="G1028" s="142"/>
      <c r="H1028" s="69"/>
      <c r="I1028" s="69"/>
    </row>
  </sheetData>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375" defaultRowHeight="15" customHeight="1"/>
  <cols>
    <col min="1" max="1" width="9.625" customWidth="1"/>
    <col min="2" max="2" width="14.375" customWidth="1"/>
    <col min="3" max="3" width="13.625" customWidth="1"/>
    <col min="4" max="4" width="25.375" customWidth="1"/>
    <col min="5" max="5" width="6.25" customWidth="1"/>
    <col min="6" max="6" width="10.375" customWidth="1"/>
    <col min="7" max="7" width="29.375" customWidth="1"/>
    <col min="8" max="26" width="8" customWidth="1"/>
  </cols>
  <sheetData>
    <row r="1" spans="1:7" ht="29.25" customHeight="1">
      <c r="A1" s="71" t="s">
        <v>1751</v>
      </c>
      <c r="B1" s="72"/>
      <c r="C1" s="72"/>
      <c r="D1" s="148"/>
      <c r="E1" s="69"/>
      <c r="F1" s="149">
        <f>F3/16</f>
        <v>45.671937499999999</v>
      </c>
      <c r="G1" s="69"/>
    </row>
    <row r="2" spans="1:7" ht="33.75" customHeight="1">
      <c r="A2" s="150">
        <f>Start.listina!$K$2</f>
        <v>23014</v>
      </c>
      <c r="B2" s="151" t="str">
        <f>Start.listina!$K$4</f>
        <v>Prestige Litovel</v>
      </c>
      <c r="C2" s="152"/>
      <c r="D2" s="152"/>
      <c r="E2" s="153"/>
      <c r="G2" s="69"/>
    </row>
    <row r="3" spans="1:7" ht="21.75" customHeight="1">
      <c r="A3" s="69"/>
      <c r="B3" s="69"/>
      <c r="C3" s="69"/>
      <c r="D3" s="69"/>
      <c r="E3" s="81" t="s">
        <v>1752</v>
      </c>
      <c r="F3" s="147">
        <f>SUM(F5:F20)</f>
        <v>730.75099999999998</v>
      </c>
      <c r="G3" s="69"/>
    </row>
    <row r="4" spans="1:7" ht="24.75" customHeight="1">
      <c r="A4" s="154" t="s">
        <v>1734</v>
      </c>
      <c r="B4" s="154" t="s">
        <v>1753</v>
      </c>
      <c r="C4" s="154" t="s">
        <v>1738</v>
      </c>
      <c r="D4" s="154" t="s">
        <v>1502</v>
      </c>
      <c r="E4" s="155" t="s">
        <v>1503</v>
      </c>
      <c r="F4" s="155" t="s">
        <v>1737</v>
      </c>
      <c r="G4" s="69"/>
    </row>
    <row r="5" spans="1:7" ht="12" customHeight="1">
      <c r="A5" s="156">
        <f>Start.listina!I12</f>
        <v>11039</v>
      </c>
      <c r="B5" s="157" t="str">
        <f>Start.listina!J12</f>
        <v>Lukáš</v>
      </c>
      <c r="C5" s="156" t="str">
        <f>Start.listina!K12</f>
        <v>Vojtěch</v>
      </c>
      <c r="D5" s="156" t="str">
        <f>Start.listina!L12</f>
        <v>PLUK Jablonec</v>
      </c>
      <c r="E5" s="156">
        <f>Start.listina!M12</f>
        <v>5</v>
      </c>
      <c r="F5" s="158">
        <f>Start.listina!N12</f>
        <v>61.5</v>
      </c>
      <c r="G5" s="69"/>
    </row>
    <row r="6" spans="1:7" ht="12" customHeight="1">
      <c r="A6" s="156">
        <f>Start.listina!O11</f>
        <v>21774</v>
      </c>
      <c r="B6" s="157" t="str">
        <f>Start.listina!P11</f>
        <v>Michálek</v>
      </c>
      <c r="C6" s="156" t="str">
        <f>Start.listina!Q11</f>
        <v>Tomáš</v>
      </c>
      <c r="D6" s="156" t="str">
        <f>Start.listina!R11</f>
        <v>Carreau Brno</v>
      </c>
      <c r="E6" s="156">
        <f>Start.listina!S11</f>
        <v>8</v>
      </c>
      <c r="F6" s="158">
        <f>Start.listina!T11</f>
        <v>57.5</v>
      </c>
      <c r="G6" s="69"/>
    </row>
    <row r="7" spans="1:7" ht="12" customHeight="1">
      <c r="A7" s="156">
        <f>Start.listina!O19</f>
        <v>14075</v>
      </c>
      <c r="B7" s="157" t="str">
        <f>Start.listina!P19</f>
        <v>Froňková</v>
      </c>
      <c r="C7" s="156" t="str">
        <f>Start.listina!Q19</f>
        <v>Kateřina</v>
      </c>
      <c r="D7" s="156" t="str">
        <f>Start.listina!R19</f>
        <v>PC Sokol Lipník</v>
      </c>
      <c r="E7" s="156">
        <f>Start.listina!S19</f>
        <v>9</v>
      </c>
      <c r="F7" s="158">
        <f>Start.listina!T19</f>
        <v>55.5</v>
      </c>
      <c r="G7" s="69"/>
    </row>
    <row r="8" spans="1:7" ht="12" customHeight="1">
      <c r="A8" s="156">
        <f>Start.listina!I11</f>
        <v>99532</v>
      </c>
      <c r="B8" s="157" t="str">
        <f>Start.listina!J11</f>
        <v>Michálek</v>
      </c>
      <c r="C8" s="156" t="str">
        <f>Start.listina!K11</f>
        <v>Ivo</v>
      </c>
      <c r="D8" s="156" t="str">
        <f>Start.listina!L11</f>
        <v>Carreau Brno</v>
      </c>
      <c r="E8" s="156">
        <f>Start.listina!M11</f>
        <v>2</v>
      </c>
      <c r="F8" s="158">
        <f>Start.listina!N11</f>
        <v>55.375</v>
      </c>
      <c r="G8" s="69"/>
    </row>
    <row r="9" spans="1:7" ht="12" customHeight="1">
      <c r="A9" s="156">
        <f>Start.listina!U17</f>
        <v>11046</v>
      </c>
      <c r="B9" s="157" t="str">
        <f>Start.listina!V17</f>
        <v>Faltýnek</v>
      </c>
      <c r="C9" s="156" t="str">
        <f>Start.listina!W17</f>
        <v>David</v>
      </c>
      <c r="D9" s="156" t="str">
        <f>Start.listina!X17</f>
        <v>HRODE KRUMSÍN</v>
      </c>
      <c r="E9" s="156">
        <f>Start.listina!Y17</f>
        <v>19</v>
      </c>
      <c r="F9" s="158">
        <f>Start.listina!Z17</f>
        <v>48.75</v>
      </c>
      <c r="G9" s="69"/>
    </row>
    <row r="10" spans="1:7" ht="12" customHeight="1">
      <c r="A10" s="156">
        <f>Start.listina!I16</f>
        <v>14008</v>
      </c>
      <c r="B10" s="157" t="str">
        <f>Start.listina!J16</f>
        <v>Bačo</v>
      </c>
      <c r="C10" s="156" t="str">
        <f>Start.listina!K16</f>
        <v>David</v>
      </c>
      <c r="D10" s="156" t="str">
        <f>Start.listina!L16</f>
        <v>TOP - ORLOVÁ</v>
      </c>
      <c r="E10" s="156">
        <f>Start.listina!M16</f>
        <v>38</v>
      </c>
      <c r="F10" s="158">
        <f>Start.listina!N16</f>
        <v>45</v>
      </c>
      <c r="G10" s="69"/>
    </row>
    <row r="11" spans="1:7" ht="12" customHeight="1">
      <c r="A11" s="156">
        <f>Start.listina!I32</f>
        <v>20617</v>
      </c>
      <c r="B11" s="157" t="str">
        <f>Start.listina!J32</f>
        <v>Rendla</v>
      </c>
      <c r="C11" s="156" t="str">
        <f>Start.listina!K32</f>
        <v>Jakub</v>
      </c>
      <c r="D11" s="156" t="str">
        <f>Start.listina!L32</f>
        <v>Carreau Brno</v>
      </c>
      <c r="E11" s="156">
        <f>Start.listina!M32</f>
        <v>11</v>
      </c>
      <c r="F11" s="158">
        <f>Start.listina!N32</f>
        <v>43.75</v>
      </c>
      <c r="G11" s="69"/>
    </row>
    <row r="12" spans="1:7" ht="12" customHeight="1">
      <c r="A12" s="156">
        <f>Start.listina!O13</f>
        <v>28004</v>
      </c>
      <c r="B12" s="157" t="str">
        <f>Start.listina!P13</f>
        <v>Tománek</v>
      </c>
      <c r="C12" s="156" t="str">
        <f>Start.listina!Q13</f>
        <v>Petr</v>
      </c>
      <c r="D12" s="156" t="str">
        <f>Start.listina!R13</f>
        <v>SKP Hranice VI-Valšovice</v>
      </c>
      <c r="E12" s="156">
        <f>Start.listina!S13</f>
        <v>28</v>
      </c>
      <c r="F12" s="158">
        <f>Start.listina!T13</f>
        <v>43.625</v>
      </c>
      <c r="G12" s="69"/>
    </row>
    <row r="13" spans="1:7" ht="12" customHeight="1">
      <c r="A13" s="156">
        <f>Start.listina!U12</f>
        <v>21912</v>
      </c>
      <c r="B13" s="157" t="str">
        <f>Start.listina!V12</f>
        <v>Koreš st.</v>
      </c>
      <c r="C13" s="156" t="str">
        <f>Start.listina!W12</f>
        <v>Jiří</v>
      </c>
      <c r="D13" s="156" t="str">
        <f>Start.listina!X12</f>
        <v>HAVAJ CB</v>
      </c>
      <c r="E13" s="156">
        <f>Start.listina!Y12</f>
        <v>13</v>
      </c>
      <c r="F13" s="158">
        <f>Start.listina!Z12</f>
        <v>43.25</v>
      </c>
      <c r="G13" s="69"/>
    </row>
    <row r="14" spans="1:7" ht="12" customHeight="1">
      <c r="A14" s="156">
        <f>Start.listina!U14</f>
        <v>99555</v>
      </c>
      <c r="B14" s="157" t="str">
        <f>Start.listina!V14</f>
        <v>Pírek</v>
      </c>
      <c r="C14" s="156" t="str">
        <f>Start.listina!W14</f>
        <v>Martin</v>
      </c>
      <c r="D14" s="156" t="str">
        <f>Start.listina!X14</f>
        <v>HRODE KRUMSÍN</v>
      </c>
      <c r="E14" s="156">
        <f>Start.listina!Y14</f>
        <v>94</v>
      </c>
      <c r="F14" s="158">
        <f>Start.listina!Z14</f>
        <v>40.5</v>
      </c>
      <c r="G14" s="69"/>
    </row>
    <row r="15" spans="1:7" ht="12" customHeight="1">
      <c r="A15" s="156">
        <f>Start.listina!I15</f>
        <v>29040</v>
      </c>
      <c r="B15" s="157" t="str">
        <f>Start.listina!J15</f>
        <v>Krpec</v>
      </c>
      <c r="C15" s="156" t="str">
        <f>Start.listina!K15</f>
        <v>Miroslav</v>
      </c>
      <c r="D15" s="156" t="str">
        <f>Start.listina!L15</f>
        <v>HRODE KRUMSÍN</v>
      </c>
      <c r="E15" s="156">
        <f>Start.listina!M15</f>
        <v>27</v>
      </c>
      <c r="F15" s="158">
        <f>Start.listina!N15</f>
        <v>40.438000000000002</v>
      </c>
      <c r="G15" s="69"/>
    </row>
    <row r="16" spans="1:7" ht="12" customHeight="1">
      <c r="A16" s="156">
        <f>Start.listina!I13</f>
        <v>27030</v>
      </c>
      <c r="B16" s="157" t="str">
        <f>Start.listina!J13</f>
        <v>Kutá</v>
      </c>
      <c r="C16" s="156" t="str">
        <f>Start.listina!K13</f>
        <v>Miloslava</v>
      </c>
      <c r="D16" s="156" t="str">
        <f>Start.listina!L13</f>
        <v>SKP Hranice VI-Valšovice</v>
      </c>
      <c r="E16" s="156">
        <f>Start.listina!M13</f>
        <v>22</v>
      </c>
      <c r="F16" s="158">
        <f>Start.listina!N13</f>
        <v>40.375</v>
      </c>
      <c r="G16" s="69"/>
    </row>
    <row r="17" spans="1:7" ht="12" customHeight="1">
      <c r="A17" s="156">
        <f>Start.listina!I21</f>
        <v>25055</v>
      </c>
      <c r="B17" s="157" t="str">
        <f>Start.listina!J21</f>
        <v>Jakeš</v>
      </c>
      <c r="C17" s="156" t="str">
        <f>Start.listina!K21</f>
        <v>Zbyněk</v>
      </c>
      <c r="D17" s="156" t="str">
        <f>Start.listina!L21</f>
        <v>SKP Hranice VI-Valšovice</v>
      </c>
      <c r="E17" s="156">
        <f>Start.listina!M21</f>
        <v>24</v>
      </c>
      <c r="F17" s="158">
        <f>Start.listina!N21</f>
        <v>40.25</v>
      </c>
      <c r="G17" s="69"/>
    </row>
    <row r="18" spans="1:7" ht="12" customHeight="1">
      <c r="A18" s="156">
        <f>Start.listina!O18</f>
        <v>15009</v>
      </c>
      <c r="B18" s="157" t="str">
        <f>Start.listina!P18</f>
        <v>Skopal</v>
      </c>
      <c r="C18" s="156" t="str">
        <f>Start.listina!Q18</f>
        <v>Martin</v>
      </c>
      <c r="D18" s="156" t="str">
        <f>Start.listina!R18</f>
        <v>Kulový blesk Olomouc</v>
      </c>
      <c r="E18" s="156">
        <f>Start.listina!S18</f>
        <v>45</v>
      </c>
      <c r="F18" s="158">
        <f>Start.listina!T18</f>
        <v>39.75</v>
      </c>
      <c r="G18" s="69"/>
    </row>
    <row r="19" spans="1:7" ht="12" customHeight="1">
      <c r="A19" s="156">
        <f>Start.listina!I14</f>
        <v>10048</v>
      </c>
      <c r="B19" s="157" t="str">
        <f>Start.listina!J14</f>
        <v>Valík</v>
      </c>
      <c r="C19" s="156" t="str">
        <f>Start.listina!K14</f>
        <v>Václav</v>
      </c>
      <c r="D19" s="156" t="str">
        <f>Start.listina!L14</f>
        <v>PAK Albrechtice</v>
      </c>
      <c r="E19" s="156">
        <f>Start.listina!M14</f>
        <v>134</v>
      </c>
      <c r="F19" s="158">
        <f>Start.listina!N14</f>
        <v>37.688000000000002</v>
      </c>
      <c r="G19" s="69"/>
    </row>
    <row r="20" spans="1:7" ht="12" customHeight="1">
      <c r="A20" s="156">
        <f>Start.listina!U11</f>
        <v>21775</v>
      </c>
      <c r="B20" s="157" t="str">
        <f>Start.listina!V11</f>
        <v>Michálek</v>
      </c>
      <c r="C20" s="156" t="str">
        <f>Start.listina!W11</f>
        <v>Jan</v>
      </c>
      <c r="D20" s="156" t="str">
        <f>Start.listina!X11</f>
        <v>Carreau Brno</v>
      </c>
      <c r="E20" s="156">
        <f>Start.listina!Y11</f>
        <v>20</v>
      </c>
      <c r="F20" s="158">
        <f>Start.listina!Z11</f>
        <v>37.5</v>
      </c>
      <c r="G20" s="69"/>
    </row>
    <row r="21" spans="1:7" ht="12" customHeight="1">
      <c r="A21" s="156">
        <f>Start.listina!U13</f>
        <v>15001</v>
      </c>
      <c r="B21" s="157" t="str">
        <f>Start.listina!V13</f>
        <v>Ulmann</v>
      </c>
      <c r="C21" s="156" t="str">
        <f>Start.listina!W13</f>
        <v>Jiří</v>
      </c>
      <c r="D21" s="156" t="str">
        <f>Start.listina!X13</f>
        <v>TOP - ORLOVÁ</v>
      </c>
      <c r="E21" s="156">
        <f>Start.listina!Y13</f>
        <v>47</v>
      </c>
      <c r="F21" s="158">
        <f>Start.listina!Z13</f>
        <v>37.375</v>
      </c>
      <c r="G21" s="69"/>
    </row>
    <row r="22" spans="1:7" ht="12" customHeight="1">
      <c r="A22" s="156">
        <f>Start.listina!U22</f>
        <v>12037</v>
      </c>
      <c r="B22" s="157" t="str">
        <f>Start.listina!V22</f>
        <v>Krejčínová</v>
      </c>
      <c r="C22" s="156" t="str">
        <f>Start.listina!W22</f>
        <v>Milena</v>
      </c>
      <c r="D22" s="156" t="str">
        <f>Start.listina!X22</f>
        <v>SKP Kulová osma</v>
      </c>
      <c r="E22" s="156">
        <f>Start.listina!Y22</f>
        <v>40</v>
      </c>
      <c r="F22" s="158">
        <f>Start.listina!Z22</f>
        <v>37.125</v>
      </c>
      <c r="G22" s="69"/>
    </row>
    <row r="23" spans="1:7" ht="12" customHeight="1">
      <c r="A23" s="156">
        <f>Start.listina!U20</f>
        <v>99574</v>
      </c>
      <c r="B23" s="157" t="str">
        <f>Start.listina!V20</f>
        <v>Demčíková</v>
      </c>
      <c r="C23" s="156" t="str">
        <f>Start.listina!W20</f>
        <v>Jiřina</v>
      </c>
      <c r="D23" s="156" t="str">
        <f>Start.listina!X20</f>
        <v>SK Sahara Vědomice</v>
      </c>
      <c r="E23" s="156">
        <f>Start.listina!Y20</f>
        <v>32</v>
      </c>
      <c r="F23" s="158">
        <f>Start.listina!Z20</f>
        <v>36.875</v>
      </c>
      <c r="G23" s="69"/>
    </row>
    <row r="24" spans="1:7" ht="12" customHeight="1">
      <c r="A24" s="156">
        <f>Start.listina!O14</f>
        <v>10047</v>
      </c>
      <c r="B24" s="157" t="str">
        <f>Start.listina!P14</f>
        <v>Žiak</v>
      </c>
      <c r="C24" s="156" t="str">
        <f>Start.listina!Q14</f>
        <v>Vojtěch</v>
      </c>
      <c r="D24" s="156" t="str">
        <f>Start.listina!R14</f>
        <v>PAK Albrechtice</v>
      </c>
      <c r="E24" s="156">
        <f>Start.listina!S14</f>
        <v>162</v>
      </c>
      <c r="F24" s="158">
        <f>Start.listina!T14</f>
        <v>36.625</v>
      </c>
      <c r="G24" s="69"/>
    </row>
    <row r="25" spans="1:7" ht="12" customHeight="1">
      <c r="A25" s="156">
        <f>Start.listina!I18</f>
        <v>28006</v>
      </c>
      <c r="B25" s="157" t="str">
        <f>Start.listina!J18</f>
        <v>Grepl</v>
      </c>
      <c r="C25" s="156" t="str">
        <f>Start.listina!K18</f>
        <v>Jiří</v>
      </c>
      <c r="D25" s="156" t="str">
        <f>Start.listina!L18</f>
        <v>Carreau Brno</v>
      </c>
      <c r="E25" s="156">
        <f>Start.listina!M18</f>
        <v>21</v>
      </c>
      <c r="F25" s="158">
        <f>Start.listina!N18</f>
        <v>36.25</v>
      </c>
      <c r="G25" s="69"/>
    </row>
    <row r="26" spans="1:7" ht="12" customHeight="1">
      <c r="A26" s="156">
        <f>Start.listina!U15</f>
        <v>29039</v>
      </c>
      <c r="B26" s="157" t="str">
        <f>Start.listina!V15</f>
        <v>Krpcová</v>
      </c>
      <c r="C26" s="156" t="str">
        <f>Start.listina!W15</f>
        <v>Jana</v>
      </c>
      <c r="D26" s="156" t="str">
        <f>Start.listina!X15</f>
        <v>HRODE KRUMSÍN</v>
      </c>
      <c r="E26" s="156">
        <f>Start.listina!Y15</f>
        <v>54</v>
      </c>
      <c r="F26" s="158">
        <f>Start.listina!Z15</f>
        <v>34.000999999999998</v>
      </c>
      <c r="G26" s="69"/>
    </row>
    <row r="27" spans="1:7" ht="12" customHeight="1">
      <c r="A27" s="156">
        <f>Start.listina!O15</f>
        <v>16105</v>
      </c>
      <c r="B27" s="157" t="str">
        <f>Start.listina!P15</f>
        <v>Krpec</v>
      </c>
      <c r="C27" s="156" t="str">
        <f>Start.listina!Q15</f>
        <v>František</v>
      </c>
      <c r="D27" s="156" t="str">
        <f>Start.listina!R15</f>
        <v>HRODE KRUMSÍN</v>
      </c>
      <c r="E27" s="156">
        <f>Start.listina!S15</f>
        <v>103</v>
      </c>
      <c r="F27" s="158">
        <f>Start.listina!T15</f>
        <v>34</v>
      </c>
      <c r="G27" s="69"/>
    </row>
    <row r="28" spans="1:7" ht="12" customHeight="1">
      <c r="A28" s="156">
        <f>Start.listina!U26</f>
        <v>15008</v>
      </c>
      <c r="B28" s="157" t="str">
        <f>Start.listina!V26</f>
        <v>Skopal</v>
      </c>
      <c r="C28" s="156" t="str">
        <f>Start.listina!W26</f>
        <v>Radek</v>
      </c>
      <c r="D28" s="156" t="str">
        <f>Start.listina!X26</f>
        <v>Kulový blesk Olomouc</v>
      </c>
      <c r="E28" s="156">
        <f>Start.listina!Y26</f>
        <v>95</v>
      </c>
      <c r="F28" s="158">
        <f>Start.listina!Z26</f>
        <v>33.75</v>
      </c>
      <c r="G28" s="69"/>
    </row>
    <row r="29" spans="1:7" ht="12" customHeight="1">
      <c r="A29" s="156">
        <f>Start.listina!U16</f>
        <v>18001</v>
      </c>
      <c r="B29" s="157" t="str">
        <f>Start.listina!V16</f>
        <v>Matuška</v>
      </c>
      <c r="C29" s="156" t="str">
        <f>Start.listina!W16</f>
        <v>Vladimír</v>
      </c>
      <c r="D29" s="156" t="str">
        <f>Start.listina!X16</f>
        <v>Orel Řečkovice</v>
      </c>
      <c r="E29" s="156">
        <f>Start.listina!Y16</f>
        <v>146</v>
      </c>
      <c r="F29" s="158">
        <f>Start.listina!Z16</f>
        <v>33.25</v>
      </c>
      <c r="G29" s="69"/>
    </row>
    <row r="30" spans="1:7" ht="12" customHeight="1">
      <c r="A30" s="156">
        <f>Start.listina!I22</f>
        <v>12038</v>
      </c>
      <c r="B30" s="157" t="str">
        <f>Start.listina!J22</f>
        <v>Krejčín</v>
      </c>
      <c r="C30" s="156" t="str">
        <f>Start.listina!K22</f>
        <v>Leoš</v>
      </c>
      <c r="D30" s="156" t="str">
        <f>Start.listina!L22</f>
        <v>SKP Kulová osma</v>
      </c>
      <c r="E30" s="156">
        <f>Start.listina!M22</f>
        <v>53</v>
      </c>
      <c r="F30" s="158">
        <f>Start.listina!N22</f>
        <v>32.125</v>
      </c>
      <c r="G30" s="69"/>
    </row>
    <row r="31" spans="1:7" ht="12" customHeight="1">
      <c r="A31" s="156">
        <f>Start.listina!O24</f>
        <v>23060</v>
      </c>
      <c r="B31" s="157" t="str">
        <f>Start.listina!P24</f>
        <v>Ševčík</v>
      </c>
      <c r="C31" s="156" t="str">
        <f>Start.listina!Q24</f>
        <v>Jaroslav</v>
      </c>
      <c r="D31" s="156" t="str">
        <f>Start.listina!R24</f>
        <v>PAK Albrechtice</v>
      </c>
      <c r="E31" s="156">
        <f>Start.listina!S24</f>
        <v>123</v>
      </c>
      <c r="F31" s="158">
        <f>Start.listina!T24</f>
        <v>31.375</v>
      </c>
      <c r="G31" s="69"/>
    </row>
    <row r="32" spans="1:7" ht="12" customHeight="1">
      <c r="A32" s="156">
        <f>Start.listina!O20</f>
        <v>99510</v>
      </c>
      <c r="B32" s="157" t="str">
        <f>Start.listina!P20</f>
        <v>Demčík</v>
      </c>
      <c r="C32" s="156" t="str">
        <f>Start.listina!Q20</f>
        <v>Milan</v>
      </c>
      <c r="D32" s="156" t="str">
        <f>Start.listina!R20</f>
        <v>SK Sahara Vědomice</v>
      </c>
      <c r="E32" s="156">
        <f>Start.listina!S20</f>
        <v>48</v>
      </c>
      <c r="F32" s="158">
        <f>Start.listina!T20</f>
        <v>30.812999999999999</v>
      </c>
      <c r="G32" s="69"/>
    </row>
    <row r="33" spans="1:7" ht="12" customHeight="1">
      <c r="A33" s="156">
        <f>Start.listina!O23</f>
        <v>16106</v>
      </c>
      <c r="B33" s="157" t="str">
        <f>Start.listina!P23</f>
        <v>Konšel</v>
      </c>
      <c r="C33" s="156" t="str">
        <f>Start.listina!Q23</f>
        <v>Robin</v>
      </c>
      <c r="D33" s="156" t="str">
        <f>Start.listina!R23</f>
        <v>HRODE KRUMSÍN</v>
      </c>
      <c r="E33" s="156">
        <f>Start.listina!S23</f>
        <v>131</v>
      </c>
      <c r="F33" s="158">
        <f>Start.listina!T23</f>
        <v>29.501000000000001</v>
      </c>
      <c r="G33" s="69"/>
    </row>
    <row r="34" spans="1:7" ht="12" customHeight="1">
      <c r="A34" s="156">
        <f>Start.listina!I53</f>
        <v>21913</v>
      </c>
      <c r="B34" s="157" t="str">
        <f>Start.listina!J53</f>
        <v>Korešová</v>
      </c>
      <c r="C34" s="156" t="str">
        <f>Start.listina!K53</f>
        <v>Alena</v>
      </c>
      <c r="D34" s="156" t="str">
        <f>Start.listina!L53</f>
        <v>HAVAJ CB</v>
      </c>
      <c r="E34" s="156">
        <f>Start.listina!M53</f>
        <v>43</v>
      </c>
      <c r="F34" s="158">
        <f>Start.listina!N53</f>
        <v>29.376000000000001</v>
      </c>
      <c r="G34" s="69"/>
    </row>
    <row r="35" spans="1:7" ht="12" customHeight="1">
      <c r="A35" s="156">
        <f>Start.listina!U24</f>
        <v>17093</v>
      </c>
      <c r="B35" s="157" t="str">
        <f>Start.listina!V24</f>
        <v>Žiak</v>
      </c>
      <c r="C35" s="156" t="str">
        <f>Start.listina!W24</f>
        <v>Radomír</v>
      </c>
      <c r="D35" s="156" t="str">
        <f>Start.listina!X24</f>
        <v>PAK Albrechtice</v>
      </c>
      <c r="E35" s="156">
        <f>Start.listina!Y24</f>
        <v>168</v>
      </c>
      <c r="F35" s="158">
        <f>Start.listina!Z24</f>
        <v>29.25</v>
      </c>
      <c r="G35" s="69"/>
    </row>
    <row r="36" spans="1:7" ht="12" customHeight="1">
      <c r="A36" s="156">
        <f>Start.listina!I25</f>
        <v>26043</v>
      </c>
      <c r="B36" s="157" t="str">
        <f>Start.listina!J25</f>
        <v>Král</v>
      </c>
      <c r="C36" s="156" t="str">
        <f>Start.listina!K25</f>
        <v>Pavel</v>
      </c>
      <c r="D36" s="156" t="str">
        <f>Start.listina!L25</f>
        <v>FENYX Adamov</v>
      </c>
      <c r="E36" s="156">
        <f>Start.listina!M25</f>
        <v>100</v>
      </c>
      <c r="F36" s="158">
        <f>Start.listina!N25</f>
        <v>29.22</v>
      </c>
      <c r="G36" s="69"/>
    </row>
    <row r="37" spans="1:7" ht="12" customHeight="1">
      <c r="A37" s="156">
        <f>Start.listina!I33</f>
        <v>18109</v>
      </c>
      <c r="B37" s="157" t="str">
        <f>Start.listina!J33</f>
        <v>Šternberg</v>
      </c>
      <c r="C37" s="156" t="str">
        <f>Start.listina!K33</f>
        <v>Martin</v>
      </c>
      <c r="D37" s="156" t="str">
        <f>Start.listina!L33</f>
        <v>SPORT Kolín</v>
      </c>
      <c r="E37" s="156">
        <f>Start.listina!M33</f>
        <v>49</v>
      </c>
      <c r="F37" s="158">
        <f>Start.listina!N33</f>
        <v>29.187999999999999</v>
      </c>
      <c r="G37" s="69"/>
    </row>
    <row r="38" spans="1:7" ht="12" customHeight="1">
      <c r="A38" s="156">
        <f>Start.listina!U19</f>
        <v>24235</v>
      </c>
      <c r="B38" s="157" t="str">
        <f>Start.listina!V19</f>
        <v>Michálková</v>
      </c>
      <c r="C38" s="156" t="str">
        <f>Start.listina!W19</f>
        <v>Jana</v>
      </c>
      <c r="D38" s="156" t="str">
        <f>Start.listina!X19</f>
        <v>Kulový blesk Olomouc</v>
      </c>
      <c r="E38" s="156">
        <f>Start.listina!Y19</f>
        <v>115</v>
      </c>
      <c r="F38" s="158">
        <f>Start.listina!Z19</f>
        <v>28.939</v>
      </c>
      <c r="G38" s="69"/>
    </row>
    <row r="39" spans="1:7" ht="12" customHeight="1">
      <c r="A39" s="156">
        <f>Start.listina!O25</f>
        <v>18136</v>
      </c>
      <c r="B39" s="157" t="str">
        <f>Start.listina!P25</f>
        <v>Hanák</v>
      </c>
      <c r="C39" s="156" t="str">
        <f>Start.listina!Q25</f>
        <v>Pavel</v>
      </c>
      <c r="D39" s="156" t="str">
        <f>Start.listina!R25</f>
        <v>Orel Řečkovice</v>
      </c>
      <c r="E39" s="156">
        <f>Start.listina!S25</f>
        <v>158</v>
      </c>
      <c r="F39" s="158">
        <f>Start.listina!T25</f>
        <v>28.751000000000001</v>
      </c>
      <c r="G39" s="69"/>
    </row>
    <row r="40" spans="1:7" ht="12" customHeight="1">
      <c r="A40" s="156">
        <f>Start.listina!O17</f>
        <v>20554</v>
      </c>
      <c r="B40" s="157" t="str">
        <f>Start.listina!P17</f>
        <v>Ptáček</v>
      </c>
      <c r="C40" s="156" t="str">
        <f>Start.listina!Q17</f>
        <v>Luboš</v>
      </c>
      <c r="D40" s="156" t="str">
        <f>Start.listina!R17</f>
        <v>HRODE KRUMSÍN</v>
      </c>
      <c r="E40" s="156">
        <f>Start.listina!S17</f>
        <v>65</v>
      </c>
      <c r="F40" s="158">
        <f>Start.listina!T17</f>
        <v>28.75</v>
      </c>
      <c r="G40" s="69"/>
    </row>
    <row r="41" spans="1:7" ht="12" customHeight="1">
      <c r="A41" s="156">
        <f>Start.listina!O36</f>
        <v>11011</v>
      </c>
      <c r="B41" s="157" t="str">
        <f>Start.listina!P36</f>
        <v>Juráň</v>
      </c>
      <c r="C41" s="156" t="str">
        <f>Start.listina!Q36</f>
        <v>Petr</v>
      </c>
      <c r="D41" s="156" t="str">
        <f>Start.listina!R36</f>
        <v>HRODE KRUMSÍN</v>
      </c>
      <c r="E41" s="156">
        <f>Start.listina!S36</f>
        <v>73</v>
      </c>
      <c r="F41" s="158">
        <f>Start.listina!T36</f>
        <v>28.5</v>
      </c>
      <c r="G41" s="69"/>
    </row>
    <row r="42" spans="1:7" ht="12" customHeight="1">
      <c r="A42" s="156">
        <f>Start.listina!O49</f>
        <v>18060</v>
      </c>
      <c r="B42" s="157" t="str">
        <f>Start.listina!P49</f>
        <v>Kvítek</v>
      </c>
      <c r="C42" s="156" t="str">
        <f>Start.listina!Q49</f>
        <v>Franjo</v>
      </c>
      <c r="D42" s="156" t="str">
        <f>Start.listina!R49</f>
        <v>Orel Řečkovice</v>
      </c>
      <c r="E42" s="156">
        <f>Start.listina!S49</f>
        <v>195</v>
      </c>
      <c r="F42" s="158">
        <f>Start.listina!T49</f>
        <v>28</v>
      </c>
      <c r="G42" s="69"/>
    </row>
    <row r="43" spans="1:7" ht="12" customHeight="1">
      <c r="A43" s="156">
        <f>Start.listina!O21</f>
        <v>25054</v>
      </c>
      <c r="B43" s="157" t="str">
        <f>Start.listina!P21</f>
        <v>Gratcl</v>
      </c>
      <c r="C43" s="156" t="str">
        <f>Start.listina!Q21</f>
        <v>Jiří</v>
      </c>
      <c r="D43" s="156" t="str">
        <f>Start.listina!R21</f>
        <v>SKP Hranice VI-Valšovice</v>
      </c>
      <c r="E43" s="156">
        <f>Start.listina!S21</f>
        <v>127</v>
      </c>
      <c r="F43" s="158">
        <f>Start.listina!T21</f>
        <v>27.36</v>
      </c>
      <c r="G43" s="69"/>
    </row>
    <row r="44" spans="1:7" ht="12" customHeight="1">
      <c r="A44" s="156">
        <f>Start.listina!I23</f>
        <v>18124</v>
      </c>
      <c r="B44" s="157" t="str">
        <f>Start.listina!J23</f>
        <v>Valošková</v>
      </c>
      <c r="C44" s="156" t="str">
        <f>Start.listina!K23</f>
        <v>Sára</v>
      </c>
      <c r="D44" s="156" t="str">
        <f>Start.listina!L23</f>
        <v>PK Polouvsí</v>
      </c>
      <c r="E44" s="156">
        <f>Start.listina!M23</f>
        <v>81</v>
      </c>
      <c r="F44" s="158">
        <f>Start.listina!N23</f>
        <v>27.312999999999999</v>
      </c>
      <c r="G44" s="69"/>
    </row>
    <row r="45" spans="1:7" ht="12" customHeight="1">
      <c r="A45" s="156">
        <f>Start.listina!U49</f>
        <v>13060</v>
      </c>
      <c r="B45" s="157" t="str">
        <f>Start.listina!V49</f>
        <v>Janík</v>
      </c>
      <c r="C45" s="156" t="str">
        <f>Start.listina!W49</f>
        <v>Petr</v>
      </c>
      <c r="D45" s="156" t="str">
        <f>Start.listina!X49</f>
        <v>P.C.B.D.</v>
      </c>
      <c r="E45" s="156">
        <f>Start.listina!Y49</f>
        <v>105</v>
      </c>
      <c r="F45" s="158">
        <f>Start.listina!Z49</f>
        <v>27.062999999999999</v>
      </c>
      <c r="G45" s="69"/>
    </row>
    <row r="46" spans="1:7" ht="12" customHeight="1">
      <c r="A46" s="156">
        <f>Start.listina!O16</f>
        <v>98307</v>
      </c>
      <c r="B46" s="157" t="str">
        <f>Start.listina!P16</f>
        <v>Jurišta</v>
      </c>
      <c r="C46" s="156" t="str">
        <f>Start.listina!Q16</f>
        <v>Kamil</v>
      </c>
      <c r="D46" s="156" t="str">
        <f>Start.listina!R16</f>
        <v>TOP - ORLOVÁ</v>
      </c>
      <c r="E46" s="156">
        <f>Start.listina!S16</f>
        <v>142</v>
      </c>
      <c r="F46" s="158">
        <f>Start.listina!T16</f>
        <v>26.75</v>
      </c>
      <c r="G46" s="69"/>
    </row>
    <row r="47" spans="1:7" ht="12" customHeight="1">
      <c r="A47" s="156">
        <f>Start.listina!I20</f>
        <v>16077</v>
      </c>
      <c r="B47" s="157" t="str">
        <f>Start.listina!J20</f>
        <v>Holoubek</v>
      </c>
      <c r="C47" s="156" t="str">
        <f>Start.listina!K20</f>
        <v>Pavel</v>
      </c>
      <c r="D47" s="156" t="str">
        <f>Start.listina!L20</f>
        <v>SK Pétanque Řepy</v>
      </c>
      <c r="E47" s="156">
        <f>Start.listina!M20</f>
        <v>99</v>
      </c>
      <c r="F47" s="158">
        <f>Start.listina!N20</f>
        <v>26.375</v>
      </c>
      <c r="G47" s="69"/>
    </row>
    <row r="48" spans="1:7" ht="12" customHeight="1">
      <c r="A48" s="156">
        <f>Start.listina!O46</f>
        <v>24310</v>
      </c>
      <c r="B48" s="157" t="str">
        <f>Start.listina!P46</f>
        <v>Netušil</v>
      </c>
      <c r="C48" s="156" t="str">
        <f>Start.listina!Q46</f>
        <v>Radek</v>
      </c>
      <c r="D48" s="156" t="str">
        <f>Start.listina!R46</f>
        <v>P.C.B.D.</v>
      </c>
      <c r="E48" s="156">
        <f>Start.listina!S46</f>
        <v>59</v>
      </c>
      <c r="F48" s="158">
        <f>Start.listina!T46</f>
        <v>26.189</v>
      </c>
      <c r="G48" s="69"/>
    </row>
    <row r="49" spans="1:7" ht="12" customHeight="1">
      <c r="A49" s="156">
        <f>Start.listina!U23</f>
        <v>18132</v>
      </c>
      <c r="B49" s="157" t="str">
        <f>Start.listina!V23</f>
        <v>Vašíček</v>
      </c>
      <c r="C49" s="156" t="str">
        <f>Start.listina!W23</f>
        <v>Vladimír</v>
      </c>
      <c r="D49" s="156" t="str">
        <f>Start.listina!X23</f>
        <v>PK Polouvsí</v>
      </c>
      <c r="E49" s="156">
        <f>Start.listina!Y23</f>
        <v>133</v>
      </c>
      <c r="F49" s="158">
        <f>Start.listina!Z23</f>
        <v>26.187999999999999</v>
      </c>
      <c r="G49" s="69"/>
    </row>
    <row r="50" spans="1:7" ht="12" customHeight="1">
      <c r="A50" s="156">
        <f>Start.listina!U36</f>
        <v>16107</v>
      </c>
      <c r="B50" s="157" t="str">
        <f>Start.listina!V36</f>
        <v>Janeček</v>
      </c>
      <c r="C50" s="156" t="str">
        <f>Start.listina!W36</f>
        <v>Robert</v>
      </c>
      <c r="D50" s="156" t="str">
        <f>Start.listina!X36</f>
        <v>HRODE KRUMSÍN</v>
      </c>
      <c r="E50" s="156">
        <f>Start.listina!Y36</f>
        <v>93</v>
      </c>
      <c r="F50" s="158">
        <f>Start.listina!Z36</f>
        <v>26</v>
      </c>
      <c r="G50" s="69"/>
    </row>
    <row r="51" spans="1:7" ht="12" customHeight="1">
      <c r="A51" s="156">
        <f>Start.listina!O55</f>
        <v>22111</v>
      </c>
      <c r="B51" s="157" t="str">
        <f>Start.listina!P55</f>
        <v>Kopečný</v>
      </c>
      <c r="C51" s="156" t="str">
        <f>Start.listina!Q55</f>
        <v>David</v>
      </c>
      <c r="D51" s="156" t="str">
        <f>Start.listina!R55</f>
        <v>PC Sokol PP Hr. Králové</v>
      </c>
      <c r="E51" s="156">
        <f>Start.listina!S55</f>
        <v>117</v>
      </c>
      <c r="F51" s="158">
        <f>Start.listina!T55</f>
        <v>25.814</v>
      </c>
      <c r="G51" s="69"/>
    </row>
    <row r="52" spans="1:7" ht="12" customHeight="1">
      <c r="A52" s="156">
        <f>Start.listina!O33</f>
        <v>16124</v>
      </c>
      <c r="B52" s="157" t="str">
        <f>Start.listina!P33</f>
        <v>Malá</v>
      </c>
      <c r="C52" s="156" t="str">
        <f>Start.listina!Q33</f>
        <v>Zuzana</v>
      </c>
      <c r="D52" s="156" t="str">
        <f>Start.listina!R33</f>
        <v>SPORT Kolín</v>
      </c>
      <c r="E52" s="156">
        <f>Start.listina!S33</f>
        <v>83</v>
      </c>
      <c r="F52" s="158">
        <f>Start.listina!T33</f>
        <v>25.719000000000001</v>
      </c>
      <c r="G52" s="69"/>
    </row>
    <row r="53" spans="1:7" ht="12" customHeight="1">
      <c r="A53" s="156">
        <f>Start.listina!U21</f>
        <v>28055</v>
      </c>
      <c r="B53" s="157" t="str">
        <f>Start.listina!V21</f>
        <v>Svobodová</v>
      </c>
      <c r="C53" s="156" t="str">
        <f>Start.listina!W21</f>
        <v>Lenka</v>
      </c>
      <c r="D53" s="156" t="str">
        <f>Start.listina!X21</f>
        <v>SKP Hranice VI-Valšovice</v>
      </c>
      <c r="E53" s="156">
        <f>Start.listina!Y21</f>
        <v>89</v>
      </c>
      <c r="F53" s="158">
        <f>Start.listina!Z21</f>
        <v>24.751000000000001</v>
      </c>
      <c r="G53" s="69"/>
    </row>
    <row r="54" spans="1:7" ht="12" customHeight="1">
      <c r="A54" s="156">
        <f>Start.listina!I17</f>
        <v>21053</v>
      </c>
      <c r="B54" s="157" t="str">
        <f>Start.listina!J17</f>
        <v>Ptáčková</v>
      </c>
      <c r="C54" s="156" t="str">
        <f>Start.listina!K17</f>
        <v>Eliška</v>
      </c>
      <c r="D54" s="156" t="str">
        <f>Start.listina!L17</f>
        <v>HRODE KRUMSÍN</v>
      </c>
      <c r="E54" s="156">
        <f>Start.listina!M17</f>
        <v>71</v>
      </c>
      <c r="F54" s="158">
        <f>Start.listina!N17</f>
        <v>24.562999999999999</v>
      </c>
      <c r="G54" s="69"/>
    </row>
    <row r="55" spans="1:7" ht="12" customHeight="1">
      <c r="A55" s="156">
        <f>Start.listina!I27</f>
        <v>18131</v>
      </c>
      <c r="B55" s="157" t="str">
        <f>Start.listina!J27</f>
        <v>Marečková</v>
      </c>
      <c r="C55" s="156" t="str">
        <f>Start.listina!K27</f>
        <v>Yvonne</v>
      </c>
      <c r="D55" s="156" t="str">
        <f>Start.listina!L27</f>
        <v>Orel Řečkovice</v>
      </c>
      <c r="E55" s="156">
        <f>Start.listina!M27</f>
        <v>171</v>
      </c>
      <c r="F55" s="158">
        <f>Start.listina!N27</f>
        <v>24.5</v>
      </c>
      <c r="G55" s="69"/>
    </row>
    <row r="56" spans="1:7" ht="12" customHeight="1">
      <c r="A56" s="156">
        <f>Start.listina!I26</f>
        <v>16133</v>
      </c>
      <c r="B56" s="157" t="str">
        <f>Start.listina!J26</f>
        <v>Strouhalová</v>
      </c>
      <c r="C56" s="156" t="str">
        <f>Start.listina!K26</f>
        <v>Terezie</v>
      </c>
      <c r="D56" s="156" t="str">
        <f>Start.listina!L26</f>
        <v>1. Starobrněnský PK</v>
      </c>
      <c r="E56" s="156">
        <f>Start.listina!M26</f>
        <v>192</v>
      </c>
      <c r="F56" s="158">
        <f>Start.listina!N26</f>
        <v>24.25</v>
      </c>
      <c r="G56" s="69"/>
    </row>
    <row r="57" spans="1:7" ht="12" customHeight="1">
      <c r="A57" s="156">
        <f>Start.listina!U28</f>
        <v>21021</v>
      </c>
      <c r="B57" s="157" t="str">
        <f>Start.listina!V28</f>
        <v>Sekerešová</v>
      </c>
      <c r="C57" s="156" t="str">
        <f>Start.listina!W28</f>
        <v>Jindřiška</v>
      </c>
      <c r="D57" s="156" t="str">
        <f>Start.listina!X28</f>
        <v>SK Sahara Vědomice</v>
      </c>
      <c r="E57" s="156">
        <f>Start.listina!Y28</f>
        <v>156</v>
      </c>
      <c r="F57" s="158">
        <f>Start.listina!Z28</f>
        <v>23.719000000000001</v>
      </c>
      <c r="G57" s="69"/>
    </row>
    <row r="58" spans="1:7" ht="12" customHeight="1">
      <c r="A58" s="156">
        <f>Start.listina!I39</f>
        <v>11044</v>
      </c>
      <c r="B58" s="157" t="str">
        <f>Start.listina!J39</f>
        <v>Ilgner</v>
      </c>
      <c r="C58" s="156" t="str">
        <f>Start.listina!K39</f>
        <v>Vladimír</v>
      </c>
      <c r="D58" s="156" t="str">
        <f>Start.listina!L39</f>
        <v>1. Starobrněnský PK</v>
      </c>
      <c r="E58" s="156">
        <f>Start.listina!M39</f>
        <v>147</v>
      </c>
      <c r="F58" s="158">
        <f>Start.listina!N39</f>
        <v>23.501999999999999</v>
      </c>
      <c r="G58" s="69"/>
    </row>
    <row r="59" spans="1:7" ht="12" customHeight="1">
      <c r="A59" s="156">
        <f>Start.listina!U34</f>
        <v>24272</v>
      </c>
      <c r="B59" s="157" t="str">
        <f>Start.listina!V34</f>
        <v>Drmola</v>
      </c>
      <c r="C59" s="156" t="str">
        <f>Start.listina!W34</f>
        <v>Miroslav</v>
      </c>
      <c r="D59" s="156" t="str">
        <f>Start.listina!X34</f>
        <v>HRODE KRUMSÍN</v>
      </c>
      <c r="E59" s="156">
        <f>Start.listina!Y34</f>
        <v>236</v>
      </c>
      <c r="F59" s="158">
        <f>Start.listina!Z34</f>
        <v>22.812999999999999</v>
      </c>
      <c r="G59" s="69"/>
    </row>
    <row r="60" spans="1:7" ht="12" customHeight="1">
      <c r="A60" s="156">
        <f>Start.listina!O12</f>
        <v>28007</v>
      </c>
      <c r="B60" s="157" t="str">
        <f>Start.listina!P12</f>
        <v>Kaplánek</v>
      </c>
      <c r="C60" s="156" t="str">
        <f>Start.listina!Q12</f>
        <v>František</v>
      </c>
      <c r="D60" s="156" t="str">
        <f>Start.listina!R12</f>
        <v>HRODE KRUMSÍN</v>
      </c>
      <c r="E60" s="156">
        <f>Start.listina!S12</f>
        <v>190</v>
      </c>
      <c r="F60" s="158">
        <f>Start.listina!T12</f>
        <v>22.25</v>
      </c>
      <c r="G60" s="69"/>
    </row>
    <row r="61" spans="1:7" ht="12" customHeight="1">
      <c r="A61" s="156">
        <f>Start.listina!I55</f>
        <v>20573</v>
      </c>
      <c r="B61" s="157" t="str">
        <f>Start.listina!J55</f>
        <v>Vávrová</v>
      </c>
      <c r="C61" s="156" t="str">
        <f>Start.listina!K55</f>
        <v>Ivana</v>
      </c>
      <c r="D61" s="156" t="str">
        <f>Start.listina!L55</f>
        <v>PC Sokol PP Hr. Králové</v>
      </c>
      <c r="E61" s="156">
        <f>Start.listina!M55</f>
        <v>141</v>
      </c>
      <c r="F61" s="158">
        <f>Start.listina!N55</f>
        <v>22.155999999999999</v>
      </c>
      <c r="G61" s="69"/>
    </row>
    <row r="62" spans="1:7" ht="12" customHeight="1">
      <c r="A62" s="156">
        <f>Start.listina!O38</f>
        <v>24317</v>
      </c>
      <c r="B62" s="157" t="str">
        <f>Start.listina!P38</f>
        <v>Anton</v>
      </c>
      <c r="C62" s="156" t="str">
        <f>Start.listina!Q38</f>
        <v>Lubomír</v>
      </c>
      <c r="D62" s="156" t="str">
        <f>Start.listina!R38</f>
        <v>KLIP Litovel</v>
      </c>
      <c r="E62" s="156">
        <f>Start.listina!S38</f>
        <v>122</v>
      </c>
      <c r="F62" s="158">
        <f>Start.listina!T38</f>
        <v>21.626999999999999</v>
      </c>
      <c r="G62" s="69"/>
    </row>
    <row r="63" spans="1:7" ht="12" customHeight="1">
      <c r="A63" s="156">
        <f>Start.listina!I37</f>
        <v>27062</v>
      </c>
      <c r="B63" s="157" t="str">
        <f>Start.listina!J37</f>
        <v>Mrlina</v>
      </c>
      <c r="C63" s="156" t="str">
        <f>Start.listina!K37</f>
        <v>Karel</v>
      </c>
      <c r="D63" s="156" t="str">
        <f>Start.listina!L37</f>
        <v>FENYX Adamov</v>
      </c>
      <c r="E63" s="156">
        <f>Start.listina!M37</f>
        <v>166</v>
      </c>
      <c r="F63" s="158">
        <f>Start.listina!N37</f>
        <v>21.157</v>
      </c>
      <c r="G63" s="69"/>
    </row>
    <row r="64" spans="1:7" ht="12" customHeight="1">
      <c r="A64" s="156">
        <f>Start.listina!U18</f>
        <v>22017</v>
      </c>
      <c r="B64" s="157" t="str">
        <f>Start.listina!V18</f>
        <v>Ferlay</v>
      </c>
      <c r="C64" s="156" t="str">
        <f>Start.listina!W18</f>
        <v>Franck</v>
      </c>
      <c r="D64" s="156" t="str">
        <f>Start.listina!X18</f>
        <v>Carreau Brno</v>
      </c>
      <c r="E64" s="156">
        <f>Start.listina!Y18</f>
        <v>149</v>
      </c>
      <c r="F64" s="158">
        <f>Start.listina!Z18</f>
        <v>20.329000000000001</v>
      </c>
      <c r="G64" s="69"/>
    </row>
    <row r="65" spans="1:7" ht="12" customHeight="1">
      <c r="A65" s="156">
        <f>Start.listina!O44</f>
        <v>14021</v>
      </c>
      <c r="B65" s="157" t="str">
        <f>Start.listina!P44</f>
        <v>Grepl</v>
      </c>
      <c r="C65" s="156" t="str">
        <f>Start.listina!Q44</f>
        <v>Zbyněk</v>
      </c>
      <c r="D65" s="156" t="str">
        <f>Start.listina!R44</f>
        <v>PK Polouvsí</v>
      </c>
      <c r="E65" s="156">
        <f>Start.listina!S44</f>
        <v>239</v>
      </c>
      <c r="F65" s="158">
        <f>Start.listina!T44</f>
        <v>20.189</v>
      </c>
      <c r="G65" s="69"/>
    </row>
    <row r="66" spans="1:7" ht="12" customHeight="1">
      <c r="A66" s="156">
        <f>Start.listina!I44</f>
        <v>21036</v>
      </c>
      <c r="B66" s="157" t="str">
        <f>Start.listina!J44</f>
        <v>Vrzal</v>
      </c>
      <c r="C66" s="156" t="str">
        <f>Start.listina!K44</f>
        <v>Martin</v>
      </c>
      <c r="D66" s="156" t="str">
        <f>Start.listina!L44</f>
        <v>PK Polouvsí</v>
      </c>
      <c r="E66" s="156">
        <f>Start.listina!M44</f>
        <v>222</v>
      </c>
      <c r="F66" s="158">
        <f>Start.listina!N44</f>
        <v>20.062999999999999</v>
      </c>
      <c r="G66" s="69"/>
    </row>
    <row r="67" spans="1:7" ht="12" customHeight="1">
      <c r="A67" s="156">
        <f>Start.listina!I28</f>
        <v>13077</v>
      </c>
      <c r="B67" s="157" t="str">
        <f>Start.listina!J28</f>
        <v>Kot</v>
      </c>
      <c r="C67" s="156" t="str">
        <f>Start.listina!K28</f>
        <v>Pavel</v>
      </c>
      <c r="D67" s="156" t="str">
        <f>Start.listina!L28</f>
        <v>UBU Únětice</v>
      </c>
      <c r="E67" s="156">
        <f>Start.listina!M28</f>
        <v>203</v>
      </c>
      <c r="F67" s="158">
        <f>Start.listina!N28</f>
        <v>20.032</v>
      </c>
      <c r="G67" s="69"/>
    </row>
    <row r="68" spans="1:7" ht="12" customHeight="1">
      <c r="A68" s="156">
        <f>Start.listina!O28</f>
        <v>13078</v>
      </c>
      <c r="B68" s="157" t="str">
        <f>Start.listina!P28</f>
        <v>Kotová</v>
      </c>
      <c r="C68" s="156" t="str">
        <f>Start.listina!Q28</f>
        <v>Jiřina</v>
      </c>
      <c r="D68" s="156" t="str">
        <f>Start.listina!R28</f>
        <v>UBU Únětice</v>
      </c>
      <c r="E68" s="156">
        <f>Start.listina!S28</f>
        <v>204</v>
      </c>
      <c r="F68" s="158">
        <f>Start.listina!T28</f>
        <v>20.032</v>
      </c>
      <c r="G68" s="69"/>
    </row>
    <row r="69" spans="1:7" ht="12" customHeight="1">
      <c r="A69" s="156">
        <f>Start.listina!I50</f>
        <v>18064</v>
      </c>
      <c r="B69" s="157" t="str">
        <f>Start.listina!J50</f>
        <v>Rusek</v>
      </c>
      <c r="C69" s="156" t="str">
        <f>Start.listina!K50</f>
        <v>Luboš</v>
      </c>
      <c r="D69" s="156" t="str">
        <f>Start.listina!L50</f>
        <v>PK Polouvsí</v>
      </c>
      <c r="E69" s="156">
        <f>Start.listina!M50</f>
        <v>229</v>
      </c>
      <c r="F69" s="158">
        <f>Start.listina!N50</f>
        <v>19.594999999999999</v>
      </c>
      <c r="G69" s="69"/>
    </row>
    <row r="70" spans="1:7" ht="12" customHeight="1">
      <c r="A70" s="156">
        <f>Start.listina!U25</f>
        <v>16020</v>
      </c>
      <c r="B70" s="157" t="str">
        <f>Start.listina!V25</f>
        <v>Handl</v>
      </c>
      <c r="C70" s="156" t="str">
        <f>Start.listina!W25</f>
        <v>Zdeněk</v>
      </c>
      <c r="D70" s="156" t="str">
        <f>Start.listina!X25</f>
        <v>FENYX Adamov</v>
      </c>
      <c r="E70" s="156">
        <f>Start.listina!Y25</f>
        <v>225</v>
      </c>
      <c r="F70" s="158">
        <f>Start.listina!Z25</f>
        <v>19.469000000000001</v>
      </c>
      <c r="G70" s="69"/>
    </row>
    <row r="71" spans="1:7" ht="12" customHeight="1">
      <c r="A71" s="156">
        <f>Start.listina!U48</f>
        <v>23029</v>
      </c>
      <c r="B71" s="157" t="str">
        <f>Start.listina!V48</f>
        <v>Kobza</v>
      </c>
      <c r="C71" s="156" t="str">
        <f>Start.listina!W48</f>
        <v>Ladislav</v>
      </c>
      <c r="D71" s="156" t="str">
        <f>Start.listina!X48</f>
        <v>HRODE KRUMSÍN</v>
      </c>
      <c r="E71" s="156">
        <f>Start.listina!Y48</f>
        <v>274</v>
      </c>
      <c r="F71" s="158">
        <f>Start.listina!Z48</f>
        <v>19</v>
      </c>
      <c r="G71" s="69"/>
    </row>
    <row r="72" spans="1:7" ht="12" customHeight="1">
      <c r="A72" s="156">
        <f>Start.listina!I36</f>
        <v>24240</v>
      </c>
      <c r="B72" s="157" t="str">
        <f>Start.listina!J36</f>
        <v>Hodboď</v>
      </c>
      <c r="C72" s="156" t="str">
        <f>Start.listina!K36</f>
        <v>Pavel</v>
      </c>
      <c r="D72" s="156" t="str">
        <f>Start.listina!L36</f>
        <v>Carreau Brno</v>
      </c>
      <c r="E72" s="156">
        <f>Start.listina!M36</f>
        <v>167</v>
      </c>
      <c r="F72" s="158">
        <f>Start.listina!N36</f>
        <v>18.125</v>
      </c>
      <c r="G72" s="69"/>
    </row>
    <row r="73" spans="1:7" ht="12" customHeight="1">
      <c r="A73" s="156">
        <f>Start.listina!I24</f>
        <v>96005</v>
      </c>
      <c r="B73" s="157" t="str">
        <f>Start.listina!J24</f>
        <v>Bukovčík</v>
      </c>
      <c r="C73" s="156" t="str">
        <f>Start.listina!K24</f>
        <v>Jan</v>
      </c>
      <c r="D73" s="156" t="str">
        <f>Start.listina!L24</f>
        <v>PAK Albrechtice</v>
      </c>
      <c r="E73" s="156">
        <f>Start.listina!M24</f>
        <v>209</v>
      </c>
      <c r="F73" s="158">
        <f>Start.listina!N24</f>
        <v>17.859000000000002</v>
      </c>
      <c r="G73" s="69"/>
    </row>
    <row r="74" spans="1:7" ht="12" customHeight="1">
      <c r="A74" s="156">
        <f>Start.listina!I43</f>
        <v>22106</v>
      </c>
      <c r="B74" s="157" t="str">
        <f>Start.listina!J43</f>
        <v>Daněk</v>
      </c>
      <c r="C74" s="156" t="str">
        <f>Start.listina!K43</f>
        <v>Patrik</v>
      </c>
      <c r="D74" s="156" t="str">
        <f>Start.listina!L43</f>
        <v>SLOPE Brno</v>
      </c>
      <c r="E74" s="156">
        <f>Start.listina!M43</f>
        <v>265</v>
      </c>
      <c r="F74" s="158">
        <f>Start.listina!N43</f>
        <v>17.376000000000001</v>
      </c>
      <c r="G74" s="69"/>
    </row>
    <row r="75" spans="1:7" ht="12" customHeight="1">
      <c r="A75" s="156">
        <f>Start.listina!O22</f>
        <v>11031</v>
      </c>
      <c r="B75" s="157" t="str">
        <f>Start.listina!P22</f>
        <v>Šipr</v>
      </c>
      <c r="C75" s="156" t="str">
        <f>Start.listina!Q22</f>
        <v>Jiří</v>
      </c>
      <c r="D75" s="156" t="str">
        <f>Start.listina!R22</f>
        <v>1. Starobrněnský PK</v>
      </c>
      <c r="E75" s="156">
        <f>Start.listina!S22</f>
        <v>187</v>
      </c>
      <c r="F75" s="158">
        <f>Start.listina!T22</f>
        <v>17.305</v>
      </c>
      <c r="G75" s="69"/>
    </row>
    <row r="76" spans="1:7" ht="12" customHeight="1">
      <c r="A76" s="156">
        <f>Start.listina!O30</f>
        <v>20565</v>
      </c>
      <c r="B76" s="157" t="str">
        <f>Start.listina!P30</f>
        <v>Manka</v>
      </c>
      <c r="C76" s="156" t="str">
        <f>Start.listina!Q30</f>
        <v>Heinz</v>
      </c>
      <c r="D76" s="156" t="str">
        <f>Start.listina!R30</f>
        <v>1. Starobrněnský PK</v>
      </c>
      <c r="E76" s="156">
        <f>Start.listina!S30</f>
        <v>243</v>
      </c>
      <c r="F76" s="158">
        <f>Start.listina!T30</f>
        <v>17.094999999999999</v>
      </c>
      <c r="G76" s="69"/>
    </row>
    <row r="77" spans="1:7" ht="12" customHeight="1">
      <c r="A77" s="156">
        <f>Start.listina!I38</f>
        <v>15051</v>
      </c>
      <c r="B77" s="157" t="str">
        <f>Start.listina!J38</f>
        <v>Hudos</v>
      </c>
      <c r="C77" s="156" t="str">
        <f>Start.listina!K38</f>
        <v>Oldřich</v>
      </c>
      <c r="D77" s="156" t="str">
        <f>Start.listina!L38</f>
        <v>KLIP Litovel</v>
      </c>
      <c r="E77" s="156">
        <f>Start.listina!M38</f>
        <v>240</v>
      </c>
      <c r="F77" s="158">
        <f>Start.listina!N38</f>
        <v>17.064</v>
      </c>
      <c r="G77" s="69"/>
    </row>
    <row r="78" spans="1:7" ht="12" customHeight="1">
      <c r="A78" s="156">
        <f>Start.listina!I45</f>
        <v>11049</v>
      </c>
      <c r="B78" s="157" t="str">
        <f>Start.listina!J45</f>
        <v>Bucek</v>
      </c>
      <c r="C78" s="156" t="str">
        <f>Start.listina!K45</f>
        <v>Zdeněk</v>
      </c>
      <c r="D78" s="156" t="str">
        <f>Start.listina!L45</f>
        <v>1. KPK Vrchlabí</v>
      </c>
      <c r="E78" s="156">
        <f>Start.listina!M45</f>
        <v>221</v>
      </c>
      <c r="F78" s="158">
        <f>Start.listina!N45</f>
        <v>16.952999999999999</v>
      </c>
      <c r="G78" s="69"/>
    </row>
    <row r="79" spans="1:7" ht="12" customHeight="1">
      <c r="A79" s="156">
        <f>Start.listina!U44</f>
        <v>20578</v>
      </c>
      <c r="B79" s="157" t="str">
        <f>Start.listina!V44</f>
        <v>Knápek</v>
      </c>
      <c r="C79" s="156" t="str">
        <f>Start.listina!W44</f>
        <v>Jaroslav</v>
      </c>
      <c r="D79" s="156" t="str">
        <f>Start.listina!X44</f>
        <v>PK Polouvsí</v>
      </c>
      <c r="E79" s="156">
        <f>Start.listina!Y44</f>
        <v>230</v>
      </c>
      <c r="F79" s="158">
        <f>Start.listina!Z44</f>
        <v>16.931000000000001</v>
      </c>
      <c r="G79" s="69"/>
    </row>
    <row r="80" spans="1:7" ht="12" customHeight="1">
      <c r="A80" s="156">
        <f>Start.listina!U38</f>
        <v>15050</v>
      </c>
      <c r="B80" s="157" t="str">
        <f>Start.listina!V38</f>
        <v>Krystková</v>
      </c>
      <c r="C80" s="156" t="str">
        <f>Start.listina!W38</f>
        <v>Alena</v>
      </c>
      <c r="D80" s="156" t="str">
        <f>Start.listina!X38</f>
        <v>KLIP Litovel</v>
      </c>
      <c r="E80" s="156">
        <f>Start.listina!Y38</f>
        <v>256</v>
      </c>
      <c r="F80" s="158">
        <f>Start.listina!Z38</f>
        <v>16.440000000000001</v>
      </c>
      <c r="G80" s="69"/>
    </row>
    <row r="81" spans="1:7" ht="12" customHeight="1">
      <c r="A81" s="156">
        <f>Start.listina!O26</f>
        <v>18099</v>
      </c>
      <c r="B81" s="157" t="str">
        <f>Start.listina!P26</f>
        <v>Merta</v>
      </c>
      <c r="C81" s="156" t="str">
        <f>Start.listina!Q26</f>
        <v>Lukáš</v>
      </c>
      <c r="D81" s="156" t="str">
        <f>Start.listina!R26</f>
        <v>1. Starobrněnský PK</v>
      </c>
      <c r="E81" s="156">
        <f>Start.listina!S26</f>
        <v>276</v>
      </c>
      <c r="F81" s="158">
        <f>Start.listina!T26</f>
        <v>16.376000000000001</v>
      </c>
      <c r="G81" s="69"/>
    </row>
    <row r="82" spans="1:7" ht="12" customHeight="1">
      <c r="A82" s="156">
        <f>Start.listina!O45</f>
        <v>18081</v>
      </c>
      <c r="B82" s="157" t="str">
        <f>Start.listina!P45</f>
        <v>Bartoš</v>
      </c>
      <c r="C82" s="156" t="str">
        <f>Start.listina!Q45</f>
        <v>Josef</v>
      </c>
      <c r="D82" s="156" t="str">
        <f>Start.listina!R45</f>
        <v>CHRUPEK Chrudim</v>
      </c>
      <c r="E82" s="156">
        <f>Start.listina!S45</f>
        <v>219</v>
      </c>
      <c r="F82" s="158">
        <f>Start.listina!T45</f>
        <v>16.001000000000001</v>
      </c>
      <c r="G82" s="69"/>
    </row>
    <row r="83" spans="1:7" ht="12" customHeight="1">
      <c r="A83" s="156">
        <f>Start.listina!O27</f>
        <v>20503</v>
      </c>
      <c r="B83" s="157" t="str">
        <f>Start.listina!P27</f>
        <v>Pokorná</v>
      </c>
      <c r="C83" s="156" t="str">
        <f>Start.listina!Q27</f>
        <v>Lucie</v>
      </c>
      <c r="D83" s="156" t="str">
        <f>Start.listina!R27</f>
        <v>Carreau Brno</v>
      </c>
      <c r="E83" s="156">
        <f>Start.listina!S27</f>
        <v>215</v>
      </c>
      <c r="F83" s="158">
        <f>Start.listina!T27</f>
        <v>15.407999999999999</v>
      </c>
      <c r="G83" s="69"/>
    </row>
    <row r="84" spans="1:7" ht="12" customHeight="1">
      <c r="A84" s="156">
        <f>Start.listina!U35</f>
        <v>16018</v>
      </c>
      <c r="B84" s="157" t="str">
        <f>Start.listina!V35</f>
        <v>Csibrei</v>
      </c>
      <c r="C84" s="156" t="str">
        <f>Start.listina!W35</f>
        <v>Jan</v>
      </c>
      <c r="D84" s="156" t="str">
        <f>Start.listina!X35</f>
        <v>SOKOL Staříč</v>
      </c>
      <c r="E84" s="156">
        <f>Start.listina!Y35</f>
        <v>310</v>
      </c>
      <c r="F84" s="158">
        <f>Start.listina!Z35</f>
        <v>15.282999999999999</v>
      </c>
      <c r="G84" s="69"/>
    </row>
    <row r="85" spans="1:7" ht="12" customHeight="1">
      <c r="A85" s="156">
        <f>Start.listina!O53</f>
        <v>22183</v>
      </c>
      <c r="B85" s="157" t="str">
        <f>Start.listina!P53</f>
        <v>Brandes</v>
      </c>
      <c r="C85" s="156" t="str">
        <f>Start.listina!Q53</f>
        <v>Michael</v>
      </c>
      <c r="D85" s="156" t="str">
        <f>Start.listina!R53</f>
        <v>PC Damníkov</v>
      </c>
      <c r="E85" s="156">
        <f>Start.listina!S53</f>
        <v>257</v>
      </c>
      <c r="F85" s="158">
        <f>Start.listina!T53</f>
        <v>15.032999999999999</v>
      </c>
      <c r="G85" s="69"/>
    </row>
    <row r="86" spans="1:7" ht="12" customHeight="1">
      <c r="A86" s="156">
        <f>Start.listina!U50</f>
        <v>20579</v>
      </c>
      <c r="B86" s="157" t="str">
        <f>Start.listina!V50</f>
        <v>Rusková</v>
      </c>
      <c r="C86" s="156" t="str">
        <f>Start.listina!W50</f>
        <v>Rozálie</v>
      </c>
      <c r="D86" s="156" t="str">
        <f>Start.listina!X50</f>
        <v>PK Polouvsí</v>
      </c>
      <c r="E86" s="156">
        <f>Start.listina!Y50</f>
        <v>282</v>
      </c>
      <c r="F86" s="158">
        <f>Start.listina!Z50</f>
        <v>14.939</v>
      </c>
      <c r="G86" s="69"/>
    </row>
    <row r="87" spans="1:7" ht="12" customHeight="1">
      <c r="A87" s="156">
        <f>Start.listina!O43</f>
        <v>21050</v>
      </c>
      <c r="B87" s="157" t="str">
        <f>Start.listina!P43</f>
        <v>Štěpánek</v>
      </c>
      <c r="C87" s="156" t="str">
        <f>Start.listina!Q43</f>
        <v>Michal</v>
      </c>
      <c r="D87" s="156" t="str">
        <f>Start.listina!R43</f>
        <v>SLOPE Brno</v>
      </c>
      <c r="E87" s="156">
        <f>Start.listina!S43</f>
        <v>285</v>
      </c>
      <c r="F87" s="158">
        <f>Start.listina!T43</f>
        <v>14.938000000000001</v>
      </c>
      <c r="G87" s="69"/>
    </row>
    <row r="88" spans="1:7" ht="12" customHeight="1">
      <c r="A88" s="156">
        <f>Start.listina!I51</f>
        <v>28056</v>
      </c>
      <c r="B88" s="157" t="str">
        <f>Start.listina!J51</f>
        <v>Blažejová</v>
      </c>
      <c r="C88" s="156" t="str">
        <f>Start.listina!K51</f>
        <v>Eva</v>
      </c>
      <c r="D88" s="156" t="str">
        <f>Start.listina!L51</f>
        <v>1. Starobrněnský PK</v>
      </c>
      <c r="E88" s="156">
        <f>Start.listina!M51</f>
        <v>201</v>
      </c>
      <c r="F88" s="158">
        <f>Start.listina!N51</f>
        <v>14.875999999999999</v>
      </c>
      <c r="G88" s="69"/>
    </row>
    <row r="89" spans="1:7" ht="12" customHeight="1">
      <c r="A89" s="156">
        <f>Start.listina!O42</f>
        <v>18065</v>
      </c>
      <c r="B89" s="157" t="str">
        <f>Start.listina!P42</f>
        <v>Valošek</v>
      </c>
      <c r="C89" s="156" t="str">
        <f>Start.listina!Q42</f>
        <v>Radim</v>
      </c>
      <c r="D89" s="156" t="str">
        <f>Start.listina!R42</f>
        <v>PK Polouvsí</v>
      </c>
      <c r="E89" s="156">
        <f>Start.listina!S42</f>
        <v>241</v>
      </c>
      <c r="F89" s="158">
        <f>Start.listina!T42</f>
        <v>14.815</v>
      </c>
      <c r="G89" s="69"/>
    </row>
    <row r="90" spans="1:7" ht="12" customHeight="1">
      <c r="A90" s="156">
        <f>Start.listina!O39</f>
        <v>11045</v>
      </c>
      <c r="B90" s="157" t="str">
        <f>Start.listina!P39</f>
        <v>Krtička</v>
      </c>
      <c r="C90" s="156" t="str">
        <f>Start.listina!Q39</f>
        <v>Jiří</v>
      </c>
      <c r="D90" s="156" t="str">
        <f>Start.listina!R39</f>
        <v>1. Starobrněnský PK</v>
      </c>
      <c r="E90" s="156">
        <f>Start.listina!S39</f>
        <v>226</v>
      </c>
      <c r="F90" s="158">
        <f>Start.listina!T39</f>
        <v>14.72</v>
      </c>
      <c r="G90" s="69"/>
    </row>
    <row r="91" spans="1:7" ht="12" customHeight="1">
      <c r="A91" s="156">
        <f>Start.listina!I42</f>
        <v>19034</v>
      </c>
      <c r="B91" s="157" t="str">
        <f>Start.listina!J42</f>
        <v>Valošek</v>
      </c>
      <c r="C91" s="156" t="str">
        <f>Start.listina!K42</f>
        <v>Hugo</v>
      </c>
      <c r="D91" s="156" t="str">
        <f>Start.listina!L42</f>
        <v>PK Polouvsí</v>
      </c>
      <c r="E91" s="156">
        <f>Start.listina!M42</f>
        <v>238</v>
      </c>
      <c r="F91" s="158">
        <f>Start.listina!N42</f>
        <v>14.557</v>
      </c>
      <c r="G91" s="69"/>
    </row>
    <row r="92" spans="1:7" ht="12" customHeight="1">
      <c r="A92" s="156">
        <f>Start.listina!U33</f>
        <v>19058</v>
      </c>
      <c r="B92" s="157" t="str">
        <f>Start.listina!V33</f>
        <v>Šternbergová</v>
      </c>
      <c r="C92" s="156" t="str">
        <f>Start.listina!W33</f>
        <v>Nikola</v>
      </c>
      <c r="D92" s="156" t="str">
        <f>Start.listina!X33</f>
        <v>SPORT Kolín</v>
      </c>
      <c r="E92" s="156">
        <f>Start.listina!Y33</f>
        <v>200</v>
      </c>
      <c r="F92" s="158">
        <f>Start.listina!Z33</f>
        <v>13.75</v>
      </c>
      <c r="G92" s="69"/>
    </row>
    <row r="93" spans="1:7" ht="12" customHeight="1">
      <c r="A93" s="156">
        <f>Start.listina!I30</f>
        <v>19067</v>
      </c>
      <c r="B93" s="157" t="str">
        <f>Start.listina!J30</f>
        <v>Petrželka</v>
      </c>
      <c r="C93" s="156" t="str">
        <f>Start.listina!K30</f>
        <v>Josef</v>
      </c>
      <c r="D93" s="156" t="str">
        <f>Start.listina!L30</f>
        <v>1. Starobrněnský PK</v>
      </c>
      <c r="E93" s="156">
        <f>Start.listina!M30</f>
        <v>237</v>
      </c>
      <c r="F93" s="158">
        <f>Start.listina!N30</f>
        <v>13.345000000000001</v>
      </c>
      <c r="G93" s="69"/>
    </row>
    <row r="94" spans="1:7" ht="12" customHeight="1">
      <c r="A94" s="156">
        <f>Start.listina!O52</f>
        <v>18070</v>
      </c>
      <c r="B94" s="157" t="str">
        <f>Start.listina!P52</f>
        <v>Koudelková</v>
      </c>
      <c r="C94" s="156" t="str">
        <f>Start.listina!Q52</f>
        <v>Magdalena</v>
      </c>
      <c r="D94" s="156" t="str">
        <f>Start.listina!R52</f>
        <v>PK Polouvsí</v>
      </c>
      <c r="E94" s="156">
        <f>Start.listina!S52</f>
        <v>304</v>
      </c>
      <c r="F94" s="158">
        <f>Start.listina!T52</f>
        <v>13.22</v>
      </c>
      <c r="G94" s="69"/>
    </row>
    <row r="95" spans="1:7" ht="12" customHeight="1">
      <c r="A95" s="156">
        <f>Start.listina!U45</f>
        <v>18080</v>
      </c>
      <c r="B95" s="157" t="str">
        <f>Start.listina!V45</f>
        <v>Bartošová</v>
      </c>
      <c r="C95" s="156" t="str">
        <f>Start.listina!W45</f>
        <v>Helena</v>
      </c>
      <c r="D95" s="156" t="str">
        <f>Start.listina!X45</f>
        <v>CHRUPEK Chrudim</v>
      </c>
      <c r="E95" s="156">
        <f>Start.listina!Y45</f>
        <v>280</v>
      </c>
      <c r="F95" s="158">
        <f>Start.listina!Z45</f>
        <v>12.97</v>
      </c>
      <c r="G95" s="69"/>
    </row>
    <row r="96" spans="1:7" ht="12" customHeight="1">
      <c r="A96" s="156">
        <f>Start.listina!U53</f>
        <v>22181</v>
      </c>
      <c r="B96" s="157" t="str">
        <f>Start.listina!V53</f>
        <v>Brandes</v>
      </c>
      <c r="C96" s="156" t="str">
        <f>Start.listina!W53</f>
        <v>Valter</v>
      </c>
      <c r="D96" s="156" t="str">
        <f>Start.listina!X53</f>
        <v>PC Damníkov</v>
      </c>
      <c r="E96" s="156">
        <f>Start.listina!Y53</f>
        <v>278</v>
      </c>
      <c r="F96" s="158">
        <f>Start.listina!Z53</f>
        <v>12.846</v>
      </c>
      <c r="G96" s="69"/>
    </row>
    <row r="97" spans="1:7" ht="12" customHeight="1">
      <c r="A97" s="156">
        <f>Start.listina!O50</f>
        <v>22120</v>
      </c>
      <c r="B97" s="157" t="str">
        <f>Start.listina!P50</f>
        <v>Rusková</v>
      </c>
      <c r="C97" s="156" t="str">
        <f>Start.listina!Q50</f>
        <v>Kateřina</v>
      </c>
      <c r="D97" s="156" t="str">
        <f>Start.listina!R50</f>
        <v>PK Polouvsí</v>
      </c>
      <c r="E97" s="156">
        <f>Start.listina!S50</f>
        <v>299</v>
      </c>
      <c r="F97" s="158">
        <f>Start.listina!T50</f>
        <v>12.471</v>
      </c>
      <c r="G97" s="69"/>
    </row>
    <row r="98" spans="1:7" ht="12" customHeight="1">
      <c r="A98" s="156">
        <f>Start.listina!I48</f>
        <v>21813</v>
      </c>
      <c r="B98" s="157" t="str">
        <f>Start.listina!J48</f>
        <v>Šrubařová</v>
      </c>
      <c r="C98" s="156" t="str">
        <f>Start.listina!K48</f>
        <v>Hana</v>
      </c>
      <c r="D98" s="156" t="str">
        <f>Start.listina!L48</f>
        <v>Carreau Brno</v>
      </c>
      <c r="E98" s="156">
        <f>Start.listina!M48</f>
        <v>308</v>
      </c>
      <c r="F98" s="158">
        <f>Start.listina!N48</f>
        <v>12.218999999999999</v>
      </c>
      <c r="G98" s="69"/>
    </row>
    <row r="99" spans="1:7" ht="12" customHeight="1">
      <c r="A99" s="156">
        <f>Start.listina!U46</f>
        <v>96152</v>
      </c>
      <c r="B99" s="157" t="str">
        <f>Start.listina!V46</f>
        <v>Stoklásek</v>
      </c>
      <c r="C99" s="156" t="str">
        <f>Start.listina!W46</f>
        <v>Tomáš</v>
      </c>
      <c r="D99" s="156" t="str">
        <f>Start.listina!X46</f>
        <v>P.C.B.D.</v>
      </c>
      <c r="E99" s="156">
        <f>Start.listina!Y46</f>
        <v>268</v>
      </c>
      <c r="F99" s="158">
        <f>Start.listina!Z46</f>
        <v>11.968999999999999</v>
      </c>
      <c r="G99" s="69"/>
    </row>
    <row r="100" spans="1:7" ht="12" customHeight="1">
      <c r="A100" s="156">
        <f>Start.listina!I31</f>
        <v>22148</v>
      </c>
      <c r="B100" s="157" t="str">
        <f>Start.listina!J31</f>
        <v>Holba</v>
      </c>
      <c r="C100" s="156" t="str">
        <f>Start.listina!K31</f>
        <v>Daniel</v>
      </c>
      <c r="D100" s="156" t="str">
        <f>Start.listina!L31</f>
        <v>PC Hrabyně</v>
      </c>
      <c r="E100" s="156">
        <f>Start.listina!M31</f>
        <v>291</v>
      </c>
      <c r="F100" s="158">
        <f>Start.listina!N31</f>
        <v>11.377000000000001</v>
      </c>
      <c r="G100" s="69"/>
    </row>
    <row r="101" spans="1:7" ht="12" customHeight="1">
      <c r="A101" s="156">
        <f>Start.listina!I54</f>
        <v>18053</v>
      </c>
      <c r="B101" s="157" t="str">
        <f>Start.listina!J54</f>
        <v>Němečková</v>
      </c>
      <c r="C101" s="156" t="str">
        <f>Start.listina!K54</f>
        <v>Radomíra</v>
      </c>
      <c r="D101" s="156" t="str">
        <f>Start.listina!L54</f>
        <v>SKP Hranice VI-Valšovice</v>
      </c>
      <c r="E101" s="156">
        <f>Start.listina!M54</f>
        <v>292</v>
      </c>
      <c r="F101" s="158">
        <f>Start.listina!N54</f>
        <v>11.093999999999999</v>
      </c>
      <c r="G101" s="69"/>
    </row>
    <row r="102" spans="1:7" ht="12" customHeight="1">
      <c r="A102" s="156">
        <f>Start.listina!I19</f>
        <v>98373</v>
      </c>
      <c r="B102" s="157" t="str">
        <f>Start.listina!J19</f>
        <v>Hodboďová</v>
      </c>
      <c r="C102" s="156" t="str">
        <f>Start.listina!K19</f>
        <v>Romana</v>
      </c>
      <c r="D102" s="156" t="str">
        <f>Start.listina!L19</f>
        <v>POP Praha</v>
      </c>
      <c r="E102" s="156">
        <f>Start.listina!M19</f>
        <v>255</v>
      </c>
      <c r="F102" s="158">
        <f>Start.listina!N19</f>
        <v>11</v>
      </c>
      <c r="G102" s="69"/>
    </row>
    <row r="103" spans="1:7" ht="12" customHeight="1">
      <c r="A103" s="156">
        <f>Start.listina!I52</f>
        <v>18071</v>
      </c>
      <c r="B103" s="157" t="str">
        <f>Start.listina!J52</f>
        <v>Koudelka</v>
      </c>
      <c r="C103" s="156" t="str">
        <f>Start.listina!K52</f>
        <v>Josef</v>
      </c>
      <c r="D103" s="156" t="str">
        <f>Start.listina!L52</f>
        <v>PK Polouvsí</v>
      </c>
      <c r="E103" s="156">
        <f>Start.listina!M52</f>
        <v>346</v>
      </c>
      <c r="F103" s="158">
        <f>Start.listina!N52</f>
        <v>10.250999999999999</v>
      </c>
      <c r="G103" s="69"/>
    </row>
    <row r="104" spans="1:7" ht="12" customHeight="1">
      <c r="A104" s="156">
        <f>Start.listina!U43</f>
        <v>21049</v>
      </c>
      <c r="B104" s="157" t="str">
        <f>Start.listina!V43</f>
        <v>Paulík</v>
      </c>
      <c r="C104" s="156" t="str">
        <f>Start.listina!W43</f>
        <v>Robert</v>
      </c>
      <c r="D104" s="156" t="str">
        <f>Start.listina!X43</f>
        <v>SLOPE Brno</v>
      </c>
      <c r="E104" s="156">
        <f>Start.listina!Y43</f>
        <v>378</v>
      </c>
      <c r="F104" s="158">
        <f>Start.listina!Z43</f>
        <v>10.063000000000001</v>
      </c>
      <c r="G104" s="69"/>
    </row>
    <row r="105" spans="1:7" ht="12" customHeight="1">
      <c r="A105" s="156">
        <f>Start.listina!O32</f>
        <v>20504</v>
      </c>
      <c r="B105" s="157" t="str">
        <f>Start.listina!P32</f>
        <v>Bytešník</v>
      </c>
      <c r="C105" s="156" t="str">
        <f>Start.listina!Q32</f>
        <v>Roman</v>
      </c>
      <c r="D105" s="156" t="str">
        <f>Start.listina!R32</f>
        <v>Carreau Brno</v>
      </c>
      <c r="E105" s="156">
        <f>Start.listina!S32</f>
        <v>320</v>
      </c>
      <c r="F105" s="158">
        <f>Start.listina!T32</f>
        <v>9.75</v>
      </c>
      <c r="G105" s="69"/>
    </row>
    <row r="106" spans="1:7" ht="12" customHeight="1">
      <c r="A106" s="156">
        <f>Start.listina!U37</f>
        <v>98304</v>
      </c>
      <c r="B106" s="157" t="str">
        <f>Start.listina!V37</f>
        <v>Urbanová</v>
      </c>
      <c r="C106" s="156" t="str">
        <f>Start.listina!W37</f>
        <v>Bronislava</v>
      </c>
      <c r="D106" s="156" t="str">
        <f>Start.listina!X37</f>
        <v>1. Starobrněnský PK</v>
      </c>
      <c r="E106" s="156">
        <f>Start.listina!Y37</f>
        <v>258</v>
      </c>
      <c r="F106" s="158">
        <f>Start.listina!Z37</f>
        <v>9.282</v>
      </c>
      <c r="G106" s="69"/>
    </row>
    <row r="107" spans="1:7" ht="12" customHeight="1">
      <c r="A107" s="156">
        <f>Start.listina!O37</f>
        <v>21007</v>
      </c>
      <c r="B107" s="157" t="str">
        <f>Start.listina!P37</f>
        <v>Seredová</v>
      </c>
      <c r="C107" s="156" t="str">
        <f>Start.listina!Q37</f>
        <v>Lucie</v>
      </c>
      <c r="D107" s="156" t="str">
        <f>Start.listina!R37</f>
        <v>FENYX Adamov</v>
      </c>
      <c r="E107" s="156">
        <f>Start.listina!S37</f>
        <v>376</v>
      </c>
      <c r="F107" s="158">
        <f>Start.listina!T37</f>
        <v>9.2509999999999994</v>
      </c>
      <c r="G107" s="69"/>
    </row>
    <row r="108" spans="1:7" ht="12" customHeight="1">
      <c r="A108" s="156">
        <f>Start.listina!I40</f>
        <v>21072</v>
      </c>
      <c r="B108" s="157" t="str">
        <f>Start.listina!J40</f>
        <v>Kutra</v>
      </c>
      <c r="C108" s="156" t="str">
        <f>Start.listina!K40</f>
        <v>Oldřích</v>
      </c>
      <c r="D108" s="156" t="str">
        <f>Start.listina!L40</f>
        <v>1. Starobrněnský PK</v>
      </c>
      <c r="E108" s="156">
        <f>Start.listina!M40</f>
        <v>352</v>
      </c>
      <c r="F108" s="158">
        <f>Start.listina!N40</f>
        <v>9.0950000000000006</v>
      </c>
      <c r="G108" s="69"/>
    </row>
    <row r="109" spans="1:7" ht="12" customHeight="1">
      <c r="A109" s="156">
        <f>Start.listina!O31</f>
        <v>22149</v>
      </c>
      <c r="B109" s="157" t="str">
        <f>Start.listina!P31</f>
        <v>Židková</v>
      </c>
      <c r="C109" s="156" t="str">
        <f>Start.listina!Q31</f>
        <v>Dana</v>
      </c>
      <c r="D109" s="156" t="str">
        <f>Start.listina!R31</f>
        <v>PC Hrabyně</v>
      </c>
      <c r="E109" s="156">
        <f>Start.listina!S31</f>
        <v>359</v>
      </c>
      <c r="F109" s="158">
        <f>Start.listina!T31</f>
        <v>9</v>
      </c>
      <c r="G109" s="69"/>
    </row>
    <row r="110" spans="1:7" ht="12" customHeight="1">
      <c r="A110" s="156">
        <f>Start.listina!I35</f>
        <v>13047</v>
      </c>
      <c r="B110" s="157" t="str">
        <f>Start.listina!J35</f>
        <v>Šimíček</v>
      </c>
      <c r="C110" s="156" t="str">
        <f>Start.listina!K35</f>
        <v>Ladislav</v>
      </c>
      <c r="D110" s="156" t="str">
        <f>Start.listina!L35</f>
        <v>SOKOL Staříč</v>
      </c>
      <c r="E110" s="156">
        <f>Start.listina!M35</f>
        <v>400</v>
      </c>
      <c r="F110" s="158">
        <f>Start.listina!N35</f>
        <v>8.5329999999999995</v>
      </c>
      <c r="G110" s="69"/>
    </row>
    <row r="111" spans="1:7" ht="12" customHeight="1">
      <c r="A111" s="156">
        <f>Start.listina!U55</f>
        <v>20511</v>
      </c>
      <c r="B111" s="157" t="str">
        <f>Start.listina!V55</f>
        <v>Malina</v>
      </c>
      <c r="C111" s="156" t="str">
        <f>Start.listina!W55</f>
        <v>František</v>
      </c>
      <c r="D111" s="156" t="str">
        <f>Start.listina!X55</f>
        <v>PC Sokol PP Hr. Králové</v>
      </c>
      <c r="E111" s="156">
        <f>Start.listina!Y55</f>
        <v>301</v>
      </c>
      <c r="F111" s="158">
        <f>Start.listina!Z55</f>
        <v>8.36</v>
      </c>
      <c r="G111" s="69"/>
    </row>
    <row r="112" spans="1:7" ht="12" customHeight="1">
      <c r="A112" s="156">
        <f>Start.listina!I49</f>
        <v>19040</v>
      </c>
      <c r="B112" s="157" t="str">
        <f>Start.listina!J49</f>
        <v>Olbort</v>
      </c>
      <c r="C112" s="156" t="str">
        <f>Start.listina!K49</f>
        <v>Tomáš</v>
      </c>
      <c r="D112" s="156" t="str">
        <f>Start.listina!L49</f>
        <v>Orel Řečkovice</v>
      </c>
      <c r="E112" s="156">
        <f>Start.listina!M49</f>
        <v>397</v>
      </c>
      <c r="F112" s="158">
        <f>Start.listina!N49</f>
        <v>8.25</v>
      </c>
      <c r="G112" s="69"/>
    </row>
    <row r="113" spans="1:7" ht="12" customHeight="1">
      <c r="A113" s="156">
        <f>Start.listina!U30</f>
        <v>15083</v>
      </c>
      <c r="B113" s="157" t="str">
        <f>Start.listina!V30</f>
        <v>Dřevojan</v>
      </c>
      <c r="C113" s="156" t="str">
        <f>Start.listina!W30</f>
        <v>Milan</v>
      </c>
      <c r="D113" s="156" t="str">
        <f>Start.listina!X30</f>
        <v>1. Starobrněnský PK</v>
      </c>
      <c r="E113" s="156">
        <f>Start.listina!Y30</f>
        <v>364</v>
      </c>
      <c r="F113" s="158">
        <f>Start.listina!Z30</f>
        <v>8.1880000000000006</v>
      </c>
      <c r="G113" s="69"/>
    </row>
    <row r="114" spans="1:7" ht="12" customHeight="1">
      <c r="A114" s="156">
        <f>Start.listina!I34</f>
        <v>99496</v>
      </c>
      <c r="B114" s="157" t="str">
        <f>Start.listina!J34</f>
        <v>Drmola</v>
      </c>
      <c r="C114" s="156" t="str">
        <f>Start.listina!K34</f>
        <v>Michal</v>
      </c>
      <c r="D114" s="156" t="str">
        <f>Start.listina!L34</f>
        <v>HRODE KRUMSÍN</v>
      </c>
      <c r="E114" s="156">
        <f>Start.listina!M34</f>
        <v>277</v>
      </c>
      <c r="F114" s="158">
        <f>Start.listina!N34</f>
        <v>7.484</v>
      </c>
      <c r="G114" s="69"/>
    </row>
    <row r="115" spans="1:7" ht="12" customHeight="1">
      <c r="A115" s="156">
        <f>Start.listina!I41</f>
        <v>96229</v>
      </c>
      <c r="B115" s="157" t="str">
        <f>Start.listina!J41</f>
        <v>Plesník</v>
      </c>
      <c r="C115" s="156" t="str">
        <f>Start.listina!K41</f>
        <v>Vladimír</v>
      </c>
      <c r="D115" s="156" t="str">
        <f>Start.listina!L41</f>
        <v>SOKOL Staříč</v>
      </c>
      <c r="E115" s="156">
        <f>Start.listina!M41</f>
        <v>426</v>
      </c>
      <c r="F115" s="158">
        <f>Start.listina!N41</f>
        <v>6.657</v>
      </c>
      <c r="G115" s="69"/>
    </row>
    <row r="116" spans="1:7" ht="12" customHeight="1">
      <c r="A116" s="156">
        <f>Start.listina!O48</f>
        <v>15078</v>
      </c>
      <c r="B116" s="157" t="str">
        <f>Start.listina!P48</f>
        <v>Vérosta</v>
      </c>
      <c r="C116" s="156" t="str">
        <f>Start.listina!Q48</f>
        <v>David</v>
      </c>
      <c r="D116" s="156" t="str">
        <f>Start.listina!R48</f>
        <v>HP Třebíč</v>
      </c>
      <c r="E116" s="156">
        <f>Start.listina!S48</f>
        <v>442</v>
      </c>
      <c r="F116" s="158">
        <f>Start.listina!T48</f>
        <v>6.625</v>
      </c>
      <c r="G116" s="69"/>
    </row>
    <row r="117" spans="1:7" ht="12" customHeight="1">
      <c r="A117" s="156">
        <f>Start.listina!O54</f>
        <v>26022</v>
      </c>
      <c r="B117" s="157" t="str">
        <f>Start.listina!P54</f>
        <v>Gratcl</v>
      </c>
      <c r="C117" s="156" t="str">
        <f>Start.listina!Q54</f>
        <v>Martin</v>
      </c>
      <c r="D117" s="156" t="str">
        <f>Start.listina!R54</f>
        <v>SKP Hranice VI-Valšovice</v>
      </c>
      <c r="E117" s="156">
        <f>Start.listina!S54</f>
        <v>415</v>
      </c>
      <c r="F117" s="158">
        <f>Start.listina!T54</f>
        <v>6.625</v>
      </c>
      <c r="G117" s="69"/>
    </row>
    <row r="118" spans="1:7" ht="12" customHeight="1">
      <c r="A118" s="156">
        <f>Start.listina!U40</f>
        <v>21061</v>
      </c>
      <c r="B118" s="157" t="str">
        <f>Start.listina!V40</f>
        <v>Dušáková</v>
      </c>
      <c r="C118" s="156" t="str">
        <f>Start.listina!W40</f>
        <v>Veronika</v>
      </c>
      <c r="D118" s="156" t="str">
        <f>Start.listina!X40</f>
        <v>P.C.B.D.</v>
      </c>
      <c r="E118" s="156">
        <f>Start.listina!Y40</f>
        <v>390</v>
      </c>
      <c r="F118" s="158">
        <f>Start.listina!Z40</f>
        <v>6.3609999999999998</v>
      </c>
      <c r="G118" s="69"/>
    </row>
    <row r="119" spans="1:7" ht="12" customHeight="1">
      <c r="A119" s="156">
        <f>Start.listina!U54</f>
        <v>18052</v>
      </c>
      <c r="B119" s="157" t="str">
        <f>Start.listina!V54</f>
        <v>Šugar</v>
      </c>
      <c r="C119" s="156" t="str">
        <f>Start.listina!W54</f>
        <v>Zdeněk</v>
      </c>
      <c r="D119" s="156" t="str">
        <f>Start.listina!X54</f>
        <v>SKP Hranice VI-Valšovice</v>
      </c>
      <c r="E119" s="156">
        <f>Start.listina!Y54</f>
        <v>410</v>
      </c>
      <c r="F119" s="158">
        <f>Start.listina!Z54</f>
        <v>6.3440000000000003</v>
      </c>
      <c r="G119" s="69"/>
    </row>
    <row r="120" spans="1:7" ht="12" customHeight="1">
      <c r="A120" s="156">
        <f>Start.listina!O51</f>
        <v>17038</v>
      </c>
      <c r="B120" s="157" t="str">
        <f>Start.listina!P51</f>
        <v>Šamšulová</v>
      </c>
      <c r="C120" s="156" t="str">
        <f>Start.listina!Q51</f>
        <v>Jana</v>
      </c>
      <c r="D120" s="156" t="str">
        <f>Start.listina!R51</f>
        <v>KLIP Litovel</v>
      </c>
      <c r="E120" s="156">
        <f>Start.listina!S51</f>
        <v>444</v>
      </c>
      <c r="F120" s="158">
        <f>Start.listina!T51</f>
        <v>6.22</v>
      </c>
      <c r="G120" s="69"/>
    </row>
    <row r="121" spans="1:7" ht="12" customHeight="1">
      <c r="A121" s="156">
        <f>Start.listina!U52</f>
        <v>22121</v>
      </c>
      <c r="B121" s="157" t="str">
        <f>Start.listina!V52</f>
        <v>Korčáková</v>
      </c>
      <c r="C121" s="156" t="str">
        <f>Start.listina!W52</f>
        <v>Helena</v>
      </c>
      <c r="D121" s="156" t="str">
        <f>Start.listina!X52</f>
        <v>PK Polouvsí</v>
      </c>
      <c r="E121" s="156">
        <f>Start.listina!Y52</f>
        <v>407</v>
      </c>
      <c r="F121" s="158">
        <f>Start.listina!Z52</f>
        <v>5.9690000000000003</v>
      </c>
      <c r="G121" s="69"/>
    </row>
    <row r="122" spans="1:7" ht="12" customHeight="1">
      <c r="A122" s="156">
        <f>Start.listina!U39</f>
        <v>18098</v>
      </c>
      <c r="B122" s="157" t="str">
        <f>Start.listina!V39</f>
        <v>Strouhal</v>
      </c>
      <c r="C122" s="156" t="str">
        <f>Start.listina!W39</f>
        <v>Pavel</v>
      </c>
      <c r="D122" s="156" t="str">
        <f>Start.listina!X39</f>
        <v>1. Starobrněnský PK</v>
      </c>
      <c r="E122" s="156">
        <f>Start.listina!Y39</f>
        <v>430</v>
      </c>
      <c r="F122" s="158">
        <f>Start.listina!Z39</f>
        <v>5.8129999999999997</v>
      </c>
      <c r="G122" s="69"/>
    </row>
    <row r="123" spans="1:7" ht="12" customHeight="1">
      <c r="A123" s="156">
        <f>Start.listina!U42</f>
        <v>22150</v>
      </c>
      <c r="B123" s="157" t="str">
        <f>Start.listina!V42</f>
        <v>Kozak</v>
      </c>
      <c r="C123" s="156" t="str">
        <f>Start.listina!W42</f>
        <v>Petr</v>
      </c>
      <c r="D123" s="156" t="str">
        <f>Start.listina!X42</f>
        <v>PC Hrabyně</v>
      </c>
      <c r="E123" s="156">
        <f>Start.listina!Y42</f>
        <v>456</v>
      </c>
      <c r="F123" s="158">
        <f>Start.listina!Z42</f>
        <v>5.5650000000000004</v>
      </c>
      <c r="G123" s="69"/>
    </row>
    <row r="124" spans="1:7" ht="12" customHeight="1">
      <c r="A124" s="156">
        <f>Start.listina!O40</f>
        <v>22180</v>
      </c>
      <c r="B124" s="157" t="str">
        <f>Start.listina!P40</f>
        <v>Čiviš</v>
      </c>
      <c r="C124" s="156" t="str">
        <f>Start.listina!Q40</f>
        <v>Antonín</v>
      </c>
      <c r="D124" s="156" t="str">
        <f>Start.listina!R40</f>
        <v>P.C.B.D.</v>
      </c>
      <c r="E124" s="156">
        <f>Start.listina!S40</f>
        <v>452</v>
      </c>
      <c r="F124" s="158">
        <f>Start.listina!T40</f>
        <v>5.22</v>
      </c>
      <c r="G124" s="69"/>
    </row>
    <row r="125" spans="1:7" ht="12" customHeight="1">
      <c r="A125" s="156">
        <f>Start.listina!U31</f>
        <v>22151</v>
      </c>
      <c r="B125" s="157" t="str">
        <f>Start.listina!V31</f>
        <v>Kozaková</v>
      </c>
      <c r="C125" s="156" t="str">
        <f>Start.listina!W31</f>
        <v>Blanka</v>
      </c>
      <c r="D125" s="156" t="str">
        <f>Start.listina!X31</f>
        <v>PC Hrabyně</v>
      </c>
      <c r="E125" s="156">
        <f>Start.listina!Y31</f>
        <v>481</v>
      </c>
      <c r="F125" s="158">
        <f>Start.listina!Z31</f>
        <v>4.9400000000000004</v>
      </c>
      <c r="G125" s="69"/>
    </row>
    <row r="126" spans="1:7" ht="12" customHeight="1">
      <c r="A126" s="156">
        <f>Start.listina!U27</f>
        <v>21004</v>
      </c>
      <c r="B126" s="157" t="str">
        <f>Start.listina!V27</f>
        <v>Janíčková</v>
      </c>
      <c r="C126" s="156" t="str">
        <f>Start.listina!W27</f>
        <v>Kamila</v>
      </c>
      <c r="D126" s="156" t="str">
        <f>Start.listina!X27</f>
        <v>Carreau Brno</v>
      </c>
      <c r="E126" s="156">
        <f>Start.listina!Y27</f>
        <v>329</v>
      </c>
      <c r="F126" s="158">
        <f>Start.listina!Z27</f>
        <v>4.742</v>
      </c>
      <c r="G126" s="69"/>
    </row>
    <row r="127" spans="1:7" ht="12" customHeight="1">
      <c r="A127" s="156">
        <f>Start.listina!I46</f>
        <v>98477</v>
      </c>
      <c r="B127" s="157" t="str">
        <f>Start.listina!J46</f>
        <v>Hejl ml.</v>
      </c>
      <c r="C127" s="156" t="str">
        <f>Start.listina!K46</f>
        <v>Pavel</v>
      </c>
      <c r="D127" s="156" t="str">
        <f>Start.listina!L46</f>
        <v>P.C.B.D.</v>
      </c>
      <c r="E127" s="156">
        <f>Start.listina!M46</f>
        <v>348</v>
      </c>
      <c r="F127" s="158">
        <f>Start.listina!N46</f>
        <v>3.9689999999999999</v>
      </c>
      <c r="G127" s="69"/>
    </row>
    <row r="128" spans="1:7" ht="12" customHeight="1">
      <c r="A128" s="156">
        <f>Start.listina!O47</f>
        <v>19021</v>
      </c>
      <c r="B128" s="157" t="str">
        <f>Start.listina!P47</f>
        <v>Chodúr</v>
      </c>
      <c r="C128" s="156" t="str">
        <f>Start.listina!Q47</f>
        <v>Peter</v>
      </c>
      <c r="D128" s="156" t="str">
        <f>Start.listina!R47</f>
        <v>HRODE KRUMSÍN</v>
      </c>
      <c r="E128" s="156">
        <f>Start.listina!S47</f>
        <v>485</v>
      </c>
      <c r="F128" s="158">
        <f>Start.listina!T47</f>
        <v>3.8439999999999999</v>
      </c>
      <c r="G128" s="69"/>
    </row>
    <row r="129" spans="1:7" ht="12" customHeight="1">
      <c r="A129" s="156">
        <f>Start.listina!U29</f>
        <v>98311</v>
      </c>
      <c r="B129" s="157" t="str">
        <f>Start.listina!V29</f>
        <v>Konečný</v>
      </c>
      <c r="C129" s="156" t="str">
        <f>Start.listina!W29</f>
        <v>Pavel</v>
      </c>
      <c r="D129" s="156" t="str">
        <f>Start.listina!X29</f>
        <v>Kulový blesk Olomouc</v>
      </c>
      <c r="E129" s="156">
        <f>Start.listina!Y29</f>
        <v>502</v>
      </c>
      <c r="F129" s="158">
        <f>Start.listina!Z29</f>
        <v>3.8130000000000002</v>
      </c>
      <c r="G129" s="69"/>
    </row>
    <row r="130" spans="1:7" ht="12" customHeight="1">
      <c r="A130" s="156">
        <f>Start.listina!O29</f>
        <v>98312</v>
      </c>
      <c r="B130" s="157" t="str">
        <f>Start.listina!P29</f>
        <v>Konečná</v>
      </c>
      <c r="C130" s="156" t="str">
        <f>Start.listina!Q29</f>
        <v>Mariana</v>
      </c>
      <c r="D130" s="156" t="str">
        <f>Start.listina!R29</f>
        <v>Kulový blesk Olomouc</v>
      </c>
      <c r="E130" s="156">
        <f>Start.listina!S29</f>
        <v>501</v>
      </c>
      <c r="F130" s="158">
        <f>Start.listina!T29</f>
        <v>3.8130000000000002</v>
      </c>
      <c r="G130" s="69"/>
    </row>
    <row r="131" spans="1:7" ht="12" customHeight="1">
      <c r="A131" s="156">
        <f>Start.listina!O34</f>
        <v>22953</v>
      </c>
      <c r="B131" s="157" t="str">
        <f>Start.listina!P34</f>
        <v>Drmola</v>
      </c>
      <c r="C131" s="156" t="str">
        <f>Start.listina!Q34</f>
        <v>David</v>
      </c>
      <c r="D131" s="156" t="str">
        <f>Start.listina!R34</f>
        <v>HRODE KRUMSÍN</v>
      </c>
      <c r="E131" s="156">
        <f>Start.listina!S34</f>
        <v>538</v>
      </c>
      <c r="F131" s="158">
        <f>Start.listina!T34</f>
        <v>3.625</v>
      </c>
      <c r="G131" s="69"/>
    </row>
    <row r="132" spans="1:7" ht="12" customHeight="1">
      <c r="A132" s="156">
        <f>Start.listina!O35</f>
        <v>97262</v>
      </c>
      <c r="B132" s="157" t="str">
        <f>Start.listina!P35</f>
        <v>Žídková</v>
      </c>
      <c r="C132" s="156" t="str">
        <f>Start.listina!Q35</f>
        <v>Lenka</v>
      </c>
      <c r="D132" s="156" t="str">
        <f>Start.listina!R35</f>
        <v>SOKOL Staříč</v>
      </c>
      <c r="E132" s="156">
        <f>Start.listina!S35</f>
        <v>552</v>
      </c>
      <c r="F132" s="158">
        <f>Start.listina!T35</f>
        <v>2.6880000000000002</v>
      </c>
      <c r="G132" s="69"/>
    </row>
    <row r="133" spans="1:7" ht="12" customHeight="1">
      <c r="A133" s="156">
        <f>Start.listina!U32</f>
        <v>23236</v>
      </c>
      <c r="B133" s="157" t="str">
        <f>Start.listina!V32</f>
        <v>Pellizon</v>
      </c>
      <c r="C133" s="156" t="str">
        <f>Start.listina!W32</f>
        <v>Boris Alfred</v>
      </c>
      <c r="D133" s="156" t="str">
        <f>Start.listina!X32</f>
        <v>Carreau Brno</v>
      </c>
      <c r="E133" s="156">
        <f>Start.listina!Y32</f>
        <v>535</v>
      </c>
      <c r="F133" s="158">
        <f>Start.listina!Z32</f>
        <v>2.3439999999999999</v>
      </c>
      <c r="G133" s="69"/>
    </row>
    <row r="134" spans="1:7" ht="12" customHeight="1">
      <c r="A134" s="156">
        <f>Start.listina!O41</f>
        <v>96225</v>
      </c>
      <c r="B134" s="157" t="str">
        <f>Start.listina!P41</f>
        <v>Brož</v>
      </c>
      <c r="C134" s="156" t="str">
        <f>Start.listina!Q41</f>
        <v>Karel</v>
      </c>
      <c r="D134" s="156" t="str">
        <f>Start.listina!R41</f>
        <v>SOKOL Staříč</v>
      </c>
      <c r="E134" s="156">
        <f>Start.listina!S41</f>
        <v>564</v>
      </c>
      <c r="F134" s="158">
        <f>Start.listina!T41</f>
        <v>2.25</v>
      </c>
      <c r="G134" s="69"/>
    </row>
    <row r="135" spans="1:7" ht="12" customHeight="1">
      <c r="A135" s="156">
        <f>Start.listina!I29</f>
        <v>13054</v>
      </c>
      <c r="B135" s="157" t="str">
        <f>Start.listina!J29</f>
        <v>Hildenbrand</v>
      </c>
      <c r="C135" s="156" t="str">
        <f>Start.listina!K29</f>
        <v>Benjamin</v>
      </c>
      <c r="D135" s="156" t="str">
        <f>Start.listina!L29</f>
        <v>Kulový blesk Olomouc</v>
      </c>
      <c r="E135" s="156">
        <f>Start.listina!M29</f>
        <v>604</v>
      </c>
      <c r="F135" s="158">
        <f>Start.listina!N29</f>
        <v>2</v>
      </c>
      <c r="G135" s="69"/>
    </row>
    <row r="136" spans="1:7" ht="12" customHeight="1">
      <c r="A136" s="156">
        <f>Start.listina!I47</f>
        <v>20506</v>
      </c>
      <c r="B136" s="157" t="str">
        <f>Start.listina!J47</f>
        <v>Potužák</v>
      </c>
      <c r="C136" s="156" t="str">
        <f>Start.listina!K47</f>
        <v>Zdeněk</v>
      </c>
      <c r="D136" s="156" t="str">
        <f>Start.listina!L47</f>
        <v>KLIP Litovel</v>
      </c>
      <c r="E136" s="156">
        <f>Start.listina!M47</f>
        <v>586</v>
      </c>
      <c r="F136" s="158">
        <f>Start.listina!N47</f>
        <v>1.4379999999999999</v>
      </c>
      <c r="G136" s="69"/>
    </row>
    <row r="137" spans="1:7" ht="12" customHeight="1">
      <c r="A137" s="156">
        <f>Start.listina!U41</f>
        <v>26039</v>
      </c>
      <c r="B137" s="157" t="str">
        <f>Start.listina!V41</f>
        <v>Kozelský</v>
      </c>
      <c r="C137" s="156" t="str">
        <f>Start.listina!W41</f>
        <v>Martin</v>
      </c>
      <c r="D137" s="156" t="str">
        <f>Start.listina!X41</f>
        <v>SOKOL Staříč</v>
      </c>
      <c r="E137" s="156">
        <f>Start.listina!Y41</f>
        <v>759</v>
      </c>
      <c r="F137" s="158">
        <f>Start.listina!Z41</f>
        <v>0</v>
      </c>
      <c r="G137" s="69"/>
    </row>
    <row r="138" spans="1:7" ht="12" customHeight="1">
      <c r="A138" s="156">
        <f>Start.listina!U47</f>
        <v>23244</v>
      </c>
      <c r="B138" s="157" t="str">
        <f>Start.listina!V47</f>
        <v>Škobrtal</v>
      </c>
      <c r="C138" s="156" t="str">
        <f>Start.listina!W47</f>
        <v>Petr</v>
      </c>
      <c r="D138" s="156" t="str">
        <f>Start.listina!X47</f>
        <v>KLIP Litovel</v>
      </c>
      <c r="E138" s="156">
        <f>Start.listina!Y47</f>
        <v>896</v>
      </c>
      <c r="F138" s="158">
        <f>Start.listina!Z47</f>
        <v>0</v>
      </c>
      <c r="G138" s="69"/>
    </row>
    <row r="139" spans="1:7" ht="12" customHeight="1">
      <c r="A139" s="156" t="str">
        <f>Start.listina!I56</f>
        <v/>
      </c>
      <c r="B139" s="157" t="str">
        <f>Start.listina!J56</f>
        <v xml:space="preserve"> </v>
      </c>
      <c r="C139" s="156" t="str">
        <f>Start.listina!K56</f>
        <v xml:space="preserve"> </v>
      </c>
      <c r="D139" s="156" t="str">
        <f>Start.listina!L56</f>
        <v xml:space="preserve"> </v>
      </c>
      <c r="E139" s="156">
        <f>Start.listina!M56</f>
        <v>9999</v>
      </c>
      <c r="F139" s="158">
        <f>Start.listina!N56</f>
        <v>0</v>
      </c>
      <c r="G139" s="69"/>
    </row>
    <row r="140" spans="1:7" ht="12" customHeight="1">
      <c r="A140" s="156" t="str">
        <f>Start.listina!I57</f>
        <v/>
      </c>
      <c r="B140" s="157" t="str">
        <f>Start.listina!J57</f>
        <v xml:space="preserve"> </v>
      </c>
      <c r="C140" s="156" t="str">
        <f>Start.listina!K57</f>
        <v xml:space="preserve"> </v>
      </c>
      <c r="D140" s="156" t="str">
        <f>Start.listina!L57</f>
        <v xml:space="preserve"> </v>
      </c>
      <c r="E140" s="156">
        <f>Start.listina!M57</f>
        <v>9999</v>
      </c>
      <c r="F140" s="158">
        <f>Start.listina!N57</f>
        <v>0</v>
      </c>
      <c r="G140" s="69"/>
    </row>
    <row r="141" spans="1:7" ht="12" customHeight="1">
      <c r="A141" s="156" t="str">
        <f>Start.listina!I58</f>
        <v/>
      </c>
      <c r="B141" s="157" t="str">
        <f>Start.listina!J58</f>
        <v xml:space="preserve"> </v>
      </c>
      <c r="C141" s="156" t="str">
        <f>Start.listina!K58</f>
        <v xml:space="preserve"> </v>
      </c>
      <c r="D141" s="156" t="str">
        <f>Start.listina!L58</f>
        <v xml:space="preserve"> </v>
      </c>
      <c r="E141" s="156">
        <f>Start.listina!M58</f>
        <v>9999</v>
      </c>
      <c r="F141" s="158">
        <f>Start.listina!N58</f>
        <v>0</v>
      </c>
      <c r="G141" s="69"/>
    </row>
    <row r="142" spans="1:7" ht="12" customHeight="1">
      <c r="A142" s="156" t="str">
        <f>Start.listina!I59</f>
        <v/>
      </c>
      <c r="B142" s="157" t="str">
        <f>Start.listina!J59</f>
        <v xml:space="preserve"> </v>
      </c>
      <c r="C142" s="156" t="str">
        <f>Start.listina!K59</f>
        <v xml:space="preserve"> </v>
      </c>
      <c r="D142" s="156" t="str">
        <f>Start.listina!L59</f>
        <v xml:space="preserve"> </v>
      </c>
      <c r="E142" s="156">
        <f>Start.listina!M59</f>
        <v>9999</v>
      </c>
      <c r="F142" s="158">
        <f>Start.listina!N59</f>
        <v>0</v>
      </c>
      <c r="G142" s="69"/>
    </row>
    <row r="143" spans="1:7" ht="12" customHeight="1">
      <c r="A143" s="156" t="str">
        <f>Start.listina!I60</f>
        <v/>
      </c>
      <c r="B143" s="157" t="str">
        <f>Start.listina!J60</f>
        <v xml:space="preserve"> </v>
      </c>
      <c r="C143" s="156" t="str">
        <f>Start.listina!K60</f>
        <v xml:space="preserve"> </v>
      </c>
      <c r="D143" s="156" t="str">
        <f>Start.listina!L60</f>
        <v xml:space="preserve"> </v>
      </c>
      <c r="E143" s="156">
        <f>Start.listina!M60</f>
        <v>9999</v>
      </c>
      <c r="F143" s="158">
        <f>Start.listina!N60</f>
        <v>0</v>
      </c>
      <c r="G143" s="69"/>
    </row>
    <row r="144" spans="1:7" ht="12" customHeight="1">
      <c r="A144" s="156" t="str">
        <f>Start.listina!I61</f>
        <v/>
      </c>
      <c r="B144" s="157" t="str">
        <f>Start.listina!J61</f>
        <v xml:space="preserve"> </v>
      </c>
      <c r="C144" s="156" t="str">
        <f>Start.listina!K61</f>
        <v xml:space="preserve"> </v>
      </c>
      <c r="D144" s="156" t="str">
        <f>Start.listina!L61</f>
        <v xml:space="preserve"> </v>
      </c>
      <c r="E144" s="156">
        <f>Start.listina!M61</f>
        <v>9999</v>
      </c>
      <c r="F144" s="158">
        <f>Start.listina!N61</f>
        <v>0</v>
      </c>
      <c r="G144" s="69"/>
    </row>
    <row r="145" spans="1:7" ht="12" customHeight="1">
      <c r="A145" s="156" t="str">
        <f>Start.listina!I62</f>
        <v/>
      </c>
      <c r="B145" s="157" t="str">
        <f>Start.listina!J62</f>
        <v xml:space="preserve"> </v>
      </c>
      <c r="C145" s="156" t="str">
        <f>Start.listina!K62</f>
        <v xml:space="preserve"> </v>
      </c>
      <c r="D145" s="156" t="str">
        <f>Start.listina!L62</f>
        <v xml:space="preserve"> </v>
      </c>
      <c r="E145" s="156">
        <f>Start.listina!M62</f>
        <v>9999</v>
      </c>
      <c r="F145" s="158">
        <f>Start.listina!N62</f>
        <v>0</v>
      </c>
      <c r="G145" s="69"/>
    </row>
    <row r="146" spans="1:7" ht="12" customHeight="1">
      <c r="A146" s="156" t="str">
        <f>Start.listina!I63</f>
        <v/>
      </c>
      <c r="B146" s="157" t="str">
        <f>Start.listina!J63</f>
        <v xml:space="preserve"> </v>
      </c>
      <c r="C146" s="156" t="str">
        <f>Start.listina!K63</f>
        <v xml:space="preserve"> </v>
      </c>
      <c r="D146" s="156" t="str">
        <f>Start.listina!L63</f>
        <v xml:space="preserve"> </v>
      </c>
      <c r="E146" s="156">
        <f>Start.listina!M63</f>
        <v>9999</v>
      </c>
      <c r="F146" s="158">
        <f>Start.listina!N63</f>
        <v>0</v>
      </c>
      <c r="G146" s="69"/>
    </row>
    <row r="147" spans="1:7" ht="12" customHeight="1">
      <c r="A147" s="156" t="str">
        <f>Start.listina!I64</f>
        <v/>
      </c>
      <c r="B147" s="157" t="str">
        <f>Start.listina!J64</f>
        <v xml:space="preserve"> </v>
      </c>
      <c r="C147" s="156" t="str">
        <f>Start.listina!K64</f>
        <v xml:space="preserve"> </v>
      </c>
      <c r="D147" s="156" t="str">
        <f>Start.listina!L64</f>
        <v xml:space="preserve"> </v>
      </c>
      <c r="E147" s="156">
        <f>Start.listina!M64</f>
        <v>9999</v>
      </c>
      <c r="F147" s="158">
        <f>Start.listina!N64</f>
        <v>0</v>
      </c>
      <c r="G147" s="69"/>
    </row>
    <row r="148" spans="1:7" ht="12" customHeight="1">
      <c r="A148" s="156" t="str">
        <f>Start.listina!I65</f>
        <v/>
      </c>
      <c r="B148" s="157" t="str">
        <f>Start.listina!J65</f>
        <v xml:space="preserve"> </v>
      </c>
      <c r="C148" s="156" t="str">
        <f>Start.listina!K65</f>
        <v xml:space="preserve"> </v>
      </c>
      <c r="D148" s="156" t="str">
        <f>Start.listina!L65</f>
        <v xml:space="preserve"> </v>
      </c>
      <c r="E148" s="156">
        <f>Start.listina!M65</f>
        <v>9999</v>
      </c>
      <c r="F148" s="158">
        <f>Start.listina!N65</f>
        <v>0</v>
      </c>
      <c r="G148" s="69"/>
    </row>
    <row r="149" spans="1:7" ht="12" customHeight="1">
      <c r="A149" s="156" t="str">
        <f>Start.listina!I66</f>
        <v/>
      </c>
      <c r="B149" s="157" t="str">
        <f>Start.listina!J66</f>
        <v xml:space="preserve"> </v>
      </c>
      <c r="C149" s="156" t="str">
        <f>Start.listina!K66</f>
        <v xml:space="preserve"> </v>
      </c>
      <c r="D149" s="156" t="str">
        <f>Start.listina!L66</f>
        <v xml:space="preserve"> </v>
      </c>
      <c r="E149" s="156">
        <f>Start.listina!M66</f>
        <v>9999</v>
      </c>
      <c r="F149" s="158">
        <f>Start.listina!N66</f>
        <v>0</v>
      </c>
      <c r="G149" s="69"/>
    </row>
    <row r="150" spans="1:7" ht="12" customHeight="1">
      <c r="A150" s="156" t="str">
        <f>Start.listina!I67</f>
        <v/>
      </c>
      <c r="B150" s="157" t="str">
        <f>Start.listina!J67</f>
        <v xml:space="preserve"> </v>
      </c>
      <c r="C150" s="156" t="str">
        <f>Start.listina!K67</f>
        <v xml:space="preserve"> </v>
      </c>
      <c r="D150" s="156" t="str">
        <f>Start.listina!L67</f>
        <v xml:space="preserve"> </v>
      </c>
      <c r="E150" s="156">
        <f>Start.listina!M67</f>
        <v>9999</v>
      </c>
      <c r="F150" s="158">
        <f>Start.listina!N67</f>
        <v>0</v>
      </c>
      <c r="G150" s="69"/>
    </row>
    <row r="151" spans="1:7" ht="12" customHeight="1">
      <c r="A151" s="156" t="str">
        <f>Start.listina!I68</f>
        <v/>
      </c>
      <c r="B151" s="157" t="str">
        <f>Start.listina!J68</f>
        <v xml:space="preserve"> </v>
      </c>
      <c r="C151" s="156" t="str">
        <f>Start.listina!K68</f>
        <v xml:space="preserve"> </v>
      </c>
      <c r="D151" s="156" t="str">
        <f>Start.listina!L68</f>
        <v xml:space="preserve"> </v>
      </c>
      <c r="E151" s="156">
        <f>Start.listina!M68</f>
        <v>9999</v>
      </c>
      <c r="F151" s="158">
        <f>Start.listina!N68</f>
        <v>0</v>
      </c>
      <c r="G151" s="69"/>
    </row>
    <row r="152" spans="1:7" ht="12" customHeight="1">
      <c r="A152" s="156" t="str">
        <f>Start.listina!I69</f>
        <v/>
      </c>
      <c r="B152" s="157" t="str">
        <f>Start.listina!J69</f>
        <v xml:space="preserve"> </v>
      </c>
      <c r="C152" s="156" t="str">
        <f>Start.listina!K69</f>
        <v xml:space="preserve"> </v>
      </c>
      <c r="D152" s="156" t="str">
        <f>Start.listina!L69</f>
        <v xml:space="preserve"> </v>
      </c>
      <c r="E152" s="156">
        <f>Start.listina!M69</f>
        <v>9999</v>
      </c>
      <c r="F152" s="158">
        <f>Start.listina!N69</f>
        <v>0</v>
      </c>
      <c r="G152" s="69"/>
    </row>
    <row r="153" spans="1:7" ht="12" customHeight="1">
      <c r="A153" s="156" t="str">
        <f>Start.listina!I70</f>
        <v/>
      </c>
      <c r="B153" s="157" t="str">
        <f>Start.listina!J70</f>
        <v xml:space="preserve"> </v>
      </c>
      <c r="C153" s="156" t="str">
        <f>Start.listina!K70</f>
        <v xml:space="preserve"> </v>
      </c>
      <c r="D153" s="156" t="str">
        <f>Start.listina!L70</f>
        <v xml:space="preserve"> </v>
      </c>
      <c r="E153" s="156">
        <f>Start.listina!M70</f>
        <v>9999</v>
      </c>
      <c r="F153" s="158">
        <f>Start.listina!N70</f>
        <v>0</v>
      </c>
      <c r="G153" s="69"/>
    </row>
    <row r="154" spans="1:7" ht="12" customHeight="1">
      <c r="A154" s="156" t="str">
        <f>Start.listina!I71</f>
        <v/>
      </c>
      <c r="B154" s="157" t="str">
        <f>Start.listina!J71</f>
        <v xml:space="preserve"> </v>
      </c>
      <c r="C154" s="156" t="str">
        <f>Start.listina!K71</f>
        <v xml:space="preserve"> </v>
      </c>
      <c r="D154" s="156" t="str">
        <f>Start.listina!L71</f>
        <v xml:space="preserve"> </v>
      </c>
      <c r="E154" s="156">
        <f>Start.listina!M71</f>
        <v>9999</v>
      </c>
      <c r="F154" s="158">
        <f>Start.listina!N71</f>
        <v>0</v>
      </c>
      <c r="G154" s="69"/>
    </row>
    <row r="155" spans="1:7" ht="12" customHeight="1">
      <c r="A155" s="156" t="str">
        <f>Start.listina!I72</f>
        <v/>
      </c>
      <c r="B155" s="157" t="str">
        <f>Start.listina!J72</f>
        <v xml:space="preserve"> </v>
      </c>
      <c r="C155" s="156" t="str">
        <f>Start.listina!K72</f>
        <v xml:space="preserve"> </v>
      </c>
      <c r="D155" s="156" t="str">
        <f>Start.listina!L72</f>
        <v xml:space="preserve"> </v>
      </c>
      <c r="E155" s="156">
        <f>Start.listina!M72</f>
        <v>9999</v>
      </c>
      <c r="F155" s="158">
        <f>Start.listina!N72</f>
        <v>0</v>
      </c>
      <c r="G155" s="69"/>
    </row>
    <row r="156" spans="1:7" ht="12" customHeight="1">
      <c r="A156" s="156" t="str">
        <f>Start.listina!I73</f>
        <v/>
      </c>
      <c r="B156" s="157" t="str">
        <f>Start.listina!J73</f>
        <v xml:space="preserve"> </v>
      </c>
      <c r="C156" s="156" t="str">
        <f>Start.listina!K73</f>
        <v xml:space="preserve"> </v>
      </c>
      <c r="D156" s="156" t="str">
        <f>Start.listina!L73</f>
        <v xml:space="preserve"> </v>
      </c>
      <c r="E156" s="156">
        <f>Start.listina!M73</f>
        <v>9999</v>
      </c>
      <c r="F156" s="158">
        <f>Start.listina!N73</f>
        <v>0</v>
      </c>
      <c r="G156" s="69"/>
    </row>
    <row r="157" spans="1:7" ht="12" customHeight="1">
      <c r="A157" s="156" t="str">
        <f>Start.listina!I74</f>
        <v/>
      </c>
      <c r="B157" s="157" t="str">
        <f>Start.listina!J74</f>
        <v xml:space="preserve"> </v>
      </c>
      <c r="C157" s="156" t="str">
        <f>Start.listina!K74</f>
        <v xml:space="preserve"> </v>
      </c>
      <c r="D157" s="156" t="str">
        <f>Start.listina!L74</f>
        <v xml:space="preserve"> </v>
      </c>
      <c r="E157" s="156">
        <f>Start.listina!M74</f>
        <v>9999</v>
      </c>
      <c r="F157" s="158">
        <f>Start.listina!N74</f>
        <v>0</v>
      </c>
      <c r="G157" s="69"/>
    </row>
    <row r="158" spans="1:7" ht="12" customHeight="1">
      <c r="A158" s="156" t="str">
        <f>Start.listina!I75</f>
        <v/>
      </c>
      <c r="B158" s="157" t="str">
        <f>Start.listina!J75</f>
        <v xml:space="preserve"> </v>
      </c>
      <c r="C158" s="156" t="str">
        <f>Start.listina!K75</f>
        <v xml:space="preserve"> </v>
      </c>
      <c r="D158" s="156" t="str">
        <f>Start.listina!L75</f>
        <v xml:space="preserve"> </v>
      </c>
      <c r="E158" s="156">
        <f>Start.listina!M75</f>
        <v>9999</v>
      </c>
      <c r="F158" s="158">
        <f>Start.listina!N75</f>
        <v>0</v>
      </c>
      <c r="G158" s="69"/>
    </row>
    <row r="159" spans="1:7" ht="12" customHeight="1">
      <c r="A159" s="156" t="str">
        <f>Start.listina!I76</f>
        <v/>
      </c>
      <c r="B159" s="157" t="str">
        <f>Start.listina!J76</f>
        <v xml:space="preserve"> </v>
      </c>
      <c r="C159" s="156" t="str">
        <f>Start.listina!K76</f>
        <v xml:space="preserve"> </v>
      </c>
      <c r="D159" s="156" t="str">
        <f>Start.listina!L76</f>
        <v xml:space="preserve"> </v>
      </c>
      <c r="E159" s="156">
        <f>Start.listina!M76</f>
        <v>9999</v>
      </c>
      <c r="F159" s="158">
        <f>Start.listina!N76</f>
        <v>0</v>
      </c>
      <c r="G159" s="69"/>
    </row>
    <row r="160" spans="1:7" ht="12" customHeight="1">
      <c r="A160" s="156" t="str">
        <f>Start.listina!I77</f>
        <v/>
      </c>
      <c r="B160" s="157" t="str">
        <f>Start.listina!J77</f>
        <v xml:space="preserve"> </v>
      </c>
      <c r="C160" s="156" t="str">
        <f>Start.listina!K77</f>
        <v xml:space="preserve"> </v>
      </c>
      <c r="D160" s="156" t="str">
        <f>Start.listina!L77</f>
        <v xml:space="preserve"> </v>
      </c>
      <c r="E160" s="156">
        <f>Start.listina!M77</f>
        <v>9999</v>
      </c>
      <c r="F160" s="158">
        <f>Start.listina!N77</f>
        <v>0</v>
      </c>
      <c r="G160" s="69"/>
    </row>
    <row r="161" spans="1:7" ht="12" customHeight="1">
      <c r="A161" s="156" t="str">
        <f>Start.listina!I78</f>
        <v/>
      </c>
      <c r="B161" s="157" t="str">
        <f>Start.listina!J78</f>
        <v xml:space="preserve"> </v>
      </c>
      <c r="C161" s="156" t="str">
        <f>Start.listina!K78</f>
        <v xml:space="preserve"> </v>
      </c>
      <c r="D161" s="156" t="str">
        <f>Start.listina!L78</f>
        <v xml:space="preserve"> </v>
      </c>
      <c r="E161" s="156">
        <f>Start.listina!M78</f>
        <v>9999</v>
      </c>
      <c r="F161" s="158">
        <f>Start.listina!N78</f>
        <v>0</v>
      </c>
      <c r="G161" s="69"/>
    </row>
    <row r="162" spans="1:7" ht="12" customHeight="1">
      <c r="A162" s="156" t="str">
        <f>Start.listina!I79</f>
        <v/>
      </c>
      <c r="B162" s="157" t="str">
        <f>Start.listina!J79</f>
        <v xml:space="preserve"> </v>
      </c>
      <c r="C162" s="156" t="str">
        <f>Start.listina!K79</f>
        <v xml:space="preserve"> </v>
      </c>
      <c r="D162" s="156" t="str">
        <f>Start.listina!L79</f>
        <v xml:space="preserve"> </v>
      </c>
      <c r="E162" s="156">
        <f>Start.listina!M79</f>
        <v>9999</v>
      </c>
      <c r="F162" s="158">
        <f>Start.listina!N79</f>
        <v>0</v>
      </c>
      <c r="G162" s="69"/>
    </row>
    <row r="163" spans="1:7" ht="12" customHeight="1">
      <c r="A163" s="156" t="str">
        <f>Start.listina!I80</f>
        <v/>
      </c>
      <c r="B163" s="157" t="str">
        <f>Start.listina!J80</f>
        <v xml:space="preserve"> </v>
      </c>
      <c r="C163" s="156" t="str">
        <f>Start.listina!K80</f>
        <v xml:space="preserve"> </v>
      </c>
      <c r="D163" s="156" t="str">
        <f>Start.listina!L80</f>
        <v xml:space="preserve"> </v>
      </c>
      <c r="E163" s="156">
        <f>Start.listina!M80</f>
        <v>9999</v>
      </c>
      <c r="F163" s="158">
        <f>Start.listina!N80</f>
        <v>0</v>
      </c>
      <c r="G163" s="69"/>
    </row>
    <row r="164" spans="1:7" ht="12" customHeight="1">
      <c r="A164" s="156" t="str">
        <f>Start.listina!I81</f>
        <v/>
      </c>
      <c r="B164" s="157" t="str">
        <f>Start.listina!J81</f>
        <v xml:space="preserve"> </v>
      </c>
      <c r="C164" s="156" t="str">
        <f>Start.listina!K81</f>
        <v xml:space="preserve"> </v>
      </c>
      <c r="D164" s="156" t="str">
        <f>Start.listina!L81</f>
        <v xml:space="preserve"> </v>
      </c>
      <c r="E164" s="156">
        <f>Start.listina!M81</f>
        <v>9999</v>
      </c>
      <c r="F164" s="158">
        <f>Start.listina!N81</f>
        <v>0</v>
      </c>
      <c r="G164" s="69"/>
    </row>
    <row r="165" spans="1:7" ht="12" customHeight="1">
      <c r="A165" s="156" t="str">
        <f>Start.listina!I82</f>
        <v/>
      </c>
      <c r="B165" s="157" t="str">
        <f>Start.listina!J82</f>
        <v xml:space="preserve"> </v>
      </c>
      <c r="C165" s="156" t="str">
        <f>Start.listina!K82</f>
        <v xml:space="preserve"> </v>
      </c>
      <c r="D165" s="156" t="str">
        <f>Start.listina!L82</f>
        <v xml:space="preserve"> </v>
      </c>
      <c r="E165" s="156">
        <f>Start.listina!M82</f>
        <v>9999</v>
      </c>
      <c r="F165" s="158">
        <f>Start.listina!N82</f>
        <v>0</v>
      </c>
      <c r="G165" s="69"/>
    </row>
    <row r="166" spans="1:7" ht="12" customHeight="1">
      <c r="A166" s="156" t="str">
        <f>Start.listina!I83</f>
        <v/>
      </c>
      <c r="B166" s="157" t="str">
        <f>Start.listina!J83</f>
        <v xml:space="preserve"> </v>
      </c>
      <c r="C166" s="156" t="str">
        <f>Start.listina!K83</f>
        <v xml:space="preserve"> </v>
      </c>
      <c r="D166" s="156" t="str">
        <f>Start.listina!L83</f>
        <v xml:space="preserve"> </v>
      </c>
      <c r="E166" s="156">
        <f>Start.listina!M83</f>
        <v>9999</v>
      </c>
      <c r="F166" s="158">
        <f>Start.listina!N83</f>
        <v>0</v>
      </c>
      <c r="G166" s="69"/>
    </row>
    <row r="167" spans="1:7" ht="12" customHeight="1">
      <c r="A167" s="156" t="str">
        <f>Start.listina!I84</f>
        <v/>
      </c>
      <c r="B167" s="157" t="str">
        <f>Start.listina!J84</f>
        <v xml:space="preserve"> </v>
      </c>
      <c r="C167" s="156" t="str">
        <f>Start.listina!K84</f>
        <v xml:space="preserve"> </v>
      </c>
      <c r="D167" s="156" t="str">
        <f>Start.listina!L84</f>
        <v xml:space="preserve"> </v>
      </c>
      <c r="E167" s="156">
        <f>Start.listina!M84</f>
        <v>9999</v>
      </c>
      <c r="F167" s="158">
        <f>Start.listina!N84</f>
        <v>0</v>
      </c>
      <c r="G167" s="69"/>
    </row>
    <row r="168" spans="1:7" ht="12" customHeight="1">
      <c r="A168" s="156" t="str">
        <f>Start.listina!I85</f>
        <v/>
      </c>
      <c r="B168" s="157" t="str">
        <f>Start.listina!J85</f>
        <v xml:space="preserve"> </v>
      </c>
      <c r="C168" s="156" t="str">
        <f>Start.listina!K85</f>
        <v xml:space="preserve"> </v>
      </c>
      <c r="D168" s="156" t="str">
        <f>Start.listina!L85</f>
        <v xml:space="preserve"> </v>
      </c>
      <c r="E168" s="156">
        <f>Start.listina!M85</f>
        <v>9999</v>
      </c>
      <c r="F168" s="158">
        <f>Start.listina!N85</f>
        <v>0</v>
      </c>
      <c r="G168" s="69"/>
    </row>
    <row r="169" spans="1:7" ht="12" customHeight="1">
      <c r="A169" s="156" t="str">
        <f>Start.listina!I86</f>
        <v/>
      </c>
      <c r="B169" s="157" t="str">
        <f>Start.listina!J86</f>
        <v xml:space="preserve"> </v>
      </c>
      <c r="C169" s="156" t="str">
        <f>Start.listina!K86</f>
        <v xml:space="preserve"> </v>
      </c>
      <c r="D169" s="156" t="str">
        <f>Start.listina!L86</f>
        <v xml:space="preserve"> </v>
      </c>
      <c r="E169" s="156">
        <f>Start.listina!M86</f>
        <v>9999</v>
      </c>
      <c r="F169" s="158">
        <f>Start.listina!N86</f>
        <v>0</v>
      </c>
      <c r="G169" s="69"/>
    </row>
    <row r="170" spans="1:7" ht="12" customHeight="1">
      <c r="A170" s="156" t="str">
        <f>Start.listina!I87</f>
        <v/>
      </c>
      <c r="B170" s="157" t="str">
        <f>Start.listina!J87</f>
        <v xml:space="preserve"> </v>
      </c>
      <c r="C170" s="156" t="str">
        <f>Start.listina!K87</f>
        <v xml:space="preserve"> </v>
      </c>
      <c r="D170" s="156" t="str">
        <f>Start.listina!L87</f>
        <v xml:space="preserve"> </v>
      </c>
      <c r="E170" s="156">
        <f>Start.listina!M87</f>
        <v>9999</v>
      </c>
      <c r="F170" s="158">
        <f>Start.listina!N87</f>
        <v>0</v>
      </c>
      <c r="G170" s="69"/>
    </row>
    <row r="171" spans="1:7" ht="12" customHeight="1">
      <c r="A171" s="156" t="str">
        <f>Start.listina!I88</f>
        <v/>
      </c>
      <c r="B171" s="157" t="str">
        <f>Start.listina!J88</f>
        <v xml:space="preserve"> </v>
      </c>
      <c r="C171" s="156" t="str">
        <f>Start.listina!K88</f>
        <v xml:space="preserve"> </v>
      </c>
      <c r="D171" s="156" t="str">
        <f>Start.listina!L88</f>
        <v xml:space="preserve"> </v>
      </c>
      <c r="E171" s="156">
        <f>Start.listina!M88</f>
        <v>9999</v>
      </c>
      <c r="F171" s="158">
        <f>Start.listina!N88</f>
        <v>0</v>
      </c>
      <c r="G171" s="69"/>
    </row>
    <row r="172" spans="1:7" ht="12" customHeight="1">
      <c r="A172" s="156" t="str">
        <f>Start.listina!I89</f>
        <v/>
      </c>
      <c r="B172" s="157" t="str">
        <f>Start.listina!J89</f>
        <v xml:space="preserve"> </v>
      </c>
      <c r="C172" s="156" t="str">
        <f>Start.listina!K89</f>
        <v xml:space="preserve"> </v>
      </c>
      <c r="D172" s="156" t="str">
        <f>Start.listina!L89</f>
        <v xml:space="preserve"> </v>
      </c>
      <c r="E172" s="156">
        <f>Start.listina!M89</f>
        <v>9999</v>
      </c>
      <c r="F172" s="158">
        <f>Start.listina!N89</f>
        <v>0</v>
      </c>
      <c r="G172" s="69"/>
    </row>
    <row r="173" spans="1:7" ht="12" customHeight="1">
      <c r="A173" s="156" t="str">
        <f>Start.listina!I90</f>
        <v/>
      </c>
      <c r="B173" s="157" t="str">
        <f>Start.listina!J90</f>
        <v xml:space="preserve"> </v>
      </c>
      <c r="C173" s="156" t="str">
        <f>Start.listina!K90</f>
        <v xml:space="preserve"> </v>
      </c>
      <c r="D173" s="156" t="str">
        <f>Start.listina!L90</f>
        <v xml:space="preserve"> </v>
      </c>
      <c r="E173" s="156">
        <f>Start.listina!M90</f>
        <v>9999</v>
      </c>
      <c r="F173" s="158">
        <f>Start.listina!N90</f>
        <v>0</v>
      </c>
      <c r="G173" s="69"/>
    </row>
    <row r="174" spans="1:7" ht="12" customHeight="1">
      <c r="A174" s="156" t="str">
        <f>Start.listina!I91</f>
        <v/>
      </c>
      <c r="B174" s="157" t="str">
        <f>Start.listina!J91</f>
        <v xml:space="preserve"> </v>
      </c>
      <c r="C174" s="156" t="str">
        <f>Start.listina!K91</f>
        <v xml:space="preserve"> </v>
      </c>
      <c r="D174" s="156" t="str">
        <f>Start.listina!L91</f>
        <v xml:space="preserve"> </v>
      </c>
      <c r="E174" s="156">
        <f>Start.listina!M91</f>
        <v>9999</v>
      </c>
      <c r="F174" s="158">
        <f>Start.listina!N91</f>
        <v>0</v>
      </c>
      <c r="G174" s="69"/>
    </row>
    <row r="175" spans="1:7" ht="12" customHeight="1">
      <c r="A175" s="156" t="str">
        <f>Start.listina!I92</f>
        <v/>
      </c>
      <c r="B175" s="157" t="str">
        <f>Start.listina!J92</f>
        <v xml:space="preserve"> </v>
      </c>
      <c r="C175" s="156" t="str">
        <f>Start.listina!K92</f>
        <v xml:space="preserve"> </v>
      </c>
      <c r="D175" s="156" t="str">
        <f>Start.listina!L92</f>
        <v xml:space="preserve"> </v>
      </c>
      <c r="E175" s="156">
        <f>Start.listina!M92</f>
        <v>9999</v>
      </c>
      <c r="F175" s="158">
        <f>Start.listina!N92</f>
        <v>0</v>
      </c>
      <c r="G175" s="69"/>
    </row>
    <row r="176" spans="1:7" ht="12" customHeight="1">
      <c r="A176" s="156" t="str">
        <f>Start.listina!I93</f>
        <v/>
      </c>
      <c r="B176" s="157" t="str">
        <f>Start.listina!J93</f>
        <v xml:space="preserve"> </v>
      </c>
      <c r="C176" s="156" t="str">
        <f>Start.listina!K93</f>
        <v xml:space="preserve"> </v>
      </c>
      <c r="D176" s="156" t="str">
        <f>Start.listina!L93</f>
        <v xml:space="preserve"> </v>
      </c>
      <c r="E176" s="156">
        <f>Start.listina!M93</f>
        <v>9999</v>
      </c>
      <c r="F176" s="158">
        <f>Start.listina!N93</f>
        <v>0</v>
      </c>
      <c r="G176" s="69"/>
    </row>
    <row r="177" spans="1:7" ht="12" customHeight="1">
      <c r="A177" s="156" t="str">
        <f>Start.listina!I94</f>
        <v/>
      </c>
      <c r="B177" s="157" t="str">
        <f>Start.listina!J94</f>
        <v xml:space="preserve"> </v>
      </c>
      <c r="C177" s="156" t="str">
        <f>Start.listina!K94</f>
        <v xml:space="preserve"> </v>
      </c>
      <c r="D177" s="156" t="str">
        <f>Start.listina!L94</f>
        <v xml:space="preserve"> </v>
      </c>
      <c r="E177" s="156">
        <f>Start.listina!M94</f>
        <v>9999</v>
      </c>
      <c r="F177" s="158">
        <f>Start.listina!N94</f>
        <v>0</v>
      </c>
      <c r="G177" s="69"/>
    </row>
    <row r="178" spans="1:7" ht="12" customHeight="1">
      <c r="A178" s="156" t="str">
        <f>Start.listina!I95</f>
        <v/>
      </c>
      <c r="B178" s="157" t="str">
        <f>Start.listina!J95</f>
        <v xml:space="preserve"> </v>
      </c>
      <c r="C178" s="156" t="str">
        <f>Start.listina!K95</f>
        <v xml:space="preserve"> </v>
      </c>
      <c r="D178" s="156" t="str">
        <f>Start.listina!L95</f>
        <v xml:space="preserve"> </v>
      </c>
      <c r="E178" s="156">
        <f>Start.listina!M95</f>
        <v>9999</v>
      </c>
      <c r="F178" s="158">
        <f>Start.listina!N95</f>
        <v>0</v>
      </c>
      <c r="G178" s="69"/>
    </row>
    <row r="179" spans="1:7" ht="12" customHeight="1">
      <c r="A179" s="156" t="str">
        <f>Start.listina!I96</f>
        <v/>
      </c>
      <c r="B179" s="157" t="str">
        <f>Start.listina!J96</f>
        <v xml:space="preserve"> </v>
      </c>
      <c r="C179" s="156" t="str">
        <f>Start.listina!K96</f>
        <v xml:space="preserve"> </v>
      </c>
      <c r="D179" s="156" t="str">
        <f>Start.listina!L96</f>
        <v xml:space="preserve"> </v>
      </c>
      <c r="E179" s="156">
        <f>Start.listina!M96</f>
        <v>9999</v>
      </c>
      <c r="F179" s="158">
        <f>Start.listina!N96</f>
        <v>0</v>
      </c>
      <c r="G179" s="69"/>
    </row>
    <row r="180" spans="1:7" ht="12" customHeight="1">
      <c r="A180" s="156" t="str">
        <f>Start.listina!I97</f>
        <v/>
      </c>
      <c r="B180" s="157" t="str">
        <f>Start.listina!J97</f>
        <v xml:space="preserve"> </v>
      </c>
      <c r="C180" s="156" t="str">
        <f>Start.listina!K97</f>
        <v xml:space="preserve"> </v>
      </c>
      <c r="D180" s="156" t="str">
        <f>Start.listina!L97</f>
        <v xml:space="preserve"> </v>
      </c>
      <c r="E180" s="156">
        <f>Start.listina!M97</f>
        <v>9999</v>
      </c>
      <c r="F180" s="158">
        <f>Start.listina!N97</f>
        <v>0</v>
      </c>
      <c r="G180" s="69"/>
    </row>
    <row r="181" spans="1:7" ht="12" customHeight="1">
      <c r="A181" s="156" t="str">
        <f>Start.listina!I98</f>
        <v/>
      </c>
      <c r="B181" s="157" t="str">
        <f>Start.listina!J98</f>
        <v xml:space="preserve"> </v>
      </c>
      <c r="C181" s="156" t="str">
        <f>Start.listina!K98</f>
        <v xml:space="preserve"> </v>
      </c>
      <c r="D181" s="156" t="str">
        <f>Start.listina!L98</f>
        <v xml:space="preserve"> </v>
      </c>
      <c r="E181" s="156">
        <f>Start.listina!M98</f>
        <v>9999</v>
      </c>
      <c r="F181" s="158">
        <f>Start.listina!N98</f>
        <v>0</v>
      </c>
      <c r="G181" s="69"/>
    </row>
    <row r="182" spans="1:7" ht="12" customHeight="1">
      <c r="A182" s="156" t="str">
        <f>Start.listina!I99</f>
        <v/>
      </c>
      <c r="B182" s="157" t="str">
        <f>Start.listina!J99</f>
        <v xml:space="preserve"> </v>
      </c>
      <c r="C182" s="156" t="str">
        <f>Start.listina!K99</f>
        <v xml:space="preserve"> </v>
      </c>
      <c r="D182" s="156" t="str">
        <f>Start.listina!L99</f>
        <v xml:space="preserve"> </v>
      </c>
      <c r="E182" s="156">
        <f>Start.listina!M99</f>
        <v>9999</v>
      </c>
      <c r="F182" s="158">
        <f>Start.listina!N99</f>
        <v>0</v>
      </c>
      <c r="G182" s="69"/>
    </row>
    <row r="183" spans="1:7" ht="12" customHeight="1">
      <c r="A183" s="156" t="str">
        <f>Start.listina!I100</f>
        <v/>
      </c>
      <c r="B183" s="157" t="str">
        <f>Start.listina!J100</f>
        <v xml:space="preserve"> </v>
      </c>
      <c r="C183" s="156" t="str">
        <f>Start.listina!K100</f>
        <v xml:space="preserve"> </v>
      </c>
      <c r="D183" s="156" t="str">
        <f>Start.listina!L100</f>
        <v xml:space="preserve"> </v>
      </c>
      <c r="E183" s="156">
        <f>Start.listina!M100</f>
        <v>9999</v>
      </c>
      <c r="F183" s="158">
        <f>Start.listina!N100</f>
        <v>0</v>
      </c>
      <c r="G183" s="69"/>
    </row>
    <row r="184" spans="1:7" ht="12" customHeight="1">
      <c r="A184" s="156" t="str">
        <f>Start.listina!I101</f>
        <v/>
      </c>
      <c r="B184" s="157" t="str">
        <f>Start.listina!J101</f>
        <v xml:space="preserve"> </v>
      </c>
      <c r="C184" s="156" t="str">
        <f>Start.listina!K101</f>
        <v xml:space="preserve"> </v>
      </c>
      <c r="D184" s="156" t="str">
        <f>Start.listina!L101</f>
        <v xml:space="preserve"> </v>
      </c>
      <c r="E184" s="156">
        <f>Start.listina!M101</f>
        <v>9999</v>
      </c>
      <c r="F184" s="158">
        <f>Start.listina!N101</f>
        <v>0</v>
      </c>
      <c r="G184" s="69"/>
    </row>
    <row r="185" spans="1:7" ht="12" customHeight="1">
      <c r="A185" s="156" t="str">
        <f>Start.listina!I102</f>
        <v/>
      </c>
      <c r="B185" s="157" t="str">
        <f>Start.listina!J102</f>
        <v xml:space="preserve"> </v>
      </c>
      <c r="C185" s="156" t="str">
        <f>Start.listina!K102</f>
        <v xml:space="preserve"> </v>
      </c>
      <c r="D185" s="156" t="str">
        <f>Start.listina!L102</f>
        <v xml:space="preserve"> </v>
      </c>
      <c r="E185" s="156">
        <f>Start.listina!M102</f>
        <v>9999</v>
      </c>
      <c r="F185" s="158">
        <f>Start.listina!N102</f>
        <v>0</v>
      </c>
      <c r="G185" s="69"/>
    </row>
    <row r="186" spans="1:7" ht="12" customHeight="1">
      <c r="A186" s="156" t="str">
        <f>Start.listina!I103</f>
        <v/>
      </c>
      <c r="B186" s="157" t="str">
        <f>Start.listina!J103</f>
        <v xml:space="preserve"> </v>
      </c>
      <c r="C186" s="156" t="str">
        <f>Start.listina!K103</f>
        <v xml:space="preserve"> </v>
      </c>
      <c r="D186" s="156" t="str">
        <f>Start.listina!L103</f>
        <v xml:space="preserve"> </v>
      </c>
      <c r="E186" s="156">
        <f>Start.listina!M103</f>
        <v>9999</v>
      </c>
      <c r="F186" s="158">
        <f>Start.listina!N103</f>
        <v>0</v>
      </c>
      <c r="G186" s="69"/>
    </row>
    <row r="187" spans="1:7" ht="12" customHeight="1">
      <c r="A187" s="156" t="str">
        <f>Start.listina!I104</f>
        <v/>
      </c>
      <c r="B187" s="157" t="str">
        <f>Start.listina!J104</f>
        <v xml:space="preserve"> </v>
      </c>
      <c r="C187" s="156" t="str">
        <f>Start.listina!K104</f>
        <v xml:space="preserve"> </v>
      </c>
      <c r="D187" s="156" t="str">
        <f>Start.listina!L104</f>
        <v xml:space="preserve"> </v>
      </c>
      <c r="E187" s="156">
        <f>Start.listina!M104</f>
        <v>9999</v>
      </c>
      <c r="F187" s="158">
        <f>Start.listina!N104</f>
        <v>0</v>
      </c>
      <c r="G187" s="69"/>
    </row>
    <row r="188" spans="1:7" ht="12" customHeight="1">
      <c r="A188" s="156" t="str">
        <f>Start.listina!I105</f>
        <v/>
      </c>
      <c r="B188" s="157" t="str">
        <f>Start.listina!J105</f>
        <v xml:space="preserve"> </v>
      </c>
      <c r="C188" s="156" t="str">
        <f>Start.listina!K105</f>
        <v xml:space="preserve"> </v>
      </c>
      <c r="D188" s="156" t="str">
        <f>Start.listina!L105</f>
        <v xml:space="preserve"> </v>
      </c>
      <c r="E188" s="156">
        <f>Start.listina!M105</f>
        <v>9999</v>
      </c>
      <c r="F188" s="158">
        <f>Start.listina!N105</f>
        <v>0</v>
      </c>
      <c r="G188" s="69"/>
    </row>
    <row r="189" spans="1:7" ht="12" customHeight="1">
      <c r="A189" s="156" t="str">
        <f>Start.listina!I106</f>
        <v/>
      </c>
      <c r="B189" s="157" t="str">
        <f>Start.listina!J106</f>
        <v xml:space="preserve"> </v>
      </c>
      <c r="C189" s="156" t="str">
        <f>Start.listina!K106</f>
        <v xml:space="preserve"> </v>
      </c>
      <c r="D189" s="156" t="str">
        <f>Start.listina!L106</f>
        <v xml:space="preserve"> </v>
      </c>
      <c r="E189" s="156">
        <f>Start.listina!M106</f>
        <v>9999</v>
      </c>
      <c r="F189" s="158">
        <f>Start.listina!N106</f>
        <v>0</v>
      </c>
      <c r="G189" s="69"/>
    </row>
    <row r="190" spans="1:7" ht="12" customHeight="1">
      <c r="A190" s="156" t="str">
        <f>Start.listina!I107</f>
        <v/>
      </c>
      <c r="B190" s="157" t="str">
        <f>Start.listina!J107</f>
        <v xml:space="preserve"> </v>
      </c>
      <c r="C190" s="156" t="str">
        <f>Start.listina!K107</f>
        <v xml:space="preserve"> </v>
      </c>
      <c r="D190" s="156" t="str">
        <f>Start.listina!L107</f>
        <v xml:space="preserve"> </v>
      </c>
      <c r="E190" s="156">
        <f>Start.listina!M107</f>
        <v>9999</v>
      </c>
      <c r="F190" s="158">
        <f>Start.listina!N107</f>
        <v>0</v>
      </c>
      <c r="G190" s="69"/>
    </row>
    <row r="191" spans="1:7" ht="12" customHeight="1">
      <c r="A191" s="156" t="str">
        <f>Start.listina!I108</f>
        <v/>
      </c>
      <c r="B191" s="157" t="str">
        <f>Start.listina!J108</f>
        <v xml:space="preserve"> </v>
      </c>
      <c r="C191" s="156" t="str">
        <f>Start.listina!K108</f>
        <v xml:space="preserve"> </v>
      </c>
      <c r="D191" s="156" t="str">
        <f>Start.listina!L108</f>
        <v xml:space="preserve"> </v>
      </c>
      <c r="E191" s="156">
        <f>Start.listina!M108</f>
        <v>9999</v>
      </c>
      <c r="F191" s="158">
        <f>Start.listina!N108</f>
        <v>0</v>
      </c>
      <c r="G191" s="69"/>
    </row>
    <row r="192" spans="1:7" ht="12" customHeight="1">
      <c r="A192" s="156" t="str">
        <f>Start.listina!I109</f>
        <v/>
      </c>
      <c r="B192" s="157" t="str">
        <f>Start.listina!J109</f>
        <v xml:space="preserve"> </v>
      </c>
      <c r="C192" s="156" t="str">
        <f>Start.listina!K109</f>
        <v xml:space="preserve"> </v>
      </c>
      <c r="D192" s="156" t="str">
        <f>Start.listina!L109</f>
        <v xml:space="preserve"> </v>
      </c>
      <c r="E192" s="156">
        <f>Start.listina!M109</f>
        <v>9999</v>
      </c>
      <c r="F192" s="158">
        <f>Start.listina!N109</f>
        <v>0</v>
      </c>
      <c r="G192" s="69"/>
    </row>
    <row r="193" spans="1:7" ht="12" customHeight="1">
      <c r="A193" s="156" t="str">
        <f>Start.listina!I110</f>
        <v/>
      </c>
      <c r="B193" s="157" t="str">
        <f>Start.listina!J110</f>
        <v xml:space="preserve"> </v>
      </c>
      <c r="C193" s="156" t="str">
        <f>Start.listina!K110</f>
        <v xml:space="preserve"> </v>
      </c>
      <c r="D193" s="156" t="str">
        <f>Start.listina!L110</f>
        <v xml:space="preserve"> </v>
      </c>
      <c r="E193" s="156">
        <f>Start.listina!M110</f>
        <v>9999</v>
      </c>
      <c r="F193" s="158">
        <f>Start.listina!N110</f>
        <v>0</v>
      </c>
      <c r="G193" s="69"/>
    </row>
    <row r="194" spans="1:7" ht="12" customHeight="1">
      <c r="A194" s="156" t="str">
        <f>Start.listina!I111</f>
        <v/>
      </c>
      <c r="B194" s="157" t="str">
        <f>Start.listina!J111</f>
        <v xml:space="preserve"> </v>
      </c>
      <c r="C194" s="156" t="str">
        <f>Start.listina!K111</f>
        <v xml:space="preserve"> </v>
      </c>
      <c r="D194" s="156" t="str">
        <f>Start.listina!L111</f>
        <v xml:space="preserve"> </v>
      </c>
      <c r="E194" s="156">
        <f>Start.listina!M111</f>
        <v>9999</v>
      </c>
      <c r="F194" s="158">
        <f>Start.listina!N111</f>
        <v>0</v>
      </c>
      <c r="G194" s="69"/>
    </row>
    <row r="195" spans="1:7" ht="12" customHeight="1">
      <c r="A195" s="156" t="str">
        <f>Start.listina!I112</f>
        <v/>
      </c>
      <c r="B195" s="157" t="str">
        <f>Start.listina!J112</f>
        <v xml:space="preserve"> </v>
      </c>
      <c r="C195" s="156" t="str">
        <f>Start.listina!K112</f>
        <v xml:space="preserve"> </v>
      </c>
      <c r="D195" s="156" t="str">
        <f>Start.listina!L112</f>
        <v xml:space="preserve"> </v>
      </c>
      <c r="E195" s="156">
        <f>Start.listina!M112</f>
        <v>9999</v>
      </c>
      <c r="F195" s="158">
        <f>Start.listina!N112</f>
        <v>0</v>
      </c>
      <c r="G195" s="69"/>
    </row>
    <row r="196" spans="1:7" ht="12" customHeight="1">
      <c r="A196" s="156" t="str">
        <f>Start.listina!I113</f>
        <v/>
      </c>
      <c r="B196" s="157" t="str">
        <f>Start.listina!J113</f>
        <v xml:space="preserve"> </v>
      </c>
      <c r="C196" s="156" t="str">
        <f>Start.listina!K113</f>
        <v xml:space="preserve"> </v>
      </c>
      <c r="D196" s="156" t="str">
        <f>Start.listina!L113</f>
        <v xml:space="preserve"> </v>
      </c>
      <c r="E196" s="156">
        <f>Start.listina!M113</f>
        <v>9999</v>
      </c>
      <c r="F196" s="158">
        <f>Start.listina!N113</f>
        <v>0</v>
      </c>
      <c r="G196" s="69"/>
    </row>
    <row r="197" spans="1:7" ht="12" customHeight="1">
      <c r="A197" s="156" t="str">
        <f>Start.listina!I114</f>
        <v/>
      </c>
      <c r="B197" s="157" t="str">
        <f>Start.listina!J114</f>
        <v xml:space="preserve"> </v>
      </c>
      <c r="C197" s="156" t="str">
        <f>Start.listina!K114</f>
        <v xml:space="preserve"> </v>
      </c>
      <c r="D197" s="156" t="str">
        <f>Start.listina!L114</f>
        <v xml:space="preserve"> </v>
      </c>
      <c r="E197" s="156">
        <f>Start.listina!M114</f>
        <v>9999</v>
      </c>
      <c r="F197" s="158">
        <f>Start.listina!N114</f>
        <v>0</v>
      </c>
      <c r="G197" s="69"/>
    </row>
    <row r="198" spans="1:7" ht="12" customHeight="1">
      <c r="A198" s="156" t="str">
        <f>Start.listina!I115</f>
        <v/>
      </c>
      <c r="B198" s="157" t="str">
        <f>Start.listina!J115</f>
        <v xml:space="preserve"> </v>
      </c>
      <c r="C198" s="156" t="str">
        <f>Start.listina!K115</f>
        <v xml:space="preserve"> </v>
      </c>
      <c r="D198" s="156" t="str">
        <f>Start.listina!L115</f>
        <v xml:space="preserve"> </v>
      </c>
      <c r="E198" s="156">
        <f>Start.listina!M115</f>
        <v>9999</v>
      </c>
      <c r="F198" s="158">
        <f>Start.listina!N115</f>
        <v>0</v>
      </c>
      <c r="G198" s="69"/>
    </row>
    <row r="199" spans="1:7" ht="12" customHeight="1">
      <c r="A199" s="156" t="str">
        <f>Start.listina!I116</f>
        <v/>
      </c>
      <c r="B199" s="157" t="str">
        <f>Start.listina!J116</f>
        <v xml:space="preserve"> </v>
      </c>
      <c r="C199" s="156" t="str">
        <f>Start.listina!K116</f>
        <v xml:space="preserve"> </v>
      </c>
      <c r="D199" s="156" t="str">
        <f>Start.listina!L116</f>
        <v xml:space="preserve"> </v>
      </c>
      <c r="E199" s="156">
        <f>Start.listina!M116</f>
        <v>9999</v>
      </c>
      <c r="F199" s="158">
        <f>Start.listina!N116</f>
        <v>0</v>
      </c>
      <c r="G199" s="69"/>
    </row>
    <row r="200" spans="1:7" ht="12" customHeight="1">
      <c r="A200" s="156" t="str">
        <f>Start.listina!I117</f>
        <v/>
      </c>
      <c r="B200" s="157" t="str">
        <f>Start.listina!J117</f>
        <v xml:space="preserve"> </v>
      </c>
      <c r="C200" s="156" t="str">
        <f>Start.listina!K117</f>
        <v xml:space="preserve"> </v>
      </c>
      <c r="D200" s="156" t="str">
        <f>Start.listina!L117</f>
        <v xml:space="preserve"> </v>
      </c>
      <c r="E200" s="156">
        <f>Start.listina!M117</f>
        <v>9999</v>
      </c>
      <c r="F200" s="158">
        <f>Start.listina!N117</f>
        <v>0</v>
      </c>
      <c r="G200" s="69"/>
    </row>
    <row r="201" spans="1:7" ht="12" customHeight="1">
      <c r="A201" s="156" t="str">
        <f>Start.listina!I118</f>
        <v/>
      </c>
      <c r="B201" s="157" t="str">
        <f>Start.listina!J118</f>
        <v xml:space="preserve"> </v>
      </c>
      <c r="C201" s="156" t="str">
        <f>Start.listina!K118</f>
        <v xml:space="preserve"> </v>
      </c>
      <c r="D201" s="156" t="str">
        <f>Start.listina!L118</f>
        <v xml:space="preserve"> </v>
      </c>
      <c r="E201" s="156">
        <f>Start.listina!M118</f>
        <v>9999</v>
      </c>
      <c r="F201" s="158">
        <f>Start.listina!N118</f>
        <v>0</v>
      </c>
      <c r="G201" s="69"/>
    </row>
    <row r="202" spans="1:7" ht="12" customHeight="1">
      <c r="A202" s="156" t="str">
        <f>Start.listina!I119</f>
        <v/>
      </c>
      <c r="B202" s="157" t="str">
        <f>Start.listina!J119</f>
        <v xml:space="preserve"> </v>
      </c>
      <c r="C202" s="156" t="str">
        <f>Start.listina!K119</f>
        <v xml:space="preserve"> </v>
      </c>
      <c r="D202" s="156" t="str">
        <f>Start.listina!L119</f>
        <v xml:space="preserve"> </v>
      </c>
      <c r="E202" s="156">
        <f>Start.listina!M119</f>
        <v>9999</v>
      </c>
      <c r="F202" s="158">
        <f>Start.listina!N119</f>
        <v>0</v>
      </c>
      <c r="G202" s="69"/>
    </row>
    <row r="203" spans="1:7" ht="12" customHeight="1">
      <c r="A203" s="156" t="str">
        <f>Start.listina!I120</f>
        <v/>
      </c>
      <c r="B203" s="157" t="str">
        <f>Start.listina!J120</f>
        <v xml:space="preserve"> </v>
      </c>
      <c r="C203" s="156" t="str">
        <f>Start.listina!K120</f>
        <v xml:space="preserve"> </v>
      </c>
      <c r="D203" s="156" t="str">
        <f>Start.listina!L120</f>
        <v xml:space="preserve"> </v>
      </c>
      <c r="E203" s="156">
        <f>Start.listina!M120</f>
        <v>9999</v>
      </c>
      <c r="F203" s="158">
        <f>Start.listina!N120</f>
        <v>0</v>
      </c>
      <c r="G203" s="69"/>
    </row>
    <row r="204" spans="1:7" ht="12" customHeight="1">
      <c r="A204" s="156" t="str">
        <f>Start.listina!I121</f>
        <v/>
      </c>
      <c r="B204" s="157" t="str">
        <f>Start.listina!J121</f>
        <v xml:space="preserve"> </v>
      </c>
      <c r="C204" s="156" t="str">
        <f>Start.listina!K121</f>
        <v xml:space="preserve"> </v>
      </c>
      <c r="D204" s="156" t="str">
        <f>Start.listina!L121</f>
        <v xml:space="preserve"> </v>
      </c>
      <c r="E204" s="156">
        <f>Start.listina!M121</f>
        <v>9999</v>
      </c>
      <c r="F204" s="158">
        <f>Start.listina!N121</f>
        <v>0</v>
      </c>
      <c r="G204" s="69"/>
    </row>
    <row r="205" spans="1:7" ht="12" customHeight="1">
      <c r="A205" s="156" t="str">
        <f>Start.listina!I122</f>
        <v/>
      </c>
      <c r="B205" s="157" t="str">
        <f>Start.listina!J122</f>
        <v xml:space="preserve"> </v>
      </c>
      <c r="C205" s="156" t="str">
        <f>Start.listina!K122</f>
        <v xml:space="preserve"> </v>
      </c>
      <c r="D205" s="156" t="str">
        <f>Start.listina!L122</f>
        <v xml:space="preserve"> </v>
      </c>
      <c r="E205" s="156">
        <f>Start.listina!M122</f>
        <v>9999</v>
      </c>
      <c r="F205" s="158">
        <f>Start.listina!N122</f>
        <v>0</v>
      </c>
      <c r="G205" s="69"/>
    </row>
    <row r="206" spans="1:7" ht="12" customHeight="1">
      <c r="A206" s="156" t="str">
        <f>Start.listina!I123</f>
        <v/>
      </c>
      <c r="B206" s="157" t="str">
        <f>Start.listina!J123</f>
        <v xml:space="preserve"> </v>
      </c>
      <c r="C206" s="156" t="str">
        <f>Start.listina!K123</f>
        <v xml:space="preserve"> </v>
      </c>
      <c r="D206" s="156" t="str">
        <f>Start.listina!L123</f>
        <v xml:space="preserve"> </v>
      </c>
      <c r="E206" s="156">
        <f>Start.listina!M123</f>
        <v>9999</v>
      </c>
      <c r="F206" s="158">
        <f>Start.listina!N123</f>
        <v>0</v>
      </c>
      <c r="G206" s="69"/>
    </row>
    <row r="207" spans="1:7" ht="12" customHeight="1">
      <c r="A207" s="156" t="str">
        <f>Start.listina!I124</f>
        <v/>
      </c>
      <c r="B207" s="157" t="str">
        <f>Start.listina!J124</f>
        <v xml:space="preserve"> </v>
      </c>
      <c r="C207" s="156" t="str">
        <f>Start.listina!K124</f>
        <v xml:space="preserve"> </v>
      </c>
      <c r="D207" s="156" t="str">
        <f>Start.listina!L124</f>
        <v xml:space="preserve"> </v>
      </c>
      <c r="E207" s="156">
        <f>Start.listina!M124</f>
        <v>9999</v>
      </c>
      <c r="F207" s="158">
        <f>Start.listina!N124</f>
        <v>0</v>
      </c>
      <c r="G207" s="69"/>
    </row>
    <row r="208" spans="1:7" ht="12" customHeight="1">
      <c r="A208" s="156" t="str">
        <f>Start.listina!I125</f>
        <v/>
      </c>
      <c r="B208" s="157" t="str">
        <f>Start.listina!J125</f>
        <v xml:space="preserve"> </v>
      </c>
      <c r="C208" s="156" t="str">
        <f>Start.listina!K125</f>
        <v xml:space="preserve"> </v>
      </c>
      <c r="D208" s="156" t="str">
        <f>Start.listina!L125</f>
        <v xml:space="preserve"> </v>
      </c>
      <c r="E208" s="156">
        <f>Start.listina!M125</f>
        <v>9999</v>
      </c>
      <c r="F208" s="158">
        <f>Start.listina!N125</f>
        <v>0</v>
      </c>
      <c r="G208" s="69"/>
    </row>
    <row r="209" spans="1:7" ht="12" customHeight="1">
      <c r="A209" s="156" t="str">
        <f>Start.listina!I126</f>
        <v/>
      </c>
      <c r="B209" s="157" t="str">
        <f>Start.listina!J126</f>
        <v xml:space="preserve"> </v>
      </c>
      <c r="C209" s="156" t="str">
        <f>Start.listina!K126</f>
        <v xml:space="preserve"> </v>
      </c>
      <c r="D209" s="156" t="str">
        <f>Start.listina!L126</f>
        <v xml:space="preserve"> </v>
      </c>
      <c r="E209" s="156">
        <f>Start.listina!M126</f>
        <v>9999</v>
      </c>
      <c r="F209" s="158">
        <f>Start.listina!N126</f>
        <v>0</v>
      </c>
      <c r="G209" s="69"/>
    </row>
    <row r="210" spans="1:7" ht="12" customHeight="1">
      <c r="A210" s="156" t="str">
        <f>Start.listina!I127</f>
        <v/>
      </c>
      <c r="B210" s="157" t="str">
        <f>Start.listina!J127</f>
        <v xml:space="preserve"> </v>
      </c>
      <c r="C210" s="156" t="str">
        <f>Start.listina!K127</f>
        <v xml:space="preserve"> </v>
      </c>
      <c r="D210" s="156" t="str">
        <f>Start.listina!L127</f>
        <v xml:space="preserve"> </v>
      </c>
      <c r="E210" s="156">
        <f>Start.listina!M127</f>
        <v>9999</v>
      </c>
      <c r="F210" s="158">
        <f>Start.listina!N127</f>
        <v>0</v>
      </c>
      <c r="G210" s="69"/>
    </row>
    <row r="211" spans="1:7" ht="12" customHeight="1">
      <c r="A211" s="156" t="str">
        <f>Start.listina!I128</f>
        <v/>
      </c>
      <c r="B211" s="157" t="str">
        <f>Start.listina!J128</f>
        <v xml:space="preserve"> </v>
      </c>
      <c r="C211" s="156" t="str">
        <f>Start.listina!K128</f>
        <v xml:space="preserve"> </v>
      </c>
      <c r="D211" s="156" t="str">
        <f>Start.listina!L128</f>
        <v xml:space="preserve"> </v>
      </c>
      <c r="E211" s="156">
        <f>Start.listina!M128</f>
        <v>9999</v>
      </c>
      <c r="F211" s="158">
        <f>Start.listina!N128</f>
        <v>0</v>
      </c>
      <c r="G211" s="69"/>
    </row>
    <row r="212" spans="1:7" ht="12" customHeight="1">
      <c r="A212" s="156" t="str">
        <f>Start.listina!I129</f>
        <v/>
      </c>
      <c r="B212" s="157" t="str">
        <f>Start.listina!J129</f>
        <v xml:space="preserve"> </v>
      </c>
      <c r="C212" s="156" t="str">
        <f>Start.listina!K129</f>
        <v xml:space="preserve"> </v>
      </c>
      <c r="D212" s="156" t="str">
        <f>Start.listina!L129</f>
        <v xml:space="preserve"> </v>
      </c>
      <c r="E212" s="156">
        <f>Start.listina!M129</f>
        <v>9999</v>
      </c>
      <c r="F212" s="158">
        <f>Start.listina!N129</f>
        <v>0</v>
      </c>
      <c r="G212" s="69"/>
    </row>
    <row r="213" spans="1:7" ht="12" customHeight="1">
      <c r="A213" s="156" t="str">
        <f>Start.listina!I130</f>
        <v/>
      </c>
      <c r="B213" s="157" t="str">
        <f>Start.listina!J130</f>
        <v xml:space="preserve"> </v>
      </c>
      <c r="C213" s="156" t="str">
        <f>Start.listina!K130</f>
        <v xml:space="preserve"> </v>
      </c>
      <c r="D213" s="156" t="str">
        <f>Start.listina!L130</f>
        <v xml:space="preserve"> </v>
      </c>
      <c r="E213" s="156">
        <f>Start.listina!M130</f>
        <v>9999</v>
      </c>
      <c r="F213" s="158">
        <f>Start.listina!N130</f>
        <v>0</v>
      </c>
      <c r="G213" s="69"/>
    </row>
    <row r="214" spans="1:7" ht="12" customHeight="1">
      <c r="A214" s="156" t="str">
        <f>Start.listina!I131</f>
        <v/>
      </c>
      <c r="B214" s="157" t="str">
        <f>Start.listina!J131</f>
        <v xml:space="preserve"> </v>
      </c>
      <c r="C214" s="156" t="str">
        <f>Start.listina!K131</f>
        <v xml:space="preserve"> </v>
      </c>
      <c r="D214" s="156" t="str">
        <f>Start.listina!L131</f>
        <v xml:space="preserve"> </v>
      </c>
      <c r="E214" s="156">
        <f>Start.listina!M131</f>
        <v>9999</v>
      </c>
      <c r="F214" s="158">
        <f>Start.listina!N131</f>
        <v>0</v>
      </c>
      <c r="G214" s="69"/>
    </row>
    <row r="215" spans="1:7" ht="12" customHeight="1">
      <c r="A215" s="156" t="str">
        <f>Start.listina!I132</f>
        <v/>
      </c>
      <c r="B215" s="157" t="str">
        <f>Start.listina!J132</f>
        <v xml:space="preserve"> </v>
      </c>
      <c r="C215" s="156" t="str">
        <f>Start.listina!K132</f>
        <v xml:space="preserve"> </v>
      </c>
      <c r="D215" s="156" t="str">
        <f>Start.listina!L132</f>
        <v xml:space="preserve"> </v>
      </c>
      <c r="E215" s="156">
        <f>Start.listina!M132</f>
        <v>9999</v>
      </c>
      <c r="F215" s="158">
        <f>Start.listina!N132</f>
        <v>0</v>
      </c>
      <c r="G215" s="69"/>
    </row>
    <row r="216" spans="1:7" ht="12" customHeight="1">
      <c r="A216" s="156" t="str">
        <f>Start.listina!I133</f>
        <v/>
      </c>
      <c r="B216" s="157" t="str">
        <f>Start.listina!J133</f>
        <v xml:space="preserve"> </v>
      </c>
      <c r="C216" s="156" t="str">
        <f>Start.listina!K133</f>
        <v xml:space="preserve"> </v>
      </c>
      <c r="D216" s="156" t="str">
        <f>Start.listina!L133</f>
        <v xml:space="preserve"> </v>
      </c>
      <c r="E216" s="156">
        <f>Start.listina!M133</f>
        <v>9999</v>
      </c>
      <c r="F216" s="158">
        <f>Start.listina!N133</f>
        <v>0</v>
      </c>
      <c r="G216" s="69"/>
    </row>
    <row r="217" spans="1:7" ht="12" customHeight="1">
      <c r="A217" s="156" t="str">
        <f>Start.listina!I134</f>
        <v/>
      </c>
      <c r="B217" s="157" t="str">
        <f>Start.listina!J134</f>
        <v xml:space="preserve"> </v>
      </c>
      <c r="C217" s="156" t="str">
        <f>Start.listina!K134</f>
        <v xml:space="preserve"> </v>
      </c>
      <c r="D217" s="156" t="str">
        <f>Start.listina!L134</f>
        <v xml:space="preserve"> </v>
      </c>
      <c r="E217" s="156">
        <f>Start.listina!M134</f>
        <v>9999</v>
      </c>
      <c r="F217" s="158">
        <f>Start.listina!N134</f>
        <v>0</v>
      </c>
      <c r="G217" s="69"/>
    </row>
    <row r="218" spans="1:7" ht="12" customHeight="1">
      <c r="A218" s="156" t="str">
        <f>Start.listina!I135</f>
        <v/>
      </c>
      <c r="B218" s="157" t="str">
        <f>Start.listina!J135</f>
        <v xml:space="preserve"> </v>
      </c>
      <c r="C218" s="156" t="str">
        <f>Start.listina!K135</f>
        <v xml:space="preserve"> </v>
      </c>
      <c r="D218" s="156" t="str">
        <f>Start.listina!L135</f>
        <v xml:space="preserve"> </v>
      </c>
      <c r="E218" s="156">
        <f>Start.listina!M135</f>
        <v>9999</v>
      </c>
      <c r="F218" s="158">
        <f>Start.listina!N135</f>
        <v>0</v>
      </c>
      <c r="G218" s="69"/>
    </row>
    <row r="219" spans="1:7" ht="12" customHeight="1">
      <c r="A219" s="156" t="str">
        <f>Start.listina!I136</f>
        <v/>
      </c>
      <c r="B219" s="157" t="str">
        <f>Start.listina!J136</f>
        <v xml:space="preserve"> </v>
      </c>
      <c r="C219" s="156" t="str">
        <f>Start.listina!K136</f>
        <v xml:space="preserve"> </v>
      </c>
      <c r="D219" s="156" t="str">
        <f>Start.listina!L136</f>
        <v xml:space="preserve"> </v>
      </c>
      <c r="E219" s="156">
        <f>Start.listina!M136</f>
        <v>9999</v>
      </c>
      <c r="F219" s="158">
        <f>Start.listina!N136</f>
        <v>0</v>
      </c>
      <c r="G219" s="69"/>
    </row>
    <row r="220" spans="1:7" ht="12" customHeight="1">
      <c r="A220" s="156" t="str">
        <f>Start.listina!I137</f>
        <v/>
      </c>
      <c r="B220" s="157" t="str">
        <f>Start.listina!J137</f>
        <v xml:space="preserve"> </v>
      </c>
      <c r="C220" s="156" t="str">
        <f>Start.listina!K137</f>
        <v xml:space="preserve"> </v>
      </c>
      <c r="D220" s="156" t="str">
        <f>Start.listina!L137</f>
        <v xml:space="preserve"> </v>
      </c>
      <c r="E220" s="156">
        <f>Start.listina!M137</f>
        <v>9999</v>
      </c>
      <c r="F220" s="158">
        <f>Start.listina!N137</f>
        <v>0</v>
      </c>
      <c r="G220" s="69"/>
    </row>
    <row r="221" spans="1:7" ht="12" customHeight="1">
      <c r="A221" s="156" t="str">
        <f>Start.listina!I138</f>
        <v/>
      </c>
      <c r="B221" s="157" t="str">
        <f>Start.listina!J138</f>
        <v xml:space="preserve"> </v>
      </c>
      <c r="C221" s="156" t="str">
        <f>Start.listina!K138</f>
        <v xml:space="preserve"> </v>
      </c>
      <c r="D221" s="156" t="str">
        <f>Start.listina!L138</f>
        <v xml:space="preserve"> </v>
      </c>
      <c r="E221" s="156">
        <f>Start.listina!M138</f>
        <v>9999</v>
      </c>
      <c r="F221" s="158">
        <f>Start.listina!N138</f>
        <v>0</v>
      </c>
      <c r="G221" s="69"/>
    </row>
    <row r="222" spans="1:7" ht="12" customHeight="1">
      <c r="A222" s="156" t="str">
        <f>Start.listina!I139</f>
        <v/>
      </c>
      <c r="B222" s="157" t="str">
        <f>Start.listina!J139</f>
        <v xml:space="preserve"> </v>
      </c>
      <c r="C222" s="156" t="str">
        <f>Start.listina!K139</f>
        <v xml:space="preserve"> </v>
      </c>
      <c r="D222" s="156" t="str">
        <f>Start.listina!L139</f>
        <v xml:space="preserve"> </v>
      </c>
      <c r="E222" s="156">
        <f>Start.listina!M139</f>
        <v>9999</v>
      </c>
      <c r="F222" s="158">
        <f>Start.listina!N139</f>
        <v>0</v>
      </c>
      <c r="G222" s="69"/>
    </row>
    <row r="223" spans="1:7" ht="12" customHeight="1">
      <c r="A223" s="156" t="str">
        <f>Start.listina!I140</f>
        <v/>
      </c>
      <c r="B223" s="157" t="str">
        <f>Start.listina!J140</f>
        <v xml:space="preserve"> </v>
      </c>
      <c r="C223" s="156" t="str">
        <f>Start.listina!K140</f>
        <v xml:space="preserve"> </v>
      </c>
      <c r="D223" s="156" t="str">
        <f>Start.listina!L140</f>
        <v xml:space="preserve"> </v>
      </c>
      <c r="E223" s="156">
        <f>Start.listina!M140</f>
        <v>9999</v>
      </c>
      <c r="F223" s="158">
        <f>Start.listina!N140</f>
        <v>0</v>
      </c>
      <c r="G223" s="69"/>
    </row>
    <row r="224" spans="1:7" ht="12" customHeight="1">
      <c r="A224" s="156" t="str">
        <f>Start.listina!I141</f>
        <v/>
      </c>
      <c r="B224" s="157" t="str">
        <f>Start.listina!J141</f>
        <v xml:space="preserve"> </v>
      </c>
      <c r="C224" s="156" t="str">
        <f>Start.listina!K141</f>
        <v xml:space="preserve"> </v>
      </c>
      <c r="D224" s="156" t="str">
        <f>Start.listina!L141</f>
        <v xml:space="preserve"> </v>
      </c>
      <c r="E224" s="156">
        <f>Start.listina!M141</f>
        <v>9999</v>
      </c>
      <c r="F224" s="158">
        <f>Start.listina!N141</f>
        <v>0</v>
      </c>
      <c r="G224" s="69"/>
    </row>
    <row r="225" spans="1:7" ht="12" customHeight="1">
      <c r="A225" s="156" t="str">
        <f>Start.listina!I142</f>
        <v/>
      </c>
      <c r="B225" s="157" t="str">
        <f>Start.listina!J142</f>
        <v xml:space="preserve"> </v>
      </c>
      <c r="C225" s="156" t="str">
        <f>Start.listina!K142</f>
        <v xml:space="preserve"> </v>
      </c>
      <c r="D225" s="156" t="str">
        <f>Start.listina!L142</f>
        <v xml:space="preserve"> </v>
      </c>
      <c r="E225" s="156">
        <f>Start.listina!M142</f>
        <v>9999</v>
      </c>
      <c r="F225" s="158">
        <f>Start.listina!N142</f>
        <v>0</v>
      </c>
      <c r="G225" s="69"/>
    </row>
    <row r="226" spans="1:7" ht="12" customHeight="1">
      <c r="A226" s="156" t="str">
        <f>Start.listina!I143</f>
        <v/>
      </c>
      <c r="B226" s="157" t="str">
        <f>Start.listina!J143</f>
        <v xml:space="preserve"> </v>
      </c>
      <c r="C226" s="156" t="str">
        <f>Start.listina!K143</f>
        <v xml:space="preserve"> </v>
      </c>
      <c r="D226" s="156" t="str">
        <f>Start.listina!L143</f>
        <v xml:space="preserve"> </v>
      </c>
      <c r="E226" s="156">
        <f>Start.listina!M143</f>
        <v>9999</v>
      </c>
      <c r="F226" s="158">
        <f>Start.listina!N143</f>
        <v>0</v>
      </c>
      <c r="G226" s="69"/>
    </row>
    <row r="227" spans="1:7" ht="12" customHeight="1">
      <c r="A227" s="156" t="str">
        <f>Start.listina!I144</f>
        <v/>
      </c>
      <c r="B227" s="157" t="str">
        <f>Start.listina!J144</f>
        <v xml:space="preserve"> </v>
      </c>
      <c r="C227" s="156" t="str">
        <f>Start.listina!K144</f>
        <v xml:space="preserve"> </v>
      </c>
      <c r="D227" s="156" t="str">
        <f>Start.listina!L144</f>
        <v xml:space="preserve"> </v>
      </c>
      <c r="E227" s="156">
        <f>Start.listina!M144</f>
        <v>9999</v>
      </c>
      <c r="F227" s="158">
        <f>Start.listina!N144</f>
        <v>0</v>
      </c>
      <c r="G227" s="69"/>
    </row>
    <row r="228" spans="1:7" ht="12" customHeight="1">
      <c r="A228" s="156" t="str">
        <f>Start.listina!I145</f>
        <v/>
      </c>
      <c r="B228" s="157" t="str">
        <f>Start.listina!J145</f>
        <v xml:space="preserve"> </v>
      </c>
      <c r="C228" s="156" t="str">
        <f>Start.listina!K145</f>
        <v xml:space="preserve"> </v>
      </c>
      <c r="D228" s="156" t="str">
        <f>Start.listina!L145</f>
        <v xml:space="preserve"> </v>
      </c>
      <c r="E228" s="156">
        <f>Start.listina!M145</f>
        <v>9999</v>
      </c>
      <c r="F228" s="158">
        <f>Start.listina!N145</f>
        <v>0</v>
      </c>
      <c r="G228" s="69"/>
    </row>
    <row r="229" spans="1:7" ht="12" customHeight="1">
      <c r="A229" s="156" t="str">
        <f>Start.listina!I146</f>
        <v/>
      </c>
      <c r="B229" s="157" t="str">
        <f>Start.listina!J146</f>
        <v xml:space="preserve"> </v>
      </c>
      <c r="C229" s="156" t="str">
        <f>Start.listina!K146</f>
        <v xml:space="preserve"> </v>
      </c>
      <c r="D229" s="156" t="str">
        <f>Start.listina!L146</f>
        <v xml:space="preserve"> </v>
      </c>
      <c r="E229" s="156">
        <f>Start.listina!M146</f>
        <v>9999</v>
      </c>
      <c r="F229" s="158">
        <f>Start.listina!N146</f>
        <v>0</v>
      </c>
      <c r="G229" s="69"/>
    </row>
    <row r="230" spans="1:7" ht="12" customHeight="1">
      <c r="A230" s="156" t="str">
        <f>Start.listina!I147</f>
        <v/>
      </c>
      <c r="B230" s="157" t="str">
        <f>Start.listina!J147</f>
        <v xml:space="preserve"> </v>
      </c>
      <c r="C230" s="156" t="str">
        <f>Start.listina!K147</f>
        <v xml:space="preserve"> </v>
      </c>
      <c r="D230" s="156" t="str">
        <f>Start.listina!L147</f>
        <v xml:space="preserve"> </v>
      </c>
      <c r="E230" s="156">
        <f>Start.listina!M147</f>
        <v>9999</v>
      </c>
      <c r="F230" s="158">
        <f>Start.listina!N147</f>
        <v>0</v>
      </c>
      <c r="G230" s="69"/>
    </row>
    <row r="231" spans="1:7" ht="12" customHeight="1">
      <c r="A231" s="156" t="str">
        <f>Start.listina!I148</f>
        <v/>
      </c>
      <c r="B231" s="157" t="str">
        <f>Start.listina!J148</f>
        <v xml:space="preserve"> </v>
      </c>
      <c r="C231" s="156" t="str">
        <f>Start.listina!K148</f>
        <v xml:space="preserve"> </v>
      </c>
      <c r="D231" s="156" t="str">
        <f>Start.listina!L148</f>
        <v xml:space="preserve"> </v>
      </c>
      <c r="E231" s="156">
        <f>Start.listina!M148</f>
        <v>9999</v>
      </c>
      <c r="F231" s="158">
        <f>Start.listina!N148</f>
        <v>0</v>
      </c>
      <c r="G231" s="69"/>
    </row>
    <row r="232" spans="1:7" ht="12" customHeight="1">
      <c r="A232" s="156" t="str">
        <f>Start.listina!I149</f>
        <v/>
      </c>
      <c r="B232" s="157" t="str">
        <f>Start.listina!J149</f>
        <v xml:space="preserve"> </v>
      </c>
      <c r="C232" s="156" t="str">
        <f>Start.listina!K149</f>
        <v xml:space="preserve"> </v>
      </c>
      <c r="D232" s="156" t="str">
        <f>Start.listina!L149</f>
        <v xml:space="preserve"> </v>
      </c>
      <c r="E232" s="156">
        <f>Start.listina!M149</f>
        <v>9999</v>
      </c>
      <c r="F232" s="158">
        <f>Start.listina!N149</f>
        <v>0</v>
      </c>
      <c r="G232" s="69"/>
    </row>
    <row r="233" spans="1:7" ht="12" customHeight="1">
      <c r="A233" s="156" t="str">
        <f>Start.listina!I150</f>
        <v/>
      </c>
      <c r="B233" s="157" t="str">
        <f>Start.listina!J150</f>
        <v xml:space="preserve"> </v>
      </c>
      <c r="C233" s="156" t="str">
        <f>Start.listina!K150</f>
        <v xml:space="preserve"> </v>
      </c>
      <c r="D233" s="156" t="str">
        <f>Start.listina!L150</f>
        <v xml:space="preserve"> </v>
      </c>
      <c r="E233" s="156">
        <f>Start.listina!M150</f>
        <v>9999</v>
      </c>
      <c r="F233" s="158">
        <f>Start.listina!N150</f>
        <v>0</v>
      </c>
      <c r="G233" s="69"/>
    </row>
    <row r="234" spans="1:7" ht="12" customHeight="1">
      <c r="A234" s="156" t="str">
        <f>Start.listina!I151</f>
        <v/>
      </c>
      <c r="B234" s="157" t="str">
        <f>Start.listina!J151</f>
        <v xml:space="preserve"> </v>
      </c>
      <c r="C234" s="156" t="str">
        <f>Start.listina!K151</f>
        <v xml:space="preserve"> </v>
      </c>
      <c r="D234" s="156" t="str">
        <f>Start.listina!L151</f>
        <v xml:space="preserve"> </v>
      </c>
      <c r="E234" s="156">
        <f>Start.listina!M151</f>
        <v>9999</v>
      </c>
      <c r="F234" s="158">
        <f>Start.listina!N151</f>
        <v>0</v>
      </c>
      <c r="G234" s="69"/>
    </row>
    <row r="235" spans="1:7" ht="12" customHeight="1">
      <c r="A235" s="156" t="str">
        <f>Start.listina!I152</f>
        <v/>
      </c>
      <c r="B235" s="157" t="str">
        <f>Start.listina!J152</f>
        <v xml:space="preserve"> </v>
      </c>
      <c r="C235" s="156" t="str">
        <f>Start.listina!K152</f>
        <v xml:space="preserve"> </v>
      </c>
      <c r="D235" s="156" t="str">
        <f>Start.listina!L152</f>
        <v xml:space="preserve"> </v>
      </c>
      <c r="E235" s="156">
        <f>Start.listina!M152</f>
        <v>9999</v>
      </c>
      <c r="F235" s="158">
        <f>Start.listina!N152</f>
        <v>0</v>
      </c>
      <c r="G235" s="69"/>
    </row>
    <row r="236" spans="1:7" ht="12" customHeight="1">
      <c r="A236" s="156" t="str">
        <f>Start.listina!I153</f>
        <v/>
      </c>
      <c r="B236" s="157" t="str">
        <f>Start.listina!J153</f>
        <v xml:space="preserve"> </v>
      </c>
      <c r="C236" s="156" t="str">
        <f>Start.listina!K153</f>
        <v xml:space="preserve"> </v>
      </c>
      <c r="D236" s="156" t="str">
        <f>Start.listina!L153</f>
        <v xml:space="preserve"> </v>
      </c>
      <c r="E236" s="156">
        <f>Start.listina!M153</f>
        <v>9999</v>
      </c>
      <c r="F236" s="158">
        <f>Start.listina!N153</f>
        <v>0</v>
      </c>
      <c r="G236" s="69"/>
    </row>
    <row r="237" spans="1:7" ht="12" customHeight="1">
      <c r="A237" s="156" t="str">
        <f>Start.listina!I154</f>
        <v/>
      </c>
      <c r="B237" s="157" t="str">
        <f>Start.listina!J154</f>
        <v xml:space="preserve"> </v>
      </c>
      <c r="C237" s="156" t="str">
        <f>Start.listina!K154</f>
        <v xml:space="preserve"> </v>
      </c>
      <c r="D237" s="156" t="str">
        <f>Start.listina!L154</f>
        <v xml:space="preserve"> </v>
      </c>
      <c r="E237" s="156">
        <f>Start.listina!M154</f>
        <v>9999</v>
      </c>
      <c r="F237" s="158">
        <f>Start.listina!N154</f>
        <v>0</v>
      </c>
      <c r="G237" s="69"/>
    </row>
    <row r="238" spans="1:7" ht="12" customHeight="1">
      <c r="A238" s="156" t="str">
        <f>Start.listina!I155</f>
        <v/>
      </c>
      <c r="B238" s="157" t="str">
        <f>Start.listina!J155</f>
        <v xml:space="preserve"> </v>
      </c>
      <c r="C238" s="156" t="str">
        <f>Start.listina!K155</f>
        <v xml:space="preserve"> </v>
      </c>
      <c r="D238" s="156" t="str">
        <f>Start.listina!L155</f>
        <v xml:space="preserve"> </v>
      </c>
      <c r="E238" s="156">
        <f>Start.listina!M155</f>
        <v>9999</v>
      </c>
      <c r="F238" s="158">
        <f>Start.listina!N155</f>
        <v>0</v>
      </c>
      <c r="G238" s="69"/>
    </row>
    <row r="239" spans="1:7" ht="12" customHeight="1">
      <c r="A239" s="156" t="str">
        <f>Start.listina!I156</f>
        <v/>
      </c>
      <c r="B239" s="157" t="str">
        <f>Start.listina!J156</f>
        <v xml:space="preserve"> </v>
      </c>
      <c r="C239" s="156" t="str">
        <f>Start.listina!K156</f>
        <v xml:space="preserve"> </v>
      </c>
      <c r="D239" s="156" t="str">
        <f>Start.listina!L156</f>
        <v xml:space="preserve"> </v>
      </c>
      <c r="E239" s="156">
        <f>Start.listina!M156</f>
        <v>9999</v>
      </c>
      <c r="F239" s="158">
        <f>Start.listina!N156</f>
        <v>0</v>
      </c>
      <c r="G239" s="69"/>
    </row>
    <row r="240" spans="1:7" ht="12" customHeight="1">
      <c r="A240" s="156" t="str">
        <f>Start.listina!I157</f>
        <v/>
      </c>
      <c r="B240" s="157" t="str">
        <f>Start.listina!J157</f>
        <v xml:space="preserve"> </v>
      </c>
      <c r="C240" s="156" t="str">
        <f>Start.listina!K157</f>
        <v xml:space="preserve"> </v>
      </c>
      <c r="D240" s="156" t="str">
        <f>Start.listina!L157</f>
        <v xml:space="preserve"> </v>
      </c>
      <c r="E240" s="156">
        <f>Start.listina!M157</f>
        <v>9999</v>
      </c>
      <c r="F240" s="158">
        <f>Start.listina!N157</f>
        <v>0</v>
      </c>
      <c r="G240" s="69"/>
    </row>
    <row r="241" spans="1:7" ht="12" customHeight="1">
      <c r="A241" s="156" t="str">
        <f>Start.listina!I158</f>
        <v/>
      </c>
      <c r="B241" s="157" t="str">
        <f>Start.listina!J158</f>
        <v xml:space="preserve"> </v>
      </c>
      <c r="C241" s="156" t="str">
        <f>Start.listina!K158</f>
        <v xml:space="preserve"> </v>
      </c>
      <c r="D241" s="156" t="str">
        <f>Start.listina!L158</f>
        <v xml:space="preserve"> </v>
      </c>
      <c r="E241" s="156">
        <f>Start.listina!M158</f>
        <v>9999</v>
      </c>
      <c r="F241" s="158">
        <f>Start.listina!N158</f>
        <v>0</v>
      </c>
      <c r="G241" s="69"/>
    </row>
    <row r="242" spans="1:7" ht="12" customHeight="1">
      <c r="A242" s="156" t="str">
        <f>Start.listina!I159</f>
        <v/>
      </c>
      <c r="B242" s="157" t="str">
        <f>Start.listina!J159</f>
        <v xml:space="preserve"> </v>
      </c>
      <c r="C242" s="156" t="str">
        <f>Start.listina!K159</f>
        <v xml:space="preserve"> </v>
      </c>
      <c r="D242" s="156" t="str">
        <f>Start.listina!L159</f>
        <v xml:space="preserve"> </v>
      </c>
      <c r="E242" s="156">
        <f>Start.listina!M159</f>
        <v>9999</v>
      </c>
      <c r="F242" s="158">
        <f>Start.listina!N159</f>
        <v>0</v>
      </c>
      <c r="G242" s="69"/>
    </row>
    <row r="243" spans="1:7" ht="12" customHeight="1">
      <c r="A243" s="156" t="str">
        <f>Start.listina!I160</f>
        <v/>
      </c>
      <c r="B243" s="157" t="str">
        <f>Start.listina!J160</f>
        <v xml:space="preserve"> </v>
      </c>
      <c r="C243" s="156" t="str">
        <f>Start.listina!K160</f>
        <v xml:space="preserve"> </v>
      </c>
      <c r="D243" s="156" t="str">
        <f>Start.listina!L160</f>
        <v xml:space="preserve"> </v>
      </c>
      <c r="E243" s="156">
        <f>Start.listina!M160</f>
        <v>9999</v>
      </c>
      <c r="F243" s="158">
        <f>Start.listina!N160</f>
        <v>0</v>
      </c>
      <c r="G243" s="69"/>
    </row>
    <row r="244" spans="1:7" ht="12" customHeight="1">
      <c r="A244" s="156" t="str">
        <f>Start.listina!I161</f>
        <v/>
      </c>
      <c r="B244" s="157" t="str">
        <f>Start.listina!J161</f>
        <v xml:space="preserve"> </v>
      </c>
      <c r="C244" s="156" t="str">
        <f>Start.listina!K161</f>
        <v xml:space="preserve"> </v>
      </c>
      <c r="D244" s="156" t="str">
        <f>Start.listina!L161</f>
        <v xml:space="preserve"> </v>
      </c>
      <c r="E244" s="156">
        <f>Start.listina!M161</f>
        <v>9999</v>
      </c>
      <c r="F244" s="158">
        <f>Start.listina!N161</f>
        <v>0</v>
      </c>
      <c r="G244" s="69"/>
    </row>
    <row r="245" spans="1:7" ht="12" customHeight="1">
      <c r="A245" s="156" t="str">
        <f>Start.listina!I162</f>
        <v/>
      </c>
      <c r="B245" s="157" t="str">
        <f>Start.listina!J162</f>
        <v xml:space="preserve"> </v>
      </c>
      <c r="C245" s="156" t="str">
        <f>Start.listina!K162</f>
        <v xml:space="preserve"> </v>
      </c>
      <c r="D245" s="156" t="str">
        <f>Start.listina!L162</f>
        <v xml:space="preserve"> </v>
      </c>
      <c r="E245" s="156">
        <f>Start.listina!M162</f>
        <v>9999</v>
      </c>
      <c r="F245" s="158">
        <f>Start.listina!N162</f>
        <v>0</v>
      </c>
      <c r="G245" s="69"/>
    </row>
    <row r="246" spans="1:7" ht="12" customHeight="1">
      <c r="A246" s="156" t="str">
        <f>Start.listina!I163</f>
        <v/>
      </c>
      <c r="B246" s="157" t="str">
        <f>Start.listina!J163</f>
        <v xml:space="preserve"> </v>
      </c>
      <c r="C246" s="156" t="str">
        <f>Start.listina!K163</f>
        <v xml:space="preserve"> </v>
      </c>
      <c r="D246" s="156" t="str">
        <f>Start.listina!L163</f>
        <v xml:space="preserve"> </v>
      </c>
      <c r="E246" s="156">
        <f>Start.listina!M163</f>
        <v>9999</v>
      </c>
      <c r="F246" s="158">
        <f>Start.listina!N163</f>
        <v>0</v>
      </c>
      <c r="G246" s="69"/>
    </row>
    <row r="247" spans="1:7" ht="12" customHeight="1">
      <c r="A247" s="156" t="str">
        <f>Start.listina!I164</f>
        <v/>
      </c>
      <c r="B247" s="157" t="str">
        <f>Start.listina!J164</f>
        <v xml:space="preserve"> </v>
      </c>
      <c r="C247" s="156" t="str">
        <f>Start.listina!K164</f>
        <v xml:space="preserve"> </v>
      </c>
      <c r="D247" s="156" t="str">
        <f>Start.listina!L164</f>
        <v xml:space="preserve"> </v>
      </c>
      <c r="E247" s="156">
        <f>Start.listina!M164</f>
        <v>9999</v>
      </c>
      <c r="F247" s="158">
        <f>Start.listina!N164</f>
        <v>0</v>
      </c>
      <c r="G247" s="69"/>
    </row>
    <row r="248" spans="1:7" ht="12" customHeight="1">
      <c r="A248" s="156" t="str">
        <f>Start.listina!I165</f>
        <v/>
      </c>
      <c r="B248" s="157" t="str">
        <f>Start.listina!J165</f>
        <v xml:space="preserve"> </v>
      </c>
      <c r="C248" s="156" t="str">
        <f>Start.listina!K165</f>
        <v xml:space="preserve"> </v>
      </c>
      <c r="D248" s="156" t="str">
        <f>Start.listina!L165</f>
        <v xml:space="preserve"> </v>
      </c>
      <c r="E248" s="156">
        <f>Start.listina!M165</f>
        <v>9999</v>
      </c>
      <c r="F248" s="158">
        <f>Start.listina!N165</f>
        <v>0</v>
      </c>
      <c r="G248" s="69"/>
    </row>
    <row r="249" spans="1:7" ht="12" customHeight="1">
      <c r="A249" s="156" t="str">
        <f>Start.listina!I166</f>
        <v/>
      </c>
      <c r="B249" s="157" t="str">
        <f>Start.listina!J166</f>
        <v xml:space="preserve"> </v>
      </c>
      <c r="C249" s="156" t="str">
        <f>Start.listina!K166</f>
        <v xml:space="preserve"> </v>
      </c>
      <c r="D249" s="156" t="str">
        <f>Start.listina!L166</f>
        <v xml:space="preserve"> </v>
      </c>
      <c r="E249" s="156">
        <f>Start.listina!M166</f>
        <v>9999</v>
      </c>
      <c r="F249" s="158">
        <f>Start.listina!N166</f>
        <v>0</v>
      </c>
      <c r="G249" s="69"/>
    </row>
    <row r="250" spans="1:7" ht="12" customHeight="1">
      <c r="A250" s="156" t="str">
        <f>Start.listina!I167</f>
        <v/>
      </c>
      <c r="B250" s="157" t="str">
        <f>Start.listina!J167</f>
        <v xml:space="preserve"> </v>
      </c>
      <c r="C250" s="156" t="str">
        <f>Start.listina!K167</f>
        <v xml:space="preserve"> </v>
      </c>
      <c r="D250" s="156" t="str">
        <f>Start.listina!L167</f>
        <v xml:space="preserve"> </v>
      </c>
      <c r="E250" s="156">
        <f>Start.listina!M167</f>
        <v>9999</v>
      </c>
      <c r="F250" s="158">
        <f>Start.listina!N167</f>
        <v>0</v>
      </c>
      <c r="G250" s="69"/>
    </row>
    <row r="251" spans="1:7" ht="12" customHeight="1">
      <c r="A251" s="156" t="str">
        <f>Start.listina!I168</f>
        <v/>
      </c>
      <c r="B251" s="157" t="str">
        <f>Start.listina!J168</f>
        <v xml:space="preserve"> </v>
      </c>
      <c r="C251" s="156" t="str">
        <f>Start.listina!K168</f>
        <v xml:space="preserve"> </v>
      </c>
      <c r="D251" s="156" t="str">
        <f>Start.listina!L168</f>
        <v xml:space="preserve"> </v>
      </c>
      <c r="E251" s="156">
        <f>Start.listina!M168</f>
        <v>9999</v>
      </c>
      <c r="F251" s="158">
        <f>Start.listina!N168</f>
        <v>0</v>
      </c>
      <c r="G251" s="69"/>
    </row>
    <row r="252" spans="1:7" ht="12" customHeight="1">
      <c r="A252" s="156" t="str">
        <f>Start.listina!I169</f>
        <v/>
      </c>
      <c r="B252" s="157" t="str">
        <f>Start.listina!J169</f>
        <v xml:space="preserve"> </v>
      </c>
      <c r="C252" s="156" t="str">
        <f>Start.listina!K169</f>
        <v xml:space="preserve"> </v>
      </c>
      <c r="D252" s="156" t="str">
        <f>Start.listina!L169</f>
        <v xml:space="preserve"> </v>
      </c>
      <c r="E252" s="156">
        <f>Start.listina!M169</f>
        <v>9999</v>
      </c>
      <c r="F252" s="158">
        <f>Start.listina!N169</f>
        <v>0</v>
      </c>
      <c r="G252" s="69"/>
    </row>
    <row r="253" spans="1:7" ht="12" customHeight="1">
      <c r="A253" s="156" t="str">
        <f>Start.listina!I170</f>
        <v/>
      </c>
      <c r="B253" s="157" t="str">
        <f>Start.listina!J170</f>
        <v xml:space="preserve"> </v>
      </c>
      <c r="C253" s="156" t="str">
        <f>Start.listina!K170</f>
        <v xml:space="preserve"> </v>
      </c>
      <c r="D253" s="156" t="str">
        <f>Start.listina!L170</f>
        <v xml:space="preserve"> </v>
      </c>
      <c r="E253" s="156">
        <f>Start.listina!M170</f>
        <v>9999</v>
      </c>
      <c r="F253" s="158">
        <f>Start.listina!N170</f>
        <v>0</v>
      </c>
      <c r="G253" s="69"/>
    </row>
    <row r="254" spans="1:7" ht="12" customHeight="1">
      <c r="A254" s="156" t="str">
        <f>Start.listina!I171</f>
        <v/>
      </c>
      <c r="B254" s="157" t="str">
        <f>Start.listina!J171</f>
        <v xml:space="preserve"> </v>
      </c>
      <c r="C254" s="156" t="str">
        <f>Start.listina!K171</f>
        <v xml:space="preserve"> </v>
      </c>
      <c r="D254" s="156" t="str">
        <f>Start.listina!L171</f>
        <v xml:space="preserve"> </v>
      </c>
      <c r="E254" s="156">
        <f>Start.listina!M171</f>
        <v>9999</v>
      </c>
      <c r="F254" s="158">
        <f>Start.listina!N171</f>
        <v>0</v>
      </c>
      <c r="G254" s="69"/>
    </row>
    <row r="255" spans="1:7" ht="12" customHeight="1">
      <c r="A255" s="156" t="str">
        <f>Start.listina!I172</f>
        <v/>
      </c>
      <c r="B255" s="157" t="str">
        <f>Start.listina!J172</f>
        <v xml:space="preserve"> </v>
      </c>
      <c r="C255" s="156" t="str">
        <f>Start.listina!K172</f>
        <v xml:space="preserve"> </v>
      </c>
      <c r="D255" s="156" t="str">
        <f>Start.listina!L172</f>
        <v xml:space="preserve"> </v>
      </c>
      <c r="E255" s="156">
        <f>Start.listina!M172</f>
        <v>9999</v>
      </c>
      <c r="F255" s="158">
        <f>Start.listina!N172</f>
        <v>0</v>
      </c>
      <c r="G255" s="69"/>
    </row>
    <row r="256" spans="1:7" ht="12" customHeight="1">
      <c r="A256" s="156" t="str">
        <f>Start.listina!I173</f>
        <v/>
      </c>
      <c r="B256" s="157" t="str">
        <f>Start.listina!J173</f>
        <v xml:space="preserve"> </v>
      </c>
      <c r="C256" s="156" t="str">
        <f>Start.listina!K173</f>
        <v xml:space="preserve"> </v>
      </c>
      <c r="D256" s="156" t="str">
        <f>Start.listina!L173</f>
        <v xml:space="preserve"> </v>
      </c>
      <c r="E256" s="156">
        <f>Start.listina!M173</f>
        <v>9999</v>
      </c>
      <c r="F256" s="158">
        <f>Start.listina!N173</f>
        <v>0</v>
      </c>
      <c r="G256" s="69"/>
    </row>
    <row r="257" spans="1:7" ht="12" customHeight="1">
      <c r="A257" s="156" t="str">
        <f>Start.listina!I174</f>
        <v/>
      </c>
      <c r="B257" s="157" t="str">
        <f>Start.listina!J174</f>
        <v xml:space="preserve"> </v>
      </c>
      <c r="C257" s="156" t="str">
        <f>Start.listina!K174</f>
        <v xml:space="preserve"> </v>
      </c>
      <c r="D257" s="156" t="str">
        <f>Start.listina!L174</f>
        <v xml:space="preserve"> </v>
      </c>
      <c r="E257" s="156">
        <f>Start.listina!M174</f>
        <v>9999</v>
      </c>
      <c r="F257" s="158">
        <f>Start.listina!N174</f>
        <v>0</v>
      </c>
      <c r="G257" s="69"/>
    </row>
    <row r="258" spans="1:7" ht="12" customHeight="1">
      <c r="A258" s="156" t="str">
        <f>Start.listina!I175</f>
        <v/>
      </c>
      <c r="B258" s="157" t="str">
        <f>Start.listina!J175</f>
        <v xml:space="preserve"> </v>
      </c>
      <c r="C258" s="156" t="str">
        <f>Start.listina!K175</f>
        <v xml:space="preserve"> </v>
      </c>
      <c r="D258" s="156" t="str">
        <f>Start.listina!L175</f>
        <v xml:space="preserve"> </v>
      </c>
      <c r="E258" s="156">
        <f>Start.listina!M175</f>
        <v>9999</v>
      </c>
      <c r="F258" s="158">
        <f>Start.listina!N175</f>
        <v>0</v>
      </c>
      <c r="G258" s="69"/>
    </row>
    <row r="259" spans="1:7" ht="12" customHeight="1">
      <c r="A259" s="156" t="str">
        <f>Start.listina!I176</f>
        <v/>
      </c>
      <c r="B259" s="157" t="str">
        <f>Start.listina!J176</f>
        <v xml:space="preserve"> </v>
      </c>
      <c r="C259" s="156" t="str">
        <f>Start.listina!K176</f>
        <v xml:space="preserve"> </v>
      </c>
      <c r="D259" s="156" t="str">
        <f>Start.listina!L176</f>
        <v xml:space="preserve"> </v>
      </c>
      <c r="E259" s="156">
        <f>Start.listina!M176</f>
        <v>9999</v>
      </c>
      <c r="F259" s="158">
        <f>Start.listina!N176</f>
        <v>0</v>
      </c>
      <c r="G259" s="69"/>
    </row>
    <row r="260" spans="1:7" ht="12" customHeight="1">
      <c r="A260" s="156" t="str">
        <f>Start.listina!I177</f>
        <v/>
      </c>
      <c r="B260" s="157" t="str">
        <f>Start.listina!J177</f>
        <v xml:space="preserve"> </v>
      </c>
      <c r="C260" s="156" t="str">
        <f>Start.listina!K177</f>
        <v xml:space="preserve"> </v>
      </c>
      <c r="D260" s="156" t="str">
        <f>Start.listina!L177</f>
        <v xml:space="preserve"> </v>
      </c>
      <c r="E260" s="156">
        <f>Start.listina!M177</f>
        <v>9999</v>
      </c>
      <c r="F260" s="158">
        <f>Start.listina!N177</f>
        <v>0</v>
      </c>
      <c r="G260" s="69"/>
    </row>
    <row r="261" spans="1:7" ht="12" customHeight="1">
      <c r="A261" s="156" t="str">
        <f>Start.listina!I178</f>
        <v/>
      </c>
      <c r="B261" s="157" t="str">
        <f>Start.listina!J178</f>
        <v xml:space="preserve"> </v>
      </c>
      <c r="C261" s="156" t="str">
        <f>Start.listina!K178</f>
        <v xml:space="preserve"> </v>
      </c>
      <c r="D261" s="156" t="str">
        <f>Start.listina!L178</f>
        <v xml:space="preserve"> </v>
      </c>
      <c r="E261" s="156">
        <f>Start.listina!M178</f>
        <v>9999</v>
      </c>
      <c r="F261" s="158">
        <f>Start.listina!N178</f>
        <v>0</v>
      </c>
      <c r="G261" s="69"/>
    </row>
    <row r="262" spans="1:7" ht="12" customHeight="1">
      <c r="A262" s="156" t="str">
        <f>Start.listina!I179</f>
        <v/>
      </c>
      <c r="B262" s="157" t="str">
        <f>Start.listina!J179</f>
        <v xml:space="preserve"> </v>
      </c>
      <c r="C262" s="156" t="str">
        <f>Start.listina!K179</f>
        <v xml:space="preserve"> </v>
      </c>
      <c r="D262" s="156" t="str">
        <f>Start.listina!L179</f>
        <v xml:space="preserve"> </v>
      </c>
      <c r="E262" s="156">
        <f>Start.listina!M179</f>
        <v>9999</v>
      </c>
      <c r="F262" s="158">
        <f>Start.listina!N179</f>
        <v>0</v>
      </c>
      <c r="G262" s="69"/>
    </row>
    <row r="263" spans="1:7" ht="12" customHeight="1">
      <c r="A263" s="156" t="str">
        <f>Start.listina!I180</f>
        <v/>
      </c>
      <c r="B263" s="157" t="str">
        <f>Start.listina!J180</f>
        <v xml:space="preserve"> </v>
      </c>
      <c r="C263" s="156" t="str">
        <f>Start.listina!K180</f>
        <v xml:space="preserve"> </v>
      </c>
      <c r="D263" s="156" t="str">
        <f>Start.listina!L180</f>
        <v xml:space="preserve"> </v>
      </c>
      <c r="E263" s="156">
        <f>Start.listina!M180</f>
        <v>9999</v>
      </c>
      <c r="F263" s="158">
        <f>Start.listina!N180</f>
        <v>0</v>
      </c>
      <c r="G263" s="69"/>
    </row>
    <row r="264" spans="1:7" ht="12" customHeight="1">
      <c r="A264" s="156" t="str">
        <f>Start.listina!I181</f>
        <v/>
      </c>
      <c r="B264" s="157" t="str">
        <f>Start.listina!J181</f>
        <v xml:space="preserve"> </v>
      </c>
      <c r="C264" s="156" t="str">
        <f>Start.listina!K181</f>
        <v xml:space="preserve"> </v>
      </c>
      <c r="D264" s="156" t="str">
        <f>Start.listina!L181</f>
        <v xml:space="preserve"> </v>
      </c>
      <c r="E264" s="156">
        <f>Start.listina!M181</f>
        <v>9999</v>
      </c>
      <c r="F264" s="158">
        <f>Start.listina!N181</f>
        <v>0</v>
      </c>
      <c r="G264" s="69"/>
    </row>
    <row r="265" spans="1:7" ht="12" customHeight="1">
      <c r="A265" s="156" t="str">
        <f>Start.listina!I182</f>
        <v/>
      </c>
      <c r="B265" s="157" t="str">
        <f>Start.listina!J182</f>
        <v xml:space="preserve"> </v>
      </c>
      <c r="C265" s="156" t="str">
        <f>Start.listina!K182</f>
        <v xml:space="preserve"> </v>
      </c>
      <c r="D265" s="156" t="str">
        <f>Start.listina!L182</f>
        <v xml:space="preserve"> </v>
      </c>
      <c r="E265" s="156">
        <f>Start.listina!M182</f>
        <v>9999</v>
      </c>
      <c r="F265" s="158">
        <f>Start.listina!N182</f>
        <v>0</v>
      </c>
      <c r="G265" s="69"/>
    </row>
    <row r="266" spans="1:7" ht="12" customHeight="1">
      <c r="A266" s="156" t="str">
        <f>Start.listina!I183</f>
        <v/>
      </c>
      <c r="B266" s="157" t="str">
        <f>Start.listina!J183</f>
        <v xml:space="preserve"> </v>
      </c>
      <c r="C266" s="156" t="str">
        <f>Start.listina!K183</f>
        <v xml:space="preserve"> </v>
      </c>
      <c r="D266" s="156" t="str">
        <f>Start.listina!L183</f>
        <v xml:space="preserve"> </v>
      </c>
      <c r="E266" s="156">
        <f>Start.listina!M183</f>
        <v>9999</v>
      </c>
      <c r="F266" s="158">
        <f>Start.listina!N183</f>
        <v>0</v>
      </c>
      <c r="G266" s="69"/>
    </row>
    <row r="267" spans="1:7" ht="12" customHeight="1">
      <c r="A267" s="156" t="str">
        <f>Start.listina!I184</f>
        <v/>
      </c>
      <c r="B267" s="157" t="str">
        <f>Start.listina!J184</f>
        <v xml:space="preserve"> </v>
      </c>
      <c r="C267" s="156" t="str">
        <f>Start.listina!K184</f>
        <v xml:space="preserve"> </v>
      </c>
      <c r="D267" s="156" t="str">
        <f>Start.listina!L184</f>
        <v xml:space="preserve"> </v>
      </c>
      <c r="E267" s="156">
        <f>Start.listina!M184</f>
        <v>9999</v>
      </c>
      <c r="F267" s="158">
        <f>Start.listina!N184</f>
        <v>0</v>
      </c>
      <c r="G267" s="69"/>
    </row>
    <row r="268" spans="1:7" ht="12" customHeight="1">
      <c r="A268" s="156" t="str">
        <f>Start.listina!I185</f>
        <v/>
      </c>
      <c r="B268" s="157" t="str">
        <f>Start.listina!J185</f>
        <v xml:space="preserve"> </v>
      </c>
      <c r="C268" s="156" t="str">
        <f>Start.listina!K185</f>
        <v xml:space="preserve"> </v>
      </c>
      <c r="D268" s="156" t="str">
        <f>Start.listina!L185</f>
        <v xml:space="preserve"> </v>
      </c>
      <c r="E268" s="156">
        <f>Start.listina!M185</f>
        <v>9999</v>
      </c>
      <c r="F268" s="158">
        <f>Start.listina!N185</f>
        <v>0</v>
      </c>
      <c r="G268" s="69"/>
    </row>
    <row r="269" spans="1:7" ht="12" customHeight="1">
      <c r="A269" s="156" t="str">
        <f>Start.listina!I186</f>
        <v/>
      </c>
      <c r="B269" s="157" t="str">
        <f>Start.listina!J186</f>
        <v xml:space="preserve"> </v>
      </c>
      <c r="C269" s="156" t="str">
        <f>Start.listina!K186</f>
        <v xml:space="preserve"> </v>
      </c>
      <c r="D269" s="156" t="str">
        <f>Start.listina!L186</f>
        <v xml:space="preserve"> </v>
      </c>
      <c r="E269" s="156">
        <f>Start.listina!M186</f>
        <v>9999</v>
      </c>
      <c r="F269" s="158">
        <f>Start.listina!N186</f>
        <v>0</v>
      </c>
      <c r="G269" s="69"/>
    </row>
    <row r="270" spans="1:7" ht="12" customHeight="1">
      <c r="A270" s="156" t="str">
        <f>Start.listina!I187</f>
        <v/>
      </c>
      <c r="B270" s="157" t="str">
        <f>Start.listina!J187</f>
        <v xml:space="preserve"> </v>
      </c>
      <c r="C270" s="156" t="str">
        <f>Start.listina!K187</f>
        <v xml:space="preserve"> </v>
      </c>
      <c r="D270" s="156" t="str">
        <f>Start.listina!L187</f>
        <v xml:space="preserve"> </v>
      </c>
      <c r="E270" s="156">
        <f>Start.listina!M187</f>
        <v>9999</v>
      </c>
      <c r="F270" s="158">
        <f>Start.listina!N187</f>
        <v>0</v>
      </c>
      <c r="G270" s="69"/>
    </row>
    <row r="271" spans="1:7" ht="12" customHeight="1">
      <c r="A271" s="156" t="str">
        <f>Start.listina!I188</f>
        <v/>
      </c>
      <c r="B271" s="157" t="str">
        <f>Start.listina!J188</f>
        <v xml:space="preserve"> </v>
      </c>
      <c r="C271" s="156" t="str">
        <f>Start.listina!K188</f>
        <v xml:space="preserve"> </v>
      </c>
      <c r="D271" s="156" t="str">
        <f>Start.listina!L188</f>
        <v xml:space="preserve"> </v>
      </c>
      <c r="E271" s="156">
        <f>Start.listina!M188</f>
        <v>9999</v>
      </c>
      <c r="F271" s="158">
        <f>Start.listina!N188</f>
        <v>0</v>
      </c>
      <c r="G271" s="69"/>
    </row>
    <row r="272" spans="1:7" ht="12" customHeight="1">
      <c r="A272" s="156" t="str">
        <f>Start.listina!I189</f>
        <v/>
      </c>
      <c r="B272" s="157" t="str">
        <f>Start.listina!J189</f>
        <v xml:space="preserve"> </v>
      </c>
      <c r="C272" s="156" t="str">
        <f>Start.listina!K189</f>
        <v xml:space="preserve"> </v>
      </c>
      <c r="D272" s="156" t="str">
        <f>Start.listina!L189</f>
        <v xml:space="preserve"> </v>
      </c>
      <c r="E272" s="156">
        <f>Start.listina!M189</f>
        <v>9999</v>
      </c>
      <c r="F272" s="158">
        <f>Start.listina!N189</f>
        <v>0</v>
      </c>
      <c r="G272" s="69"/>
    </row>
    <row r="273" spans="1:7" ht="12" customHeight="1">
      <c r="A273" s="156" t="str">
        <f>Start.listina!I190</f>
        <v/>
      </c>
      <c r="B273" s="157" t="str">
        <f>Start.listina!J190</f>
        <v xml:space="preserve"> </v>
      </c>
      <c r="C273" s="156" t="str">
        <f>Start.listina!K190</f>
        <v xml:space="preserve"> </v>
      </c>
      <c r="D273" s="156" t="str">
        <f>Start.listina!L190</f>
        <v xml:space="preserve"> </v>
      </c>
      <c r="E273" s="156">
        <f>Start.listina!M190</f>
        <v>9999</v>
      </c>
      <c r="F273" s="158">
        <f>Start.listina!N190</f>
        <v>0</v>
      </c>
      <c r="G273" s="69"/>
    </row>
    <row r="274" spans="1:7" ht="12" customHeight="1">
      <c r="A274" s="156" t="str">
        <f>Start.listina!I191</f>
        <v/>
      </c>
      <c r="B274" s="157" t="str">
        <f>Start.listina!J191</f>
        <v xml:space="preserve"> </v>
      </c>
      <c r="C274" s="156" t="str">
        <f>Start.listina!K191</f>
        <v xml:space="preserve"> </v>
      </c>
      <c r="D274" s="156" t="str">
        <f>Start.listina!L191</f>
        <v xml:space="preserve"> </v>
      </c>
      <c r="E274" s="156">
        <f>Start.listina!M191</f>
        <v>9999</v>
      </c>
      <c r="F274" s="158">
        <f>Start.listina!N191</f>
        <v>0</v>
      </c>
      <c r="G274" s="69"/>
    </row>
    <row r="275" spans="1:7" ht="12" customHeight="1">
      <c r="A275" s="156" t="str">
        <f>Start.listina!I192</f>
        <v/>
      </c>
      <c r="B275" s="157" t="str">
        <f>Start.listina!J192</f>
        <v xml:space="preserve"> </v>
      </c>
      <c r="C275" s="156" t="str">
        <f>Start.listina!K192</f>
        <v xml:space="preserve"> </v>
      </c>
      <c r="D275" s="156" t="str">
        <f>Start.listina!L192</f>
        <v xml:space="preserve"> </v>
      </c>
      <c r="E275" s="156">
        <f>Start.listina!M192</f>
        <v>9999</v>
      </c>
      <c r="F275" s="158">
        <f>Start.listina!N192</f>
        <v>0</v>
      </c>
      <c r="G275" s="69"/>
    </row>
    <row r="276" spans="1:7" ht="12" customHeight="1">
      <c r="A276" s="156" t="str">
        <f>Start.listina!I193</f>
        <v/>
      </c>
      <c r="B276" s="157" t="str">
        <f>Start.listina!J193</f>
        <v xml:space="preserve"> </v>
      </c>
      <c r="C276" s="156" t="str">
        <f>Start.listina!K193</f>
        <v xml:space="preserve"> </v>
      </c>
      <c r="D276" s="156" t="str">
        <f>Start.listina!L193</f>
        <v xml:space="preserve"> </v>
      </c>
      <c r="E276" s="156">
        <f>Start.listina!M193</f>
        <v>9999</v>
      </c>
      <c r="F276" s="158">
        <f>Start.listina!N193</f>
        <v>0</v>
      </c>
      <c r="G276" s="69"/>
    </row>
    <row r="277" spans="1:7" ht="12" customHeight="1">
      <c r="A277" s="156" t="str">
        <f>Start.listina!I194</f>
        <v/>
      </c>
      <c r="B277" s="157" t="str">
        <f>Start.listina!J194</f>
        <v xml:space="preserve"> </v>
      </c>
      <c r="C277" s="156" t="str">
        <f>Start.listina!K194</f>
        <v xml:space="preserve"> </v>
      </c>
      <c r="D277" s="156" t="str">
        <f>Start.listina!L194</f>
        <v xml:space="preserve"> </v>
      </c>
      <c r="E277" s="156">
        <f>Start.listina!M194</f>
        <v>9999</v>
      </c>
      <c r="F277" s="158">
        <f>Start.listina!N194</f>
        <v>0</v>
      </c>
      <c r="G277" s="69"/>
    </row>
    <row r="278" spans="1:7" ht="12" customHeight="1">
      <c r="A278" s="156" t="str">
        <f>Start.listina!I195</f>
        <v/>
      </c>
      <c r="B278" s="157" t="str">
        <f>Start.listina!J195</f>
        <v xml:space="preserve"> </v>
      </c>
      <c r="C278" s="156" t="str">
        <f>Start.listina!K195</f>
        <v xml:space="preserve"> </v>
      </c>
      <c r="D278" s="156" t="str">
        <f>Start.listina!L195</f>
        <v xml:space="preserve"> </v>
      </c>
      <c r="E278" s="156">
        <f>Start.listina!M195</f>
        <v>9999</v>
      </c>
      <c r="F278" s="158">
        <f>Start.listina!N195</f>
        <v>0</v>
      </c>
      <c r="G278" s="69"/>
    </row>
    <row r="279" spans="1:7" ht="12" customHeight="1">
      <c r="A279" s="156" t="str">
        <f>Start.listina!I196</f>
        <v/>
      </c>
      <c r="B279" s="157" t="str">
        <f>Start.listina!J196</f>
        <v xml:space="preserve"> </v>
      </c>
      <c r="C279" s="156" t="str">
        <f>Start.listina!K196</f>
        <v xml:space="preserve"> </v>
      </c>
      <c r="D279" s="156" t="str">
        <f>Start.listina!L196</f>
        <v xml:space="preserve"> </v>
      </c>
      <c r="E279" s="156">
        <f>Start.listina!M196</f>
        <v>9999</v>
      </c>
      <c r="F279" s="158">
        <f>Start.listina!N196</f>
        <v>0</v>
      </c>
      <c r="G279" s="69"/>
    </row>
    <row r="280" spans="1:7" ht="12" customHeight="1">
      <c r="A280" s="156" t="str">
        <f>Start.listina!I197</f>
        <v/>
      </c>
      <c r="B280" s="157" t="str">
        <f>Start.listina!J197</f>
        <v xml:space="preserve"> </v>
      </c>
      <c r="C280" s="156" t="str">
        <f>Start.listina!K197</f>
        <v xml:space="preserve"> </v>
      </c>
      <c r="D280" s="156" t="str">
        <f>Start.listina!L197</f>
        <v xml:space="preserve"> </v>
      </c>
      <c r="E280" s="156">
        <f>Start.listina!M197</f>
        <v>9999</v>
      </c>
      <c r="F280" s="158">
        <f>Start.listina!N197</f>
        <v>0</v>
      </c>
      <c r="G280" s="69"/>
    </row>
    <row r="281" spans="1:7" ht="12" customHeight="1">
      <c r="A281" s="156" t="str">
        <f>Start.listina!I198</f>
        <v/>
      </c>
      <c r="B281" s="157" t="str">
        <f>Start.listina!J198</f>
        <v xml:space="preserve"> </v>
      </c>
      <c r="C281" s="156" t="str">
        <f>Start.listina!K198</f>
        <v xml:space="preserve"> </v>
      </c>
      <c r="D281" s="156" t="str">
        <f>Start.listina!L198</f>
        <v xml:space="preserve"> </v>
      </c>
      <c r="E281" s="156">
        <f>Start.listina!M198</f>
        <v>9999</v>
      </c>
      <c r="F281" s="158">
        <f>Start.listina!N198</f>
        <v>0</v>
      </c>
      <c r="G281" s="69"/>
    </row>
    <row r="282" spans="1:7" ht="12" customHeight="1">
      <c r="A282" s="156" t="str">
        <f>Start.listina!I199</f>
        <v/>
      </c>
      <c r="B282" s="157" t="str">
        <f>Start.listina!J199</f>
        <v xml:space="preserve"> </v>
      </c>
      <c r="C282" s="156" t="str">
        <f>Start.listina!K199</f>
        <v xml:space="preserve"> </v>
      </c>
      <c r="D282" s="156" t="str">
        <f>Start.listina!L199</f>
        <v xml:space="preserve"> </v>
      </c>
      <c r="E282" s="156">
        <f>Start.listina!M199</f>
        <v>9999</v>
      </c>
      <c r="F282" s="158">
        <f>Start.listina!N199</f>
        <v>0</v>
      </c>
      <c r="G282" s="69"/>
    </row>
    <row r="283" spans="1:7" ht="12" customHeight="1">
      <c r="A283" s="156" t="str">
        <f>Start.listina!I200</f>
        <v/>
      </c>
      <c r="B283" s="157" t="str">
        <f>Start.listina!J200</f>
        <v xml:space="preserve"> </v>
      </c>
      <c r="C283" s="156" t="str">
        <f>Start.listina!K200</f>
        <v xml:space="preserve"> </v>
      </c>
      <c r="D283" s="156" t="str">
        <f>Start.listina!L200</f>
        <v xml:space="preserve"> </v>
      </c>
      <c r="E283" s="156">
        <f>Start.listina!M200</f>
        <v>9999</v>
      </c>
      <c r="F283" s="158">
        <f>Start.listina!N200</f>
        <v>0</v>
      </c>
      <c r="G283" s="69"/>
    </row>
    <row r="284" spans="1:7" ht="12" customHeight="1">
      <c r="A284" s="156" t="str">
        <f>Start.listina!I201</f>
        <v/>
      </c>
      <c r="B284" s="157" t="str">
        <f>Start.listina!J201</f>
        <v xml:space="preserve"> </v>
      </c>
      <c r="C284" s="156" t="str">
        <f>Start.listina!K201</f>
        <v xml:space="preserve"> </v>
      </c>
      <c r="D284" s="156" t="str">
        <f>Start.listina!L201</f>
        <v xml:space="preserve"> </v>
      </c>
      <c r="E284" s="156">
        <f>Start.listina!M201</f>
        <v>9999</v>
      </c>
      <c r="F284" s="158">
        <f>Start.listina!N201</f>
        <v>0</v>
      </c>
      <c r="G284" s="69"/>
    </row>
    <row r="285" spans="1:7" ht="12" customHeight="1">
      <c r="A285" s="156" t="str">
        <f>Start.listina!I202</f>
        <v/>
      </c>
      <c r="B285" s="157" t="str">
        <f>Start.listina!J202</f>
        <v xml:space="preserve"> </v>
      </c>
      <c r="C285" s="156" t="str">
        <f>Start.listina!K202</f>
        <v xml:space="preserve"> </v>
      </c>
      <c r="D285" s="156" t="str">
        <f>Start.listina!L202</f>
        <v xml:space="preserve"> </v>
      </c>
      <c r="E285" s="156">
        <f>Start.listina!M202</f>
        <v>9999</v>
      </c>
      <c r="F285" s="158">
        <f>Start.listina!N202</f>
        <v>0</v>
      </c>
      <c r="G285" s="69"/>
    </row>
    <row r="286" spans="1:7" ht="12" customHeight="1">
      <c r="A286" s="156" t="str">
        <f>Start.listina!O56</f>
        <v/>
      </c>
      <c r="B286" s="157" t="str">
        <f>Start.listina!P56</f>
        <v xml:space="preserve"> </v>
      </c>
      <c r="C286" s="156" t="str">
        <f>Start.listina!Q56</f>
        <v xml:space="preserve"> </v>
      </c>
      <c r="D286" s="156" t="str">
        <f>Start.listina!R56</f>
        <v xml:space="preserve"> </v>
      </c>
      <c r="E286" s="156">
        <f>Start.listina!S56</f>
        <v>9999</v>
      </c>
      <c r="F286" s="158">
        <f>Start.listina!T56</f>
        <v>0</v>
      </c>
      <c r="G286" s="69"/>
    </row>
    <row r="287" spans="1:7" ht="12" customHeight="1">
      <c r="A287" s="156" t="str">
        <f>Start.listina!O57</f>
        <v/>
      </c>
      <c r="B287" s="157" t="str">
        <f>Start.listina!P57</f>
        <v xml:space="preserve"> </v>
      </c>
      <c r="C287" s="156" t="str">
        <f>Start.listina!Q57</f>
        <v xml:space="preserve"> </v>
      </c>
      <c r="D287" s="156" t="str">
        <f>Start.listina!R57</f>
        <v xml:space="preserve"> </v>
      </c>
      <c r="E287" s="156">
        <f>Start.listina!S57</f>
        <v>9999</v>
      </c>
      <c r="F287" s="158">
        <f>Start.listina!T57</f>
        <v>0</v>
      </c>
      <c r="G287" s="69"/>
    </row>
    <row r="288" spans="1:7" ht="12" customHeight="1">
      <c r="A288" s="156" t="str">
        <f>Start.listina!O58</f>
        <v/>
      </c>
      <c r="B288" s="157" t="str">
        <f>Start.listina!P58</f>
        <v xml:space="preserve"> </v>
      </c>
      <c r="C288" s="156" t="str">
        <f>Start.listina!Q58</f>
        <v xml:space="preserve"> </v>
      </c>
      <c r="D288" s="156" t="str">
        <f>Start.listina!R58</f>
        <v xml:space="preserve"> </v>
      </c>
      <c r="E288" s="156">
        <f>Start.listina!S58</f>
        <v>9999</v>
      </c>
      <c r="F288" s="158">
        <f>Start.listina!T58</f>
        <v>0</v>
      </c>
      <c r="G288" s="69"/>
    </row>
    <row r="289" spans="1:7" ht="12" customHeight="1">
      <c r="A289" s="156" t="str">
        <f>Start.listina!O59</f>
        <v/>
      </c>
      <c r="B289" s="157" t="str">
        <f>Start.listina!P59</f>
        <v xml:space="preserve"> </v>
      </c>
      <c r="C289" s="156" t="str">
        <f>Start.listina!Q59</f>
        <v xml:space="preserve"> </v>
      </c>
      <c r="D289" s="156" t="str">
        <f>Start.listina!R59</f>
        <v xml:space="preserve"> </v>
      </c>
      <c r="E289" s="156">
        <f>Start.listina!S59</f>
        <v>9999</v>
      </c>
      <c r="F289" s="158">
        <f>Start.listina!T59</f>
        <v>0</v>
      </c>
      <c r="G289" s="69"/>
    </row>
    <row r="290" spans="1:7" ht="12" customHeight="1">
      <c r="A290" s="156" t="str">
        <f>Start.listina!O60</f>
        <v/>
      </c>
      <c r="B290" s="157" t="str">
        <f>Start.listina!P60</f>
        <v xml:space="preserve"> </v>
      </c>
      <c r="C290" s="156" t="str">
        <f>Start.listina!Q60</f>
        <v xml:space="preserve"> </v>
      </c>
      <c r="D290" s="156" t="str">
        <f>Start.listina!R60</f>
        <v xml:space="preserve"> </v>
      </c>
      <c r="E290" s="156">
        <f>Start.listina!S60</f>
        <v>9999</v>
      </c>
      <c r="F290" s="158">
        <f>Start.listina!T60</f>
        <v>0</v>
      </c>
      <c r="G290" s="69"/>
    </row>
    <row r="291" spans="1:7" ht="12" customHeight="1">
      <c r="A291" s="156" t="str">
        <f>Start.listina!O61</f>
        <v/>
      </c>
      <c r="B291" s="157" t="str">
        <f>Start.listina!P61</f>
        <v xml:space="preserve"> </v>
      </c>
      <c r="C291" s="156" t="str">
        <f>Start.listina!Q61</f>
        <v xml:space="preserve"> </v>
      </c>
      <c r="D291" s="156" t="str">
        <f>Start.listina!R61</f>
        <v xml:space="preserve"> </v>
      </c>
      <c r="E291" s="156">
        <f>Start.listina!S61</f>
        <v>9999</v>
      </c>
      <c r="F291" s="158">
        <f>Start.listina!T61</f>
        <v>0</v>
      </c>
      <c r="G291" s="69"/>
    </row>
    <row r="292" spans="1:7" ht="12" customHeight="1">
      <c r="A292" s="156" t="str">
        <f>Start.listina!O62</f>
        <v/>
      </c>
      <c r="B292" s="157" t="str">
        <f>Start.listina!P62</f>
        <v xml:space="preserve"> </v>
      </c>
      <c r="C292" s="156" t="str">
        <f>Start.listina!Q62</f>
        <v xml:space="preserve"> </v>
      </c>
      <c r="D292" s="156" t="str">
        <f>Start.listina!R62</f>
        <v xml:space="preserve"> </v>
      </c>
      <c r="E292" s="156">
        <f>Start.listina!S62</f>
        <v>9999</v>
      </c>
      <c r="F292" s="158">
        <f>Start.listina!T62</f>
        <v>0</v>
      </c>
      <c r="G292" s="69"/>
    </row>
    <row r="293" spans="1:7" ht="12" customHeight="1">
      <c r="A293" s="156" t="str">
        <f>Start.listina!O63</f>
        <v/>
      </c>
      <c r="B293" s="157" t="str">
        <f>Start.listina!P63</f>
        <v xml:space="preserve"> </v>
      </c>
      <c r="C293" s="156" t="str">
        <f>Start.listina!Q63</f>
        <v xml:space="preserve"> </v>
      </c>
      <c r="D293" s="156" t="str">
        <f>Start.listina!R63</f>
        <v xml:space="preserve"> </v>
      </c>
      <c r="E293" s="156">
        <f>Start.listina!S63</f>
        <v>9999</v>
      </c>
      <c r="F293" s="158">
        <f>Start.listina!T63</f>
        <v>0</v>
      </c>
      <c r="G293" s="69"/>
    </row>
    <row r="294" spans="1:7" ht="12" customHeight="1">
      <c r="A294" s="156" t="str">
        <f>Start.listina!O64</f>
        <v/>
      </c>
      <c r="B294" s="157" t="str">
        <f>Start.listina!P64</f>
        <v xml:space="preserve"> </v>
      </c>
      <c r="C294" s="156" t="str">
        <f>Start.listina!Q64</f>
        <v xml:space="preserve"> </v>
      </c>
      <c r="D294" s="156" t="str">
        <f>Start.listina!R64</f>
        <v xml:space="preserve"> </v>
      </c>
      <c r="E294" s="156">
        <f>Start.listina!S64</f>
        <v>9999</v>
      </c>
      <c r="F294" s="158">
        <f>Start.listina!T64</f>
        <v>0</v>
      </c>
      <c r="G294" s="69"/>
    </row>
    <row r="295" spans="1:7" ht="12" customHeight="1">
      <c r="A295" s="156" t="str">
        <f>Start.listina!O65</f>
        <v/>
      </c>
      <c r="B295" s="157" t="str">
        <f>Start.listina!P65</f>
        <v xml:space="preserve"> </v>
      </c>
      <c r="C295" s="156" t="str">
        <f>Start.listina!Q65</f>
        <v xml:space="preserve"> </v>
      </c>
      <c r="D295" s="156" t="str">
        <f>Start.listina!R65</f>
        <v xml:space="preserve"> </v>
      </c>
      <c r="E295" s="156">
        <f>Start.listina!S65</f>
        <v>9999</v>
      </c>
      <c r="F295" s="158">
        <f>Start.listina!T65</f>
        <v>0</v>
      </c>
      <c r="G295" s="69"/>
    </row>
    <row r="296" spans="1:7" ht="12" customHeight="1">
      <c r="A296" s="156" t="str">
        <f>Start.listina!O66</f>
        <v/>
      </c>
      <c r="B296" s="157" t="str">
        <f>Start.listina!P66</f>
        <v xml:space="preserve"> </v>
      </c>
      <c r="C296" s="156" t="str">
        <f>Start.listina!Q66</f>
        <v xml:space="preserve"> </v>
      </c>
      <c r="D296" s="156" t="str">
        <f>Start.listina!R66</f>
        <v xml:space="preserve"> </v>
      </c>
      <c r="E296" s="156">
        <f>Start.listina!S66</f>
        <v>9999</v>
      </c>
      <c r="F296" s="158">
        <f>Start.listina!T66</f>
        <v>0</v>
      </c>
      <c r="G296" s="69"/>
    </row>
    <row r="297" spans="1:7" ht="12" customHeight="1">
      <c r="A297" s="156" t="str">
        <f>Start.listina!O67</f>
        <v/>
      </c>
      <c r="B297" s="157" t="str">
        <f>Start.listina!P67</f>
        <v xml:space="preserve"> </v>
      </c>
      <c r="C297" s="156" t="str">
        <f>Start.listina!Q67</f>
        <v xml:space="preserve"> </v>
      </c>
      <c r="D297" s="156" t="str">
        <f>Start.listina!R67</f>
        <v xml:space="preserve"> </v>
      </c>
      <c r="E297" s="156">
        <f>Start.listina!S67</f>
        <v>9999</v>
      </c>
      <c r="F297" s="158">
        <f>Start.listina!T67</f>
        <v>0</v>
      </c>
      <c r="G297" s="69"/>
    </row>
    <row r="298" spans="1:7" ht="12" customHeight="1">
      <c r="A298" s="156" t="str">
        <f>Start.listina!O68</f>
        <v/>
      </c>
      <c r="B298" s="157" t="str">
        <f>Start.listina!P68</f>
        <v xml:space="preserve"> </v>
      </c>
      <c r="C298" s="156" t="str">
        <f>Start.listina!Q68</f>
        <v xml:space="preserve"> </v>
      </c>
      <c r="D298" s="156" t="str">
        <f>Start.listina!R68</f>
        <v xml:space="preserve"> </v>
      </c>
      <c r="E298" s="156">
        <f>Start.listina!S68</f>
        <v>9999</v>
      </c>
      <c r="F298" s="158">
        <f>Start.listina!T68</f>
        <v>0</v>
      </c>
      <c r="G298" s="69"/>
    </row>
    <row r="299" spans="1:7" ht="12" customHeight="1">
      <c r="A299" s="156" t="str">
        <f>Start.listina!O69</f>
        <v/>
      </c>
      <c r="B299" s="157" t="str">
        <f>Start.listina!P69</f>
        <v xml:space="preserve"> </v>
      </c>
      <c r="C299" s="156" t="str">
        <f>Start.listina!Q69</f>
        <v xml:space="preserve"> </v>
      </c>
      <c r="D299" s="156" t="str">
        <f>Start.listina!R69</f>
        <v xml:space="preserve"> </v>
      </c>
      <c r="E299" s="156">
        <f>Start.listina!S69</f>
        <v>9999</v>
      </c>
      <c r="F299" s="158">
        <f>Start.listina!T69</f>
        <v>0</v>
      </c>
      <c r="G299" s="69"/>
    </row>
    <row r="300" spans="1:7" ht="12" customHeight="1">
      <c r="A300" s="156" t="str">
        <f>Start.listina!O70</f>
        <v/>
      </c>
      <c r="B300" s="157" t="str">
        <f>Start.listina!P70</f>
        <v xml:space="preserve"> </v>
      </c>
      <c r="C300" s="156" t="str">
        <f>Start.listina!Q70</f>
        <v xml:space="preserve"> </v>
      </c>
      <c r="D300" s="156" t="str">
        <f>Start.listina!R70</f>
        <v xml:space="preserve"> </v>
      </c>
      <c r="E300" s="156">
        <f>Start.listina!S70</f>
        <v>9999</v>
      </c>
      <c r="F300" s="158">
        <f>Start.listina!T70</f>
        <v>0</v>
      </c>
      <c r="G300" s="69"/>
    </row>
    <row r="301" spans="1:7" ht="12" customHeight="1">
      <c r="A301" s="156" t="str">
        <f>Start.listina!O71</f>
        <v/>
      </c>
      <c r="B301" s="157" t="str">
        <f>Start.listina!P71</f>
        <v xml:space="preserve"> </v>
      </c>
      <c r="C301" s="156" t="str">
        <f>Start.listina!Q71</f>
        <v xml:space="preserve"> </v>
      </c>
      <c r="D301" s="156" t="str">
        <f>Start.listina!R71</f>
        <v xml:space="preserve"> </v>
      </c>
      <c r="E301" s="156">
        <f>Start.listina!S71</f>
        <v>9999</v>
      </c>
      <c r="F301" s="158">
        <f>Start.listina!T71</f>
        <v>0</v>
      </c>
      <c r="G301" s="69"/>
    </row>
    <row r="302" spans="1:7" ht="12" customHeight="1">
      <c r="A302" s="156" t="str">
        <f>Start.listina!O72</f>
        <v/>
      </c>
      <c r="B302" s="157" t="str">
        <f>Start.listina!P72</f>
        <v xml:space="preserve"> </v>
      </c>
      <c r="C302" s="156" t="str">
        <f>Start.listina!Q72</f>
        <v xml:space="preserve"> </v>
      </c>
      <c r="D302" s="156" t="str">
        <f>Start.listina!R72</f>
        <v xml:space="preserve"> </v>
      </c>
      <c r="E302" s="156">
        <f>Start.listina!S72</f>
        <v>9999</v>
      </c>
      <c r="F302" s="158">
        <f>Start.listina!T72</f>
        <v>0</v>
      </c>
      <c r="G302" s="69"/>
    </row>
    <row r="303" spans="1:7" ht="12" customHeight="1">
      <c r="A303" s="156" t="str">
        <f>Start.listina!O73</f>
        <v/>
      </c>
      <c r="B303" s="157" t="str">
        <f>Start.listina!P73</f>
        <v xml:space="preserve"> </v>
      </c>
      <c r="C303" s="156" t="str">
        <f>Start.listina!Q73</f>
        <v xml:space="preserve"> </v>
      </c>
      <c r="D303" s="156" t="str">
        <f>Start.listina!R73</f>
        <v xml:space="preserve"> </v>
      </c>
      <c r="E303" s="156">
        <f>Start.listina!S73</f>
        <v>9999</v>
      </c>
      <c r="F303" s="158">
        <f>Start.listina!T73</f>
        <v>0</v>
      </c>
      <c r="G303" s="69"/>
    </row>
    <row r="304" spans="1:7" ht="12" customHeight="1">
      <c r="A304" s="156" t="str">
        <f>Start.listina!O74</f>
        <v/>
      </c>
      <c r="B304" s="157" t="str">
        <f>Start.listina!P74</f>
        <v xml:space="preserve"> </v>
      </c>
      <c r="C304" s="156" t="str">
        <f>Start.listina!Q74</f>
        <v xml:space="preserve"> </v>
      </c>
      <c r="D304" s="156" t="str">
        <f>Start.listina!R74</f>
        <v xml:space="preserve"> </v>
      </c>
      <c r="E304" s="156">
        <f>Start.listina!S74</f>
        <v>9999</v>
      </c>
      <c r="F304" s="158">
        <f>Start.listina!T74</f>
        <v>0</v>
      </c>
      <c r="G304" s="69"/>
    </row>
    <row r="305" spans="1:7" ht="12" customHeight="1">
      <c r="A305" s="156" t="str">
        <f>Start.listina!O75</f>
        <v/>
      </c>
      <c r="B305" s="157" t="str">
        <f>Start.listina!P75</f>
        <v xml:space="preserve"> </v>
      </c>
      <c r="C305" s="156" t="str">
        <f>Start.listina!Q75</f>
        <v xml:space="preserve"> </v>
      </c>
      <c r="D305" s="156" t="str">
        <f>Start.listina!R75</f>
        <v xml:space="preserve"> </v>
      </c>
      <c r="E305" s="156">
        <f>Start.listina!S75</f>
        <v>9999</v>
      </c>
      <c r="F305" s="158">
        <f>Start.listina!T75</f>
        <v>0</v>
      </c>
      <c r="G305" s="69"/>
    </row>
    <row r="306" spans="1:7" ht="12" customHeight="1">
      <c r="A306" s="156" t="str">
        <f>Start.listina!O76</f>
        <v/>
      </c>
      <c r="B306" s="157" t="str">
        <f>Start.listina!P76</f>
        <v xml:space="preserve"> </v>
      </c>
      <c r="C306" s="156" t="str">
        <f>Start.listina!Q76</f>
        <v xml:space="preserve"> </v>
      </c>
      <c r="D306" s="156" t="str">
        <f>Start.listina!R76</f>
        <v xml:space="preserve"> </v>
      </c>
      <c r="E306" s="156">
        <f>Start.listina!S76</f>
        <v>9999</v>
      </c>
      <c r="F306" s="158">
        <f>Start.listina!T76</f>
        <v>0</v>
      </c>
      <c r="G306" s="69"/>
    </row>
    <row r="307" spans="1:7" ht="12" customHeight="1">
      <c r="A307" s="156" t="str">
        <f>Start.listina!O77</f>
        <v/>
      </c>
      <c r="B307" s="157" t="str">
        <f>Start.listina!P77</f>
        <v xml:space="preserve"> </v>
      </c>
      <c r="C307" s="156" t="str">
        <f>Start.listina!Q77</f>
        <v xml:space="preserve"> </v>
      </c>
      <c r="D307" s="156" t="str">
        <f>Start.listina!R77</f>
        <v xml:space="preserve"> </v>
      </c>
      <c r="E307" s="156">
        <f>Start.listina!S77</f>
        <v>9999</v>
      </c>
      <c r="F307" s="158">
        <f>Start.listina!T77</f>
        <v>0</v>
      </c>
      <c r="G307" s="69"/>
    </row>
    <row r="308" spans="1:7" ht="12" customHeight="1">
      <c r="A308" s="156" t="str">
        <f>Start.listina!O78</f>
        <v/>
      </c>
      <c r="B308" s="157" t="str">
        <f>Start.listina!P78</f>
        <v xml:space="preserve"> </v>
      </c>
      <c r="C308" s="156" t="str">
        <f>Start.listina!Q78</f>
        <v xml:space="preserve"> </v>
      </c>
      <c r="D308" s="156" t="str">
        <f>Start.listina!R78</f>
        <v xml:space="preserve"> </v>
      </c>
      <c r="E308" s="156">
        <f>Start.listina!S78</f>
        <v>9999</v>
      </c>
      <c r="F308" s="158">
        <f>Start.listina!T78</f>
        <v>0</v>
      </c>
      <c r="G308" s="69"/>
    </row>
    <row r="309" spans="1:7" ht="12" customHeight="1">
      <c r="A309" s="156" t="str">
        <f>Start.listina!O79</f>
        <v/>
      </c>
      <c r="B309" s="157" t="str">
        <f>Start.listina!P79</f>
        <v xml:space="preserve"> </v>
      </c>
      <c r="C309" s="156" t="str">
        <f>Start.listina!Q79</f>
        <v xml:space="preserve"> </v>
      </c>
      <c r="D309" s="156" t="str">
        <f>Start.listina!R79</f>
        <v xml:space="preserve"> </v>
      </c>
      <c r="E309" s="156">
        <f>Start.listina!S79</f>
        <v>9999</v>
      </c>
      <c r="F309" s="158">
        <f>Start.listina!T79</f>
        <v>0</v>
      </c>
      <c r="G309" s="69"/>
    </row>
    <row r="310" spans="1:7" ht="12" customHeight="1">
      <c r="A310" s="156" t="str">
        <f>Start.listina!O80</f>
        <v/>
      </c>
      <c r="B310" s="157" t="str">
        <f>Start.listina!P80</f>
        <v xml:space="preserve"> </v>
      </c>
      <c r="C310" s="156" t="str">
        <f>Start.listina!Q80</f>
        <v xml:space="preserve"> </v>
      </c>
      <c r="D310" s="156" t="str">
        <f>Start.listina!R80</f>
        <v xml:space="preserve"> </v>
      </c>
      <c r="E310" s="156">
        <f>Start.listina!S80</f>
        <v>9999</v>
      </c>
      <c r="F310" s="158">
        <f>Start.listina!T80</f>
        <v>0</v>
      </c>
      <c r="G310" s="69"/>
    </row>
    <row r="311" spans="1:7" ht="12" customHeight="1">
      <c r="A311" s="156" t="str">
        <f>Start.listina!O81</f>
        <v/>
      </c>
      <c r="B311" s="157" t="str">
        <f>Start.listina!P81</f>
        <v xml:space="preserve"> </v>
      </c>
      <c r="C311" s="156" t="str">
        <f>Start.listina!Q81</f>
        <v xml:space="preserve"> </v>
      </c>
      <c r="D311" s="156" t="str">
        <f>Start.listina!R81</f>
        <v xml:space="preserve"> </v>
      </c>
      <c r="E311" s="156">
        <f>Start.listina!S81</f>
        <v>9999</v>
      </c>
      <c r="F311" s="158">
        <f>Start.listina!T81</f>
        <v>0</v>
      </c>
      <c r="G311" s="69"/>
    </row>
    <row r="312" spans="1:7" ht="12" customHeight="1">
      <c r="A312" s="156" t="str">
        <f>Start.listina!O82</f>
        <v/>
      </c>
      <c r="B312" s="157" t="str">
        <f>Start.listina!P82</f>
        <v xml:space="preserve"> </v>
      </c>
      <c r="C312" s="156" t="str">
        <f>Start.listina!Q82</f>
        <v xml:space="preserve"> </v>
      </c>
      <c r="D312" s="156" t="str">
        <f>Start.listina!R82</f>
        <v xml:space="preserve"> </v>
      </c>
      <c r="E312" s="156">
        <f>Start.listina!S82</f>
        <v>9999</v>
      </c>
      <c r="F312" s="158">
        <f>Start.listina!T82</f>
        <v>0</v>
      </c>
      <c r="G312" s="69"/>
    </row>
    <row r="313" spans="1:7" ht="12" customHeight="1">
      <c r="A313" s="156" t="str">
        <f>Start.listina!O83</f>
        <v/>
      </c>
      <c r="B313" s="157" t="str">
        <f>Start.listina!P83</f>
        <v xml:space="preserve"> </v>
      </c>
      <c r="C313" s="156" t="str">
        <f>Start.listina!Q83</f>
        <v xml:space="preserve"> </v>
      </c>
      <c r="D313" s="156" t="str">
        <f>Start.listina!R83</f>
        <v xml:space="preserve"> </v>
      </c>
      <c r="E313" s="156">
        <f>Start.listina!S83</f>
        <v>9999</v>
      </c>
      <c r="F313" s="158">
        <f>Start.listina!T83</f>
        <v>0</v>
      </c>
      <c r="G313" s="69"/>
    </row>
    <row r="314" spans="1:7" ht="12" customHeight="1">
      <c r="A314" s="156" t="str">
        <f>Start.listina!O84</f>
        <v/>
      </c>
      <c r="B314" s="157" t="str">
        <f>Start.listina!P84</f>
        <v xml:space="preserve"> </v>
      </c>
      <c r="C314" s="156" t="str">
        <f>Start.listina!Q84</f>
        <v xml:space="preserve"> </v>
      </c>
      <c r="D314" s="156" t="str">
        <f>Start.listina!R84</f>
        <v xml:space="preserve"> </v>
      </c>
      <c r="E314" s="156">
        <f>Start.listina!S84</f>
        <v>9999</v>
      </c>
      <c r="F314" s="158">
        <f>Start.listina!T84</f>
        <v>0</v>
      </c>
      <c r="G314" s="69"/>
    </row>
    <row r="315" spans="1:7" ht="12" customHeight="1">
      <c r="A315" s="156" t="str">
        <f>Start.listina!O85</f>
        <v/>
      </c>
      <c r="B315" s="157" t="str">
        <f>Start.listina!P85</f>
        <v xml:space="preserve"> </v>
      </c>
      <c r="C315" s="156" t="str">
        <f>Start.listina!Q85</f>
        <v xml:space="preserve"> </v>
      </c>
      <c r="D315" s="156" t="str">
        <f>Start.listina!R85</f>
        <v xml:space="preserve"> </v>
      </c>
      <c r="E315" s="156">
        <f>Start.listina!S85</f>
        <v>9999</v>
      </c>
      <c r="F315" s="158">
        <f>Start.listina!T85</f>
        <v>0</v>
      </c>
      <c r="G315" s="69"/>
    </row>
    <row r="316" spans="1:7" ht="12" customHeight="1">
      <c r="A316" s="156" t="str">
        <f>Start.listina!O86</f>
        <v/>
      </c>
      <c r="B316" s="157" t="str">
        <f>Start.listina!P86</f>
        <v xml:space="preserve"> </v>
      </c>
      <c r="C316" s="156" t="str">
        <f>Start.listina!Q86</f>
        <v xml:space="preserve"> </v>
      </c>
      <c r="D316" s="156" t="str">
        <f>Start.listina!R86</f>
        <v xml:space="preserve"> </v>
      </c>
      <c r="E316" s="156">
        <f>Start.listina!S86</f>
        <v>9999</v>
      </c>
      <c r="F316" s="158">
        <f>Start.listina!T86</f>
        <v>0</v>
      </c>
      <c r="G316" s="69"/>
    </row>
    <row r="317" spans="1:7" ht="12" customHeight="1">
      <c r="A317" s="156" t="str">
        <f>Start.listina!O87</f>
        <v/>
      </c>
      <c r="B317" s="157" t="str">
        <f>Start.listina!P87</f>
        <v xml:space="preserve"> </v>
      </c>
      <c r="C317" s="156" t="str">
        <f>Start.listina!Q87</f>
        <v xml:space="preserve"> </v>
      </c>
      <c r="D317" s="156" t="str">
        <f>Start.listina!R87</f>
        <v xml:space="preserve"> </v>
      </c>
      <c r="E317" s="156">
        <f>Start.listina!S87</f>
        <v>9999</v>
      </c>
      <c r="F317" s="158">
        <f>Start.listina!T87</f>
        <v>0</v>
      </c>
      <c r="G317" s="69"/>
    </row>
    <row r="318" spans="1:7" ht="12" customHeight="1">
      <c r="A318" s="156" t="str">
        <f>Start.listina!O88</f>
        <v/>
      </c>
      <c r="B318" s="157" t="str">
        <f>Start.listina!P88</f>
        <v xml:space="preserve"> </v>
      </c>
      <c r="C318" s="156" t="str">
        <f>Start.listina!Q88</f>
        <v xml:space="preserve"> </v>
      </c>
      <c r="D318" s="156" t="str">
        <f>Start.listina!R88</f>
        <v xml:space="preserve"> </v>
      </c>
      <c r="E318" s="156">
        <f>Start.listina!S88</f>
        <v>9999</v>
      </c>
      <c r="F318" s="158">
        <f>Start.listina!T88</f>
        <v>0</v>
      </c>
      <c r="G318" s="69"/>
    </row>
    <row r="319" spans="1:7" ht="12" customHeight="1">
      <c r="A319" s="156" t="str">
        <f>Start.listina!O89</f>
        <v/>
      </c>
      <c r="B319" s="157" t="str">
        <f>Start.listina!P89</f>
        <v xml:space="preserve"> </v>
      </c>
      <c r="C319" s="156" t="str">
        <f>Start.listina!Q89</f>
        <v xml:space="preserve"> </v>
      </c>
      <c r="D319" s="156" t="str">
        <f>Start.listina!R89</f>
        <v xml:space="preserve"> </v>
      </c>
      <c r="E319" s="156">
        <f>Start.listina!S89</f>
        <v>9999</v>
      </c>
      <c r="F319" s="158">
        <f>Start.listina!T89</f>
        <v>0</v>
      </c>
      <c r="G319" s="69"/>
    </row>
    <row r="320" spans="1:7" ht="12" customHeight="1">
      <c r="A320" s="156" t="str">
        <f>Start.listina!O90</f>
        <v/>
      </c>
      <c r="B320" s="157" t="str">
        <f>Start.listina!P90</f>
        <v xml:space="preserve"> </v>
      </c>
      <c r="C320" s="156" t="str">
        <f>Start.listina!Q90</f>
        <v xml:space="preserve"> </v>
      </c>
      <c r="D320" s="156" t="str">
        <f>Start.listina!R90</f>
        <v xml:space="preserve"> </v>
      </c>
      <c r="E320" s="156">
        <f>Start.listina!S90</f>
        <v>9999</v>
      </c>
      <c r="F320" s="158">
        <f>Start.listina!T90</f>
        <v>0</v>
      </c>
      <c r="G320" s="69"/>
    </row>
    <row r="321" spans="1:7" ht="12" customHeight="1">
      <c r="A321" s="156" t="str">
        <f>Start.listina!O91</f>
        <v/>
      </c>
      <c r="B321" s="157" t="str">
        <f>Start.listina!P91</f>
        <v xml:space="preserve"> </v>
      </c>
      <c r="C321" s="156" t="str">
        <f>Start.listina!Q91</f>
        <v xml:space="preserve"> </v>
      </c>
      <c r="D321" s="156" t="str">
        <f>Start.listina!R91</f>
        <v xml:space="preserve"> </v>
      </c>
      <c r="E321" s="156">
        <f>Start.listina!S91</f>
        <v>9999</v>
      </c>
      <c r="F321" s="158">
        <f>Start.listina!T91</f>
        <v>0</v>
      </c>
      <c r="G321" s="69"/>
    </row>
    <row r="322" spans="1:7" ht="12" customHeight="1">
      <c r="A322" s="156" t="str">
        <f>Start.listina!O92</f>
        <v/>
      </c>
      <c r="B322" s="157" t="str">
        <f>Start.listina!P92</f>
        <v xml:space="preserve"> </v>
      </c>
      <c r="C322" s="156" t="str">
        <f>Start.listina!Q92</f>
        <v xml:space="preserve"> </v>
      </c>
      <c r="D322" s="156" t="str">
        <f>Start.listina!R92</f>
        <v xml:space="preserve"> </v>
      </c>
      <c r="E322" s="156">
        <f>Start.listina!S92</f>
        <v>9999</v>
      </c>
      <c r="F322" s="158">
        <f>Start.listina!T92</f>
        <v>0</v>
      </c>
      <c r="G322" s="69"/>
    </row>
    <row r="323" spans="1:7" ht="12" customHeight="1">
      <c r="A323" s="156" t="str">
        <f>Start.listina!O93</f>
        <v/>
      </c>
      <c r="B323" s="157" t="str">
        <f>Start.listina!P93</f>
        <v xml:space="preserve"> </v>
      </c>
      <c r="C323" s="156" t="str">
        <f>Start.listina!Q93</f>
        <v xml:space="preserve"> </v>
      </c>
      <c r="D323" s="156" t="str">
        <f>Start.listina!R93</f>
        <v xml:space="preserve"> </v>
      </c>
      <c r="E323" s="156">
        <f>Start.listina!S93</f>
        <v>9999</v>
      </c>
      <c r="F323" s="158">
        <f>Start.listina!T93</f>
        <v>0</v>
      </c>
      <c r="G323" s="69"/>
    </row>
    <row r="324" spans="1:7" ht="12" customHeight="1">
      <c r="A324" s="17" t="str">
        <f>Start.listina!O94</f>
        <v/>
      </c>
      <c r="B324" s="141" t="str">
        <f>Start.listina!P94</f>
        <v xml:space="preserve"> </v>
      </c>
      <c r="C324" s="17" t="str">
        <f>Start.listina!Q94</f>
        <v xml:space="preserve"> </v>
      </c>
      <c r="D324" s="17" t="str">
        <f>Start.listina!R94</f>
        <v xml:space="preserve"> </v>
      </c>
      <c r="E324" s="17">
        <f>Start.listina!S94</f>
        <v>9999</v>
      </c>
      <c r="F324" s="142">
        <f>Start.listina!T94</f>
        <v>0</v>
      </c>
      <c r="G324" s="69"/>
    </row>
    <row r="325" spans="1:7" ht="12" customHeight="1">
      <c r="A325" s="17" t="str">
        <f>Start.listina!O95</f>
        <v/>
      </c>
      <c r="B325" s="141" t="str">
        <f>Start.listina!P95</f>
        <v xml:space="preserve"> </v>
      </c>
      <c r="C325" s="17" t="str">
        <f>Start.listina!Q95</f>
        <v xml:space="preserve"> </v>
      </c>
      <c r="D325" s="17" t="str">
        <f>Start.listina!R95</f>
        <v xml:space="preserve"> </v>
      </c>
      <c r="E325" s="17">
        <f>Start.listina!S95</f>
        <v>9999</v>
      </c>
      <c r="F325" s="142">
        <f>Start.listina!T95</f>
        <v>0</v>
      </c>
      <c r="G325" s="69"/>
    </row>
    <row r="326" spans="1:7" ht="12" customHeight="1">
      <c r="A326" s="17" t="str">
        <f>Start.listina!O96</f>
        <v/>
      </c>
      <c r="B326" s="141" t="str">
        <f>Start.listina!P96</f>
        <v xml:space="preserve"> </v>
      </c>
      <c r="C326" s="17" t="str">
        <f>Start.listina!Q96</f>
        <v xml:space="preserve"> </v>
      </c>
      <c r="D326" s="17" t="str">
        <f>Start.listina!R96</f>
        <v xml:space="preserve"> </v>
      </c>
      <c r="E326" s="17">
        <f>Start.listina!S96</f>
        <v>9999</v>
      </c>
      <c r="F326" s="142">
        <f>Start.listina!T96</f>
        <v>0</v>
      </c>
      <c r="G326" s="69"/>
    </row>
    <row r="327" spans="1:7" ht="12" customHeight="1">
      <c r="A327" s="156" t="str">
        <f>Start.listina!O97</f>
        <v/>
      </c>
      <c r="B327" s="157" t="str">
        <f>Start.listina!P97</f>
        <v xml:space="preserve"> </v>
      </c>
      <c r="C327" s="156" t="str">
        <f>Start.listina!Q97</f>
        <v xml:space="preserve"> </v>
      </c>
      <c r="D327" s="156" t="str">
        <f>Start.listina!R97</f>
        <v xml:space="preserve"> </v>
      </c>
      <c r="E327" s="156">
        <f>Start.listina!S97</f>
        <v>9999</v>
      </c>
      <c r="F327" s="158">
        <f>Start.listina!T97</f>
        <v>0</v>
      </c>
      <c r="G327" s="69"/>
    </row>
    <row r="328" spans="1:7" ht="12" customHeight="1">
      <c r="A328" s="156" t="str">
        <f>Start.listina!O98</f>
        <v/>
      </c>
      <c r="B328" s="157" t="str">
        <f>Start.listina!P98</f>
        <v xml:space="preserve"> </v>
      </c>
      <c r="C328" s="156" t="str">
        <f>Start.listina!Q98</f>
        <v xml:space="preserve"> </v>
      </c>
      <c r="D328" s="156" t="str">
        <f>Start.listina!R98</f>
        <v xml:space="preserve"> </v>
      </c>
      <c r="E328" s="156">
        <f>Start.listina!S98</f>
        <v>9999</v>
      </c>
      <c r="F328" s="158">
        <f>Start.listina!T98</f>
        <v>0</v>
      </c>
      <c r="G328" s="69"/>
    </row>
    <row r="329" spans="1:7" ht="12" customHeight="1">
      <c r="A329" s="156" t="str">
        <f>Start.listina!O99</f>
        <v/>
      </c>
      <c r="B329" s="157" t="str">
        <f>Start.listina!P99</f>
        <v xml:space="preserve"> </v>
      </c>
      <c r="C329" s="156" t="str">
        <f>Start.listina!Q99</f>
        <v xml:space="preserve"> </v>
      </c>
      <c r="D329" s="156" t="str">
        <f>Start.listina!R99</f>
        <v xml:space="preserve"> </v>
      </c>
      <c r="E329" s="156">
        <f>Start.listina!S99</f>
        <v>9999</v>
      </c>
      <c r="F329" s="158">
        <f>Start.listina!T99</f>
        <v>0</v>
      </c>
      <c r="G329" s="69"/>
    </row>
    <row r="330" spans="1:7" ht="12" customHeight="1">
      <c r="A330" s="156" t="str">
        <f>Start.listina!O100</f>
        <v/>
      </c>
      <c r="B330" s="157" t="str">
        <f>Start.listina!P100</f>
        <v xml:space="preserve"> </v>
      </c>
      <c r="C330" s="156" t="str">
        <f>Start.listina!Q100</f>
        <v xml:space="preserve"> </v>
      </c>
      <c r="D330" s="156" t="str">
        <f>Start.listina!R100</f>
        <v xml:space="preserve"> </v>
      </c>
      <c r="E330" s="156">
        <f>Start.listina!S100</f>
        <v>9999</v>
      </c>
      <c r="F330" s="158">
        <f>Start.listina!T100</f>
        <v>0</v>
      </c>
      <c r="G330" s="69"/>
    </row>
    <row r="331" spans="1:7" ht="12" customHeight="1">
      <c r="A331" s="156" t="str">
        <f>Start.listina!O101</f>
        <v/>
      </c>
      <c r="B331" s="157" t="str">
        <f>Start.listina!P101</f>
        <v xml:space="preserve"> </v>
      </c>
      <c r="C331" s="156" t="str">
        <f>Start.listina!Q101</f>
        <v xml:space="preserve"> </v>
      </c>
      <c r="D331" s="156" t="str">
        <f>Start.listina!R101</f>
        <v xml:space="preserve"> </v>
      </c>
      <c r="E331" s="156">
        <f>Start.listina!S101</f>
        <v>9999</v>
      </c>
      <c r="F331" s="158">
        <f>Start.listina!T101</f>
        <v>0</v>
      </c>
      <c r="G331" s="69"/>
    </row>
    <row r="332" spans="1:7" ht="12" customHeight="1">
      <c r="A332" s="156" t="str">
        <f>Start.listina!O102</f>
        <v/>
      </c>
      <c r="B332" s="157" t="str">
        <f>Start.listina!P102</f>
        <v xml:space="preserve"> </v>
      </c>
      <c r="C332" s="156" t="str">
        <f>Start.listina!Q102</f>
        <v xml:space="preserve"> </v>
      </c>
      <c r="D332" s="156" t="str">
        <f>Start.listina!R102</f>
        <v xml:space="preserve"> </v>
      </c>
      <c r="E332" s="156">
        <f>Start.listina!S102</f>
        <v>9999</v>
      </c>
      <c r="F332" s="158">
        <f>Start.listina!T102</f>
        <v>0</v>
      </c>
      <c r="G332" s="69"/>
    </row>
    <row r="333" spans="1:7" ht="12" customHeight="1">
      <c r="A333" s="156" t="str">
        <f>Start.listina!O103</f>
        <v/>
      </c>
      <c r="B333" s="157" t="str">
        <f>Start.listina!P103</f>
        <v xml:space="preserve"> </v>
      </c>
      <c r="C333" s="156" t="str">
        <f>Start.listina!Q103</f>
        <v xml:space="preserve"> </v>
      </c>
      <c r="D333" s="156" t="str">
        <f>Start.listina!R103</f>
        <v xml:space="preserve"> </v>
      </c>
      <c r="E333" s="156">
        <f>Start.listina!S103</f>
        <v>9999</v>
      </c>
      <c r="F333" s="158">
        <f>Start.listina!T103</f>
        <v>0</v>
      </c>
      <c r="G333" s="69"/>
    </row>
    <row r="334" spans="1:7" ht="12" customHeight="1">
      <c r="A334" s="156" t="str">
        <f>Start.listina!O104</f>
        <v/>
      </c>
      <c r="B334" s="157" t="str">
        <f>Start.listina!P104</f>
        <v xml:space="preserve"> </v>
      </c>
      <c r="C334" s="156" t="str">
        <f>Start.listina!Q104</f>
        <v xml:space="preserve"> </v>
      </c>
      <c r="D334" s="156" t="str">
        <f>Start.listina!R104</f>
        <v xml:space="preserve"> </v>
      </c>
      <c r="E334" s="156">
        <f>Start.listina!S104</f>
        <v>9999</v>
      </c>
      <c r="F334" s="158">
        <f>Start.listina!T104</f>
        <v>0</v>
      </c>
      <c r="G334" s="69"/>
    </row>
    <row r="335" spans="1:7" ht="12" customHeight="1">
      <c r="A335" s="156" t="str">
        <f>Start.listina!O105</f>
        <v/>
      </c>
      <c r="B335" s="157" t="str">
        <f>Start.listina!P105</f>
        <v xml:space="preserve"> </v>
      </c>
      <c r="C335" s="156" t="str">
        <f>Start.listina!Q105</f>
        <v xml:space="preserve"> </v>
      </c>
      <c r="D335" s="156" t="str">
        <f>Start.listina!R105</f>
        <v xml:space="preserve"> </v>
      </c>
      <c r="E335" s="156">
        <f>Start.listina!S105</f>
        <v>9999</v>
      </c>
      <c r="F335" s="158">
        <f>Start.listina!T105</f>
        <v>0</v>
      </c>
      <c r="G335" s="69"/>
    </row>
    <row r="336" spans="1:7" ht="12" customHeight="1">
      <c r="A336" s="156" t="str">
        <f>Start.listina!O106</f>
        <v/>
      </c>
      <c r="B336" s="157" t="str">
        <f>Start.listina!P106</f>
        <v xml:space="preserve"> </v>
      </c>
      <c r="C336" s="156" t="str">
        <f>Start.listina!Q106</f>
        <v xml:space="preserve"> </v>
      </c>
      <c r="D336" s="156" t="str">
        <f>Start.listina!R106</f>
        <v xml:space="preserve"> </v>
      </c>
      <c r="E336" s="156">
        <f>Start.listina!S106</f>
        <v>9999</v>
      </c>
      <c r="F336" s="158">
        <f>Start.listina!T106</f>
        <v>0</v>
      </c>
      <c r="G336" s="69"/>
    </row>
    <row r="337" spans="1:7" ht="12" customHeight="1">
      <c r="A337" s="156" t="str">
        <f>Start.listina!O107</f>
        <v/>
      </c>
      <c r="B337" s="157" t="str">
        <f>Start.listina!P107</f>
        <v xml:space="preserve"> </v>
      </c>
      <c r="C337" s="156" t="str">
        <f>Start.listina!Q107</f>
        <v xml:space="preserve"> </v>
      </c>
      <c r="D337" s="156" t="str">
        <f>Start.listina!R107</f>
        <v xml:space="preserve"> </v>
      </c>
      <c r="E337" s="156">
        <f>Start.listina!S107</f>
        <v>9999</v>
      </c>
      <c r="F337" s="158">
        <f>Start.listina!T107</f>
        <v>0</v>
      </c>
      <c r="G337" s="69"/>
    </row>
    <row r="338" spans="1:7" ht="12" customHeight="1">
      <c r="A338" s="156" t="str">
        <f>Start.listina!O108</f>
        <v/>
      </c>
      <c r="B338" s="157" t="str">
        <f>Start.listina!P108</f>
        <v xml:space="preserve"> </v>
      </c>
      <c r="C338" s="156" t="str">
        <f>Start.listina!Q108</f>
        <v xml:space="preserve"> </v>
      </c>
      <c r="D338" s="156" t="str">
        <f>Start.listina!R108</f>
        <v xml:space="preserve"> </v>
      </c>
      <c r="E338" s="156">
        <f>Start.listina!S108</f>
        <v>9999</v>
      </c>
      <c r="F338" s="158">
        <f>Start.listina!T108</f>
        <v>0</v>
      </c>
      <c r="G338" s="69"/>
    </row>
    <row r="339" spans="1:7" ht="12" customHeight="1">
      <c r="A339" s="156" t="str">
        <f>Start.listina!O109</f>
        <v/>
      </c>
      <c r="B339" s="157" t="str">
        <f>Start.listina!P109</f>
        <v xml:space="preserve"> </v>
      </c>
      <c r="C339" s="156" t="str">
        <f>Start.listina!Q109</f>
        <v xml:space="preserve"> </v>
      </c>
      <c r="D339" s="156" t="str">
        <f>Start.listina!R109</f>
        <v xml:space="preserve"> </v>
      </c>
      <c r="E339" s="156">
        <f>Start.listina!S109</f>
        <v>9999</v>
      </c>
      <c r="F339" s="158">
        <f>Start.listina!T109</f>
        <v>0</v>
      </c>
      <c r="G339" s="69"/>
    </row>
    <row r="340" spans="1:7" ht="12" customHeight="1">
      <c r="A340" s="156" t="str">
        <f>Start.listina!O110</f>
        <v/>
      </c>
      <c r="B340" s="157" t="str">
        <f>Start.listina!P110</f>
        <v xml:space="preserve"> </v>
      </c>
      <c r="C340" s="156" t="str">
        <f>Start.listina!Q110</f>
        <v xml:space="preserve"> </v>
      </c>
      <c r="D340" s="156" t="str">
        <f>Start.listina!R110</f>
        <v xml:space="preserve"> </v>
      </c>
      <c r="E340" s="156">
        <f>Start.listina!S110</f>
        <v>9999</v>
      </c>
      <c r="F340" s="158">
        <f>Start.listina!T110</f>
        <v>0</v>
      </c>
      <c r="G340" s="69"/>
    </row>
    <row r="341" spans="1:7" ht="12" customHeight="1">
      <c r="A341" s="156" t="str">
        <f>Start.listina!O111</f>
        <v/>
      </c>
      <c r="B341" s="157" t="str">
        <f>Start.listina!P111</f>
        <v xml:space="preserve"> </v>
      </c>
      <c r="C341" s="156" t="str">
        <f>Start.listina!Q111</f>
        <v xml:space="preserve"> </v>
      </c>
      <c r="D341" s="156" t="str">
        <f>Start.listina!R111</f>
        <v xml:space="preserve"> </v>
      </c>
      <c r="E341" s="156">
        <f>Start.listina!S111</f>
        <v>9999</v>
      </c>
      <c r="F341" s="158">
        <f>Start.listina!T111</f>
        <v>0</v>
      </c>
      <c r="G341" s="69"/>
    </row>
    <row r="342" spans="1:7" ht="12" customHeight="1">
      <c r="A342" s="156" t="str">
        <f>Start.listina!O112</f>
        <v/>
      </c>
      <c r="B342" s="157" t="str">
        <f>Start.listina!P112</f>
        <v xml:space="preserve"> </v>
      </c>
      <c r="C342" s="156" t="str">
        <f>Start.listina!Q112</f>
        <v xml:space="preserve"> </v>
      </c>
      <c r="D342" s="156" t="str">
        <f>Start.listina!R112</f>
        <v xml:space="preserve"> </v>
      </c>
      <c r="E342" s="156">
        <f>Start.listina!S112</f>
        <v>9999</v>
      </c>
      <c r="F342" s="158">
        <f>Start.listina!T112</f>
        <v>0</v>
      </c>
      <c r="G342" s="69"/>
    </row>
    <row r="343" spans="1:7" ht="12" customHeight="1">
      <c r="A343" s="156" t="str">
        <f>Start.listina!O113</f>
        <v/>
      </c>
      <c r="B343" s="157" t="str">
        <f>Start.listina!P113</f>
        <v xml:space="preserve"> </v>
      </c>
      <c r="C343" s="156" t="str">
        <f>Start.listina!Q113</f>
        <v xml:space="preserve"> </v>
      </c>
      <c r="D343" s="156" t="str">
        <f>Start.listina!R113</f>
        <v xml:space="preserve"> </v>
      </c>
      <c r="E343" s="156">
        <f>Start.listina!S113</f>
        <v>9999</v>
      </c>
      <c r="F343" s="158">
        <f>Start.listina!T113</f>
        <v>0</v>
      </c>
      <c r="G343" s="69"/>
    </row>
    <row r="344" spans="1:7" ht="12" customHeight="1">
      <c r="A344" s="156" t="str">
        <f>Start.listina!O114</f>
        <v/>
      </c>
      <c r="B344" s="157" t="str">
        <f>Start.listina!P114</f>
        <v xml:space="preserve"> </v>
      </c>
      <c r="C344" s="156" t="str">
        <f>Start.listina!Q114</f>
        <v xml:space="preserve"> </v>
      </c>
      <c r="D344" s="156" t="str">
        <f>Start.listina!R114</f>
        <v xml:space="preserve"> </v>
      </c>
      <c r="E344" s="156">
        <f>Start.listina!S114</f>
        <v>9999</v>
      </c>
      <c r="F344" s="158">
        <f>Start.listina!T114</f>
        <v>0</v>
      </c>
      <c r="G344" s="69"/>
    </row>
    <row r="345" spans="1:7" ht="12" customHeight="1">
      <c r="A345" s="156" t="str">
        <f>Start.listina!O115</f>
        <v/>
      </c>
      <c r="B345" s="157" t="str">
        <f>Start.listina!P115</f>
        <v xml:space="preserve"> </v>
      </c>
      <c r="C345" s="156" t="str">
        <f>Start.listina!Q115</f>
        <v xml:space="preserve"> </v>
      </c>
      <c r="D345" s="156" t="str">
        <f>Start.listina!R115</f>
        <v xml:space="preserve"> </v>
      </c>
      <c r="E345" s="156">
        <f>Start.listina!S115</f>
        <v>9999</v>
      </c>
      <c r="F345" s="158">
        <f>Start.listina!T115</f>
        <v>0</v>
      </c>
      <c r="G345" s="69"/>
    </row>
    <row r="346" spans="1:7" ht="12" customHeight="1">
      <c r="A346" s="156" t="str">
        <f>Start.listina!O116</f>
        <v/>
      </c>
      <c r="B346" s="157" t="str">
        <f>Start.listina!P116</f>
        <v xml:space="preserve"> </v>
      </c>
      <c r="C346" s="156" t="str">
        <f>Start.listina!Q116</f>
        <v xml:space="preserve"> </v>
      </c>
      <c r="D346" s="156" t="str">
        <f>Start.listina!R116</f>
        <v xml:space="preserve"> </v>
      </c>
      <c r="E346" s="156">
        <f>Start.listina!S116</f>
        <v>9999</v>
      </c>
      <c r="F346" s="158">
        <f>Start.listina!T116</f>
        <v>0</v>
      </c>
      <c r="G346" s="69"/>
    </row>
    <row r="347" spans="1:7" ht="12" customHeight="1">
      <c r="A347" s="156" t="str">
        <f>Start.listina!O117</f>
        <v/>
      </c>
      <c r="B347" s="157" t="str">
        <f>Start.listina!P117</f>
        <v xml:space="preserve"> </v>
      </c>
      <c r="C347" s="156" t="str">
        <f>Start.listina!Q117</f>
        <v xml:space="preserve"> </v>
      </c>
      <c r="D347" s="156" t="str">
        <f>Start.listina!R117</f>
        <v xml:space="preserve"> </v>
      </c>
      <c r="E347" s="156">
        <f>Start.listina!S117</f>
        <v>9999</v>
      </c>
      <c r="F347" s="158">
        <f>Start.listina!T117</f>
        <v>0</v>
      </c>
      <c r="G347" s="69"/>
    </row>
    <row r="348" spans="1:7" ht="12" customHeight="1">
      <c r="A348" s="156" t="str">
        <f>Start.listina!O118</f>
        <v/>
      </c>
      <c r="B348" s="157" t="str">
        <f>Start.listina!P118</f>
        <v xml:space="preserve"> </v>
      </c>
      <c r="C348" s="156" t="str">
        <f>Start.listina!Q118</f>
        <v xml:space="preserve"> </v>
      </c>
      <c r="D348" s="156" t="str">
        <f>Start.listina!R118</f>
        <v xml:space="preserve"> </v>
      </c>
      <c r="E348" s="156">
        <f>Start.listina!S118</f>
        <v>9999</v>
      </c>
      <c r="F348" s="158">
        <f>Start.listina!T118</f>
        <v>0</v>
      </c>
      <c r="G348" s="69"/>
    </row>
    <row r="349" spans="1:7" ht="12" customHeight="1">
      <c r="A349" s="156" t="str">
        <f>Start.listina!O119</f>
        <v/>
      </c>
      <c r="B349" s="157" t="str">
        <f>Start.listina!P119</f>
        <v xml:space="preserve"> </v>
      </c>
      <c r="C349" s="156" t="str">
        <f>Start.listina!Q119</f>
        <v xml:space="preserve"> </v>
      </c>
      <c r="D349" s="156" t="str">
        <f>Start.listina!R119</f>
        <v xml:space="preserve"> </v>
      </c>
      <c r="E349" s="156">
        <f>Start.listina!S119</f>
        <v>9999</v>
      </c>
      <c r="F349" s="158">
        <f>Start.listina!T119</f>
        <v>0</v>
      </c>
      <c r="G349" s="69"/>
    </row>
    <row r="350" spans="1:7" ht="12" customHeight="1">
      <c r="A350" s="156" t="str">
        <f>Start.listina!O120</f>
        <v/>
      </c>
      <c r="B350" s="157" t="str">
        <f>Start.listina!P120</f>
        <v xml:space="preserve"> </v>
      </c>
      <c r="C350" s="156" t="str">
        <f>Start.listina!Q120</f>
        <v xml:space="preserve"> </v>
      </c>
      <c r="D350" s="156" t="str">
        <f>Start.listina!R120</f>
        <v xml:space="preserve"> </v>
      </c>
      <c r="E350" s="156">
        <f>Start.listina!S120</f>
        <v>9999</v>
      </c>
      <c r="F350" s="158">
        <f>Start.listina!T120</f>
        <v>0</v>
      </c>
      <c r="G350" s="69"/>
    </row>
    <row r="351" spans="1:7" ht="12" customHeight="1">
      <c r="A351" s="156" t="str">
        <f>Start.listina!O121</f>
        <v/>
      </c>
      <c r="B351" s="157" t="str">
        <f>Start.listina!P121</f>
        <v xml:space="preserve"> </v>
      </c>
      <c r="C351" s="156" t="str">
        <f>Start.listina!Q121</f>
        <v xml:space="preserve"> </v>
      </c>
      <c r="D351" s="156" t="str">
        <f>Start.listina!R121</f>
        <v xml:space="preserve"> </v>
      </c>
      <c r="E351" s="156">
        <f>Start.listina!S121</f>
        <v>9999</v>
      </c>
      <c r="F351" s="158">
        <f>Start.listina!T121</f>
        <v>0</v>
      </c>
      <c r="G351" s="69"/>
    </row>
    <row r="352" spans="1:7" ht="12" customHeight="1">
      <c r="A352" s="156" t="str">
        <f>Start.listina!O122</f>
        <v/>
      </c>
      <c r="B352" s="157" t="str">
        <f>Start.listina!P122</f>
        <v xml:space="preserve"> </v>
      </c>
      <c r="C352" s="156" t="str">
        <f>Start.listina!Q122</f>
        <v xml:space="preserve"> </v>
      </c>
      <c r="D352" s="156" t="str">
        <f>Start.listina!R122</f>
        <v xml:space="preserve"> </v>
      </c>
      <c r="E352" s="156">
        <f>Start.listina!S122</f>
        <v>9999</v>
      </c>
      <c r="F352" s="158">
        <f>Start.listina!T122</f>
        <v>0</v>
      </c>
      <c r="G352" s="69"/>
    </row>
    <row r="353" spans="1:7" ht="12" customHeight="1">
      <c r="A353" s="156" t="str">
        <f>Start.listina!O123</f>
        <v/>
      </c>
      <c r="B353" s="157" t="str">
        <f>Start.listina!P123</f>
        <v xml:space="preserve"> </v>
      </c>
      <c r="C353" s="156" t="str">
        <f>Start.listina!Q123</f>
        <v xml:space="preserve"> </v>
      </c>
      <c r="D353" s="156" t="str">
        <f>Start.listina!R123</f>
        <v xml:space="preserve"> </v>
      </c>
      <c r="E353" s="156">
        <f>Start.listina!S123</f>
        <v>9999</v>
      </c>
      <c r="F353" s="158">
        <f>Start.listina!T123</f>
        <v>0</v>
      </c>
      <c r="G353" s="69"/>
    </row>
    <row r="354" spans="1:7" ht="12" customHeight="1">
      <c r="A354" s="156" t="str">
        <f>Start.listina!O124</f>
        <v/>
      </c>
      <c r="B354" s="157" t="str">
        <f>Start.listina!P124</f>
        <v xml:space="preserve"> </v>
      </c>
      <c r="C354" s="156" t="str">
        <f>Start.listina!Q124</f>
        <v xml:space="preserve"> </v>
      </c>
      <c r="D354" s="156" t="str">
        <f>Start.listina!R124</f>
        <v xml:space="preserve"> </v>
      </c>
      <c r="E354" s="156">
        <f>Start.listina!S124</f>
        <v>9999</v>
      </c>
      <c r="F354" s="158">
        <f>Start.listina!T124</f>
        <v>0</v>
      </c>
      <c r="G354" s="69"/>
    </row>
    <row r="355" spans="1:7" ht="12" customHeight="1">
      <c r="A355" s="156" t="str">
        <f>Start.listina!O125</f>
        <v/>
      </c>
      <c r="B355" s="157" t="str">
        <f>Start.listina!P125</f>
        <v xml:space="preserve"> </v>
      </c>
      <c r="C355" s="156" t="str">
        <f>Start.listina!Q125</f>
        <v xml:space="preserve"> </v>
      </c>
      <c r="D355" s="156" t="str">
        <f>Start.listina!R125</f>
        <v xml:space="preserve"> </v>
      </c>
      <c r="E355" s="156">
        <f>Start.listina!S125</f>
        <v>9999</v>
      </c>
      <c r="F355" s="158">
        <f>Start.listina!T125</f>
        <v>0</v>
      </c>
      <c r="G355" s="69"/>
    </row>
    <row r="356" spans="1:7" ht="12" customHeight="1">
      <c r="A356" s="156" t="str">
        <f>Start.listina!O126</f>
        <v/>
      </c>
      <c r="B356" s="157" t="str">
        <f>Start.listina!P126</f>
        <v xml:space="preserve"> </v>
      </c>
      <c r="C356" s="156" t="str">
        <f>Start.listina!Q126</f>
        <v xml:space="preserve"> </v>
      </c>
      <c r="D356" s="156" t="str">
        <f>Start.listina!R126</f>
        <v xml:space="preserve"> </v>
      </c>
      <c r="E356" s="156">
        <f>Start.listina!S126</f>
        <v>9999</v>
      </c>
      <c r="F356" s="158">
        <f>Start.listina!T126</f>
        <v>0</v>
      </c>
      <c r="G356" s="69"/>
    </row>
    <row r="357" spans="1:7" ht="12" customHeight="1">
      <c r="A357" s="156" t="str">
        <f>Start.listina!O127</f>
        <v/>
      </c>
      <c r="B357" s="157" t="str">
        <f>Start.listina!P127</f>
        <v xml:space="preserve"> </v>
      </c>
      <c r="C357" s="156" t="str">
        <f>Start.listina!Q127</f>
        <v xml:space="preserve"> </v>
      </c>
      <c r="D357" s="156" t="str">
        <f>Start.listina!R127</f>
        <v xml:space="preserve"> </v>
      </c>
      <c r="E357" s="156">
        <f>Start.listina!S127</f>
        <v>9999</v>
      </c>
      <c r="F357" s="158">
        <f>Start.listina!T127</f>
        <v>0</v>
      </c>
      <c r="G357" s="69"/>
    </row>
    <row r="358" spans="1:7" ht="12" customHeight="1">
      <c r="A358" s="156" t="str">
        <f>Start.listina!O128</f>
        <v/>
      </c>
      <c r="B358" s="157" t="str">
        <f>Start.listina!P128</f>
        <v xml:space="preserve"> </v>
      </c>
      <c r="C358" s="156" t="str">
        <f>Start.listina!Q128</f>
        <v xml:space="preserve"> </v>
      </c>
      <c r="D358" s="156" t="str">
        <f>Start.listina!R128</f>
        <v xml:space="preserve"> </v>
      </c>
      <c r="E358" s="156">
        <f>Start.listina!S128</f>
        <v>9999</v>
      </c>
      <c r="F358" s="158">
        <f>Start.listina!T128</f>
        <v>0</v>
      </c>
      <c r="G358" s="69"/>
    </row>
    <row r="359" spans="1:7" ht="12" customHeight="1">
      <c r="A359" s="156" t="str">
        <f>Start.listina!O129</f>
        <v/>
      </c>
      <c r="B359" s="157" t="str">
        <f>Start.listina!P129</f>
        <v xml:space="preserve"> </v>
      </c>
      <c r="C359" s="156" t="str">
        <f>Start.listina!Q129</f>
        <v xml:space="preserve"> </v>
      </c>
      <c r="D359" s="156" t="str">
        <f>Start.listina!R129</f>
        <v xml:space="preserve"> </v>
      </c>
      <c r="E359" s="156">
        <f>Start.listina!S129</f>
        <v>9999</v>
      </c>
      <c r="F359" s="158">
        <f>Start.listina!T129</f>
        <v>0</v>
      </c>
      <c r="G359" s="69"/>
    </row>
    <row r="360" spans="1:7" ht="12" customHeight="1">
      <c r="A360" s="156" t="str">
        <f>Start.listina!O130</f>
        <v/>
      </c>
      <c r="B360" s="157" t="str">
        <f>Start.listina!P130</f>
        <v xml:space="preserve"> </v>
      </c>
      <c r="C360" s="156" t="str">
        <f>Start.listina!Q130</f>
        <v xml:space="preserve"> </v>
      </c>
      <c r="D360" s="156" t="str">
        <f>Start.listina!R130</f>
        <v xml:space="preserve"> </v>
      </c>
      <c r="E360" s="156">
        <f>Start.listina!S130</f>
        <v>9999</v>
      </c>
      <c r="F360" s="158">
        <f>Start.listina!T130</f>
        <v>0</v>
      </c>
      <c r="G360" s="69"/>
    </row>
    <row r="361" spans="1:7" ht="12" customHeight="1">
      <c r="A361" s="156" t="str">
        <f>Start.listina!O131</f>
        <v/>
      </c>
      <c r="B361" s="157" t="str">
        <f>Start.listina!P131</f>
        <v xml:space="preserve"> </v>
      </c>
      <c r="C361" s="156" t="str">
        <f>Start.listina!Q131</f>
        <v xml:space="preserve"> </v>
      </c>
      <c r="D361" s="156" t="str">
        <f>Start.listina!R131</f>
        <v xml:space="preserve"> </v>
      </c>
      <c r="E361" s="156">
        <f>Start.listina!S131</f>
        <v>9999</v>
      </c>
      <c r="F361" s="158">
        <f>Start.listina!T131</f>
        <v>0</v>
      </c>
      <c r="G361" s="69"/>
    </row>
    <row r="362" spans="1:7" ht="12" customHeight="1">
      <c r="A362" s="156" t="str">
        <f>Start.listina!O132</f>
        <v/>
      </c>
      <c r="B362" s="157" t="str">
        <f>Start.listina!P132</f>
        <v xml:space="preserve"> </v>
      </c>
      <c r="C362" s="156" t="str">
        <f>Start.listina!Q132</f>
        <v xml:space="preserve"> </v>
      </c>
      <c r="D362" s="156" t="str">
        <f>Start.listina!R132</f>
        <v xml:space="preserve"> </v>
      </c>
      <c r="E362" s="156">
        <f>Start.listina!S132</f>
        <v>9999</v>
      </c>
      <c r="F362" s="158">
        <f>Start.listina!T132</f>
        <v>0</v>
      </c>
      <c r="G362" s="69"/>
    </row>
    <row r="363" spans="1:7" ht="12" customHeight="1">
      <c r="A363" s="156" t="str">
        <f>Start.listina!O133</f>
        <v/>
      </c>
      <c r="B363" s="157" t="str">
        <f>Start.listina!P133</f>
        <v xml:space="preserve"> </v>
      </c>
      <c r="C363" s="156" t="str">
        <f>Start.listina!Q133</f>
        <v xml:space="preserve"> </v>
      </c>
      <c r="D363" s="156" t="str">
        <f>Start.listina!R133</f>
        <v xml:space="preserve"> </v>
      </c>
      <c r="E363" s="156">
        <f>Start.listina!S133</f>
        <v>9999</v>
      </c>
      <c r="F363" s="158">
        <f>Start.listina!T133</f>
        <v>0</v>
      </c>
      <c r="G363" s="69"/>
    </row>
    <row r="364" spans="1:7" ht="12" customHeight="1">
      <c r="A364" s="156" t="str">
        <f>Start.listina!O134</f>
        <v/>
      </c>
      <c r="B364" s="157" t="str">
        <f>Start.listina!P134</f>
        <v xml:space="preserve"> </v>
      </c>
      <c r="C364" s="156" t="str">
        <f>Start.listina!Q134</f>
        <v xml:space="preserve"> </v>
      </c>
      <c r="D364" s="156" t="str">
        <f>Start.listina!R134</f>
        <v xml:space="preserve"> </v>
      </c>
      <c r="E364" s="156">
        <f>Start.listina!S134</f>
        <v>9999</v>
      </c>
      <c r="F364" s="158">
        <f>Start.listina!T134</f>
        <v>0</v>
      </c>
      <c r="G364" s="69"/>
    </row>
    <row r="365" spans="1:7" ht="12" customHeight="1">
      <c r="A365" s="156" t="str">
        <f>Start.listina!O135</f>
        <v/>
      </c>
      <c r="B365" s="157" t="str">
        <f>Start.listina!P135</f>
        <v xml:space="preserve"> </v>
      </c>
      <c r="C365" s="156" t="str">
        <f>Start.listina!Q135</f>
        <v xml:space="preserve"> </v>
      </c>
      <c r="D365" s="156" t="str">
        <f>Start.listina!R135</f>
        <v xml:space="preserve"> </v>
      </c>
      <c r="E365" s="156">
        <f>Start.listina!S135</f>
        <v>9999</v>
      </c>
      <c r="F365" s="158">
        <f>Start.listina!T135</f>
        <v>0</v>
      </c>
      <c r="G365" s="69"/>
    </row>
    <row r="366" spans="1:7" ht="12" customHeight="1">
      <c r="A366" s="156" t="str">
        <f>Start.listina!O136</f>
        <v/>
      </c>
      <c r="B366" s="157" t="str">
        <f>Start.listina!P136</f>
        <v xml:space="preserve"> </v>
      </c>
      <c r="C366" s="156" t="str">
        <f>Start.listina!Q136</f>
        <v xml:space="preserve"> </v>
      </c>
      <c r="D366" s="156" t="str">
        <f>Start.listina!R136</f>
        <v xml:space="preserve"> </v>
      </c>
      <c r="E366" s="156">
        <f>Start.listina!S136</f>
        <v>9999</v>
      </c>
      <c r="F366" s="158">
        <f>Start.listina!T136</f>
        <v>0</v>
      </c>
      <c r="G366" s="69"/>
    </row>
    <row r="367" spans="1:7" ht="12" customHeight="1">
      <c r="A367" s="156" t="str">
        <f>Start.listina!O137</f>
        <v/>
      </c>
      <c r="B367" s="157" t="str">
        <f>Start.listina!P137</f>
        <v xml:space="preserve"> </v>
      </c>
      <c r="C367" s="156" t="str">
        <f>Start.listina!Q137</f>
        <v xml:space="preserve"> </v>
      </c>
      <c r="D367" s="156" t="str">
        <f>Start.listina!R137</f>
        <v xml:space="preserve"> </v>
      </c>
      <c r="E367" s="156">
        <f>Start.listina!S137</f>
        <v>9999</v>
      </c>
      <c r="F367" s="158">
        <f>Start.listina!T137</f>
        <v>0</v>
      </c>
      <c r="G367" s="69"/>
    </row>
    <row r="368" spans="1:7" ht="12" customHeight="1">
      <c r="A368" s="156" t="str">
        <f>Start.listina!O138</f>
        <v/>
      </c>
      <c r="B368" s="157" t="str">
        <f>Start.listina!P138</f>
        <v xml:space="preserve"> </v>
      </c>
      <c r="C368" s="156" t="str">
        <f>Start.listina!Q138</f>
        <v xml:space="preserve"> </v>
      </c>
      <c r="D368" s="156" t="str">
        <f>Start.listina!R138</f>
        <v xml:space="preserve"> </v>
      </c>
      <c r="E368" s="156">
        <f>Start.listina!S138</f>
        <v>9999</v>
      </c>
      <c r="F368" s="158">
        <f>Start.listina!T138</f>
        <v>0</v>
      </c>
      <c r="G368" s="69"/>
    </row>
    <row r="369" spans="1:7" ht="12" customHeight="1">
      <c r="A369" s="156" t="str">
        <f>Start.listina!O139</f>
        <v/>
      </c>
      <c r="B369" s="157" t="str">
        <f>Start.listina!P139</f>
        <v xml:space="preserve"> </v>
      </c>
      <c r="C369" s="156" t="str">
        <f>Start.listina!Q139</f>
        <v xml:space="preserve"> </v>
      </c>
      <c r="D369" s="156" t="str">
        <f>Start.listina!R139</f>
        <v xml:space="preserve"> </v>
      </c>
      <c r="E369" s="156">
        <f>Start.listina!S139</f>
        <v>9999</v>
      </c>
      <c r="F369" s="158">
        <f>Start.listina!T139</f>
        <v>0</v>
      </c>
      <c r="G369" s="69"/>
    </row>
    <row r="370" spans="1:7" ht="12" customHeight="1">
      <c r="A370" s="156" t="str">
        <f>Start.listina!O140</f>
        <v/>
      </c>
      <c r="B370" s="157" t="str">
        <f>Start.listina!P140</f>
        <v xml:space="preserve"> </v>
      </c>
      <c r="C370" s="156" t="str">
        <f>Start.listina!Q140</f>
        <v xml:space="preserve"> </v>
      </c>
      <c r="D370" s="156" t="str">
        <f>Start.listina!R140</f>
        <v xml:space="preserve"> </v>
      </c>
      <c r="E370" s="156">
        <f>Start.listina!S140</f>
        <v>9999</v>
      </c>
      <c r="F370" s="158">
        <f>Start.listina!T140</f>
        <v>0</v>
      </c>
      <c r="G370" s="69"/>
    </row>
    <row r="371" spans="1:7" ht="12" customHeight="1">
      <c r="A371" s="156" t="str">
        <f>Start.listina!O141</f>
        <v/>
      </c>
      <c r="B371" s="157" t="str">
        <f>Start.listina!P141</f>
        <v xml:space="preserve"> </v>
      </c>
      <c r="C371" s="156" t="str">
        <f>Start.listina!Q141</f>
        <v xml:space="preserve"> </v>
      </c>
      <c r="D371" s="156" t="str">
        <f>Start.listina!R141</f>
        <v xml:space="preserve"> </v>
      </c>
      <c r="E371" s="156">
        <f>Start.listina!S141</f>
        <v>9999</v>
      </c>
      <c r="F371" s="158">
        <f>Start.listina!T141</f>
        <v>0</v>
      </c>
      <c r="G371" s="69"/>
    </row>
    <row r="372" spans="1:7" ht="12" customHeight="1">
      <c r="A372" s="156" t="str">
        <f>Start.listina!O142</f>
        <v/>
      </c>
      <c r="B372" s="157" t="str">
        <f>Start.listina!P142</f>
        <v xml:space="preserve"> </v>
      </c>
      <c r="C372" s="156" t="str">
        <f>Start.listina!Q142</f>
        <v xml:space="preserve"> </v>
      </c>
      <c r="D372" s="156" t="str">
        <f>Start.listina!R142</f>
        <v xml:space="preserve"> </v>
      </c>
      <c r="E372" s="156">
        <f>Start.listina!S142</f>
        <v>9999</v>
      </c>
      <c r="F372" s="158">
        <f>Start.listina!T142</f>
        <v>0</v>
      </c>
      <c r="G372" s="69"/>
    </row>
    <row r="373" spans="1:7" ht="12" customHeight="1">
      <c r="A373" s="156" t="str">
        <f>Start.listina!O143</f>
        <v/>
      </c>
      <c r="B373" s="157" t="str">
        <f>Start.listina!P143</f>
        <v xml:space="preserve"> </v>
      </c>
      <c r="C373" s="156" t="str">
        <f>Start.listina!Q143</f>
        <v xml:space="preserve"> </v>
      </c>
      <c r="D373" s="156" t="str">
        <f>Start.listina!R143</f>
        <v xml:space="preserve"> </v>
      </c>
      <c r="E373" s="156">
        <f>Start.listina!S143</f>
        <v>9999</v>
      </c>
      <c r="F373" s="158">
        <f>Start.listina!T143</f>
        <v>0</v>
      </c>
      <c r="G373" s="69"/>
    </row>
    <row r="374" spans="1:7" ht="12" customHeight="1">
      <c r="A374" s="156" t="str">
        <f>Start.listina!O144</f>
        <v/>
      </c>
      <c r="B374" s="157" t="str">
        <f>Start.listina!P144</f>
        <v xml:space="preserve"> </v>
      </c>
      <c r="C374" s="156" t="str">
        <f>Start.listina!Q144</f>
        <v xml:space="preserve"> </v>
      </c>
      <c r="D374" s="156" t="str">
        <f>Start.listina!R144</f>
        <v xml:space="preserve"> </v>
      </c>
      <c r="E374" s="156">
        <f>Start.listina!S144</f>
        <v>9999</v>
      </c>
      <c r="F374" s="158">
        <f>Start.listina!T144</f>
        <v>0</v>
      </c>
      <c r="G374" s="69"/>
    </row>
    <row r="375" spans="1:7" ht="12" customHeight="1">
      <c r="A375" s="156" t="str">
        <f>Start.listina!O145</f>
        <v/>
      </c>
      <c r="B375" s="157" t="str">
        <f>Start.listina!P145</f>
        <v xml:space="preserve"> </v>
      </c>
      <c r="C375" s="156" t="str">
        <f>Start.listina!Q145</f>
        <v xml:space="preserve"> </v>
      </c>
      <c r="D375" s="156" t="str">
        <f>Start.listina!R145</f>
        <v xml:space="preserve"> </v>
      </c>
      <c r="E375" s="156">
        <f>Start.listina!S145</f>
        <v>9999</v>
      </c>
      <c r="F375" s="158">
        <f>Start.listina!T145</f>
        <v>0</v>
      </c>
      <c r="G375" s="69"/>
    </row>
    <row r="376" spans="1:7" ht="12" customHeight="1">
      <c r="A376" s="156" t="str">
        <f>Start.listina!O146</f>
        <v/>
      </c>
      <c r="B376" s="157" t="str">
        <f>Start.listina!P146</f>
        <v xml:space="preserve"> </v>
      </c>
      <c r="C376" s="156" t="str">
        <f>Start.listina!Q146</f>
        <v xml:space="preserve"> </v>
      </c>
      <c r="D376" s="156" t="str">
        <f>Start.listina!R146</f>
        <v xml:space="preserve"> </v>
      </c>
      <c r="E376" s="156">
        <f>Start.listina!S146</f>
        <v>9999</v>
      </c>
      <c r="F376" s="158">
        <f>Start.listina!T146</f>
        <v>0</v>
      </c>
      <c r="G376" s="69"/>
    </row>
    <row r="377" spans="1:7" ht="12" customHeight="1">
      <c r="A377" s="156" t="str">
        <f>Start.listina!O147</f>
        <v/>
      </c>
      <c r="B377" s="157" t="str">
        <f>Start.listina!P147</f>
        <v xml:space="preserve"> </v>
      </c>
      <c r="C377" s="156" t="str">
        <f>Start.listina!Q147</f>
        <v xml:space="preserve"> </v>
      </c>
      <c r="D377" s="156" t="str">
        <f>Start.listina!R147</f>
        <v xml:space="preserve"> </v>
      </c>
      <c r="E377" s="156">
        <f>Start.listina!S147</f>
        <v>9999</v>
      </c>
      <c r="F377" s="158">
        <f>Start.listina!T147</f>
        <v>0</v>
      </c>
      <c r="G377" s="69"/>
    </row>
    <row r="378" spans="1:7" ht="12" customHeight="1">
      <c r="A378" s="156" t="str">
        <f>Start.listina!O148</f>
        <v/>
      </c>
      <c r="B378" s="157" t="str">
        <f>Start.listina!P148</f>
        <v xml:space="preserve"> </v>
      </c>
      <c r="C378" s="156" t="str">
        <f>Start.listina!Q148</f>
        <v xml:space="preserve"> </v>
      </c>
      <c r="D378" s="156" t="str">
        <f>Start.listina!R148</f>
        <v xml:space="preserve"> </v>
      </c>
      <c r="E378" s="156">
        <f>Start.listina!S148</f>
        <v>9999</v>
      </c>
      <c r="F378" s="158">
        <f>Start.listina!T148</f>
        <v>0</v>
      </c>
      <c r="G378" s="69"/>
    </row>
    <row r="379" spans="1:7" ht="12" customHeight="1">
      <c r="A379" s="156" t="str">
        <f>Start.listina!O149</f>
        <v/>
      </c>
      <c r="B379" s="157" t="str">
        <f>Start.listina!P149</f>
        <v xml:space="preserve"> </v>
      </c>
      <c r="C379" s="156" t="str">
        <f>Start.listina!Q149</f>
        <v xml:space="preserve"> </v>
      </c>
      <c r="D379" s="156" t="str">
        <f>Start.listina!R149</f>
        <v xml:space="preserve"> </v>
      </c>
      <c r="E379" s="156">
        <f>Start.listina!S149</f>
        <v>9999</v>
      </c>
      <c r="F379" s="158">
        <f>Start.listina!T149</f>
        <v>0</v>
      </c>
      <c r="G379" s="69"/>
    </row>
    <row r="380" spans="1:7" ht="12" customHeight="1">
      <c r="A380" s="156" t="str">
        <f>Start.listina!O150</f>
        <v/>
      </c>
      <c r="B380" s="157" t="str">
        <f>Start.listina!P150</f>
        <v xml:space="preserve"> </v>
      </c>
      <c r="C380" s="156" t="str">
        <f>Start.listina!Q150</f>
        <v xml:space="preserve"> </v>
      </c>
      <c r="D380" s="156" t="str">
        <f>Start.listina!R150</f>
        <v xml:space="preserve"> </v>
      </c>
      <c r="E380" s="156">
        <f>Start.listina!S150</f>
        <v>9999</v>
      </c>
      <c r="F380" s="158">
        <f>Start.listina!T150</f>
        <v>0</v>
      </c>
      <c r="G380" s="69"/>
    </row>
    <row r="381" spans="1:7" ht="12" customHeight="1">
      <c r="A381" s="156" t="str">
        <f>Start.listina!O151</f>
        <v/>
      </c>
      <c r="B381" s="157" t="str">
        <f>Start.listina!P151</f>
        <v xml:space="preserve"> </v>
      </c>
      <c r="C381" s="156" t="str">
        <f>Start.listina!Q151</f>
        <v xml:space="preserve"> </v>
      </c>
      <c r="D381" s="156" t="str">
        <f>Start.listina!R151</f>
        <v xml:space="preserve"> </v>
      </c>
      <c r="E381" s="156">
        <f>Start.listina!S151</f>
        <v>9999</v>
      </c>
      <c r="F381" s="158">
        <f>Start.listina!T151</f>
        <v>0</v>
      </c>
      <c r="G381" s="69"/>
    </row>
    <row r="382" spans="1:7" ht="12" customHeight="1">
      <c r="A382" s="156" t="str">
        <f>Start.listina!O152</f>
        <v/>
      </c>
      <c r="B382" s="157" t="str">
        <f>Start.listina!P152</f>
        <v xml:space="preserve"> </v>
      </c>
      <c r="C382" s="156" t="str">
        <f>Start.listina!Q152</f>
        <v xml:space="preserve"> </v>
      </c>
      <c r="D382" s="156" t="str">
        <f>Start.listina!R152</f>
        <v xml:space="preserve"> </v>
      </c>
      <c r="E382" s="156">
        <f>Start.listina!S152</f>
        <v>9999</v>
      </c>
      <c r="F382" s="158">
        <f>Start.listina!T152</f>
        <v>0</v>
      </c>
      <c r="G382" s="69"/>
    </row>
    <row r="383" spans="1:7" ht="12" customHeight="1">
      <c r="A383" s="156" t="str">
        <f>Start.listina!O153</f>
        <v/>
      </c>
      <c r="B383" s="157" t="str">
        <f>Start.listina!P153</f>
        <v xml:space="preserve"> </v>
      </c>
      <c r="C383" s="156" t="str">
        <f>Start.listina!Q153</f>
        <v xml:space="preserve"> </v>
      </c>
      <c r="D383" s="156" t="str">
        <f>Start.listina!R153</f>
        <v xml:space="preserve"> </v>
      </c>
      <c r="E383" s="156">
        <f>Start.listina!S153</f>
        <v>9999</v>
      </c>
      <c r="F383" s="158">
        <f>Start.listina!T153</f>
        <v>0</v>
      </c>
      <c r="G383" s="69"/>
    </row>
    <row r="384" spans="1:7" ht="12" customHeight="1">
      <c r="A384" s="156" t="str">
        <f>Start.listina!O154</f>
        <v/>
      </c>
      <c r="B384" s="157" t="str">
        <f>Start.listina!P154</f>
        <v xml:space="preserve"> </v>
      </c>
      <c r="C384" s="156" t="str">
        <f>Start.listina!Q154</f>
        <v xml:space="preserve"> </v>
      </c>
      <c r="D384" s="156" t="str">
        <f>Start.listina!R154</f>
        <v xml:space="preserve"> </v>
      </c>
      <c r="E384" s="156">
        <f>Start.listina!S154</f>
        <v>9999</v>
      </c>
      <c r="F384" s="158">
        <f>Start.listina!T154</f>
        <v>0</v>
      </c>
      <c r="G384" s="69"/>
    </row>
    <row r="385" spans="1:7" ht="12" customHeight="1">
      <c r="A385" s="156" t="str">
        <f>Start.listina!O155</f>
        <v/>
      </c>
      <c r="B385" s="157" t="str">
        <f>Start.listina!P155</f>
        <v xml:space="preserve"> </v>
      </c>
      <c r="C385" s="156" t="str">
        <f>Start.listina!Q155</f>
        <v xml:space="preserve"> </v>
      </c>
      <c r="D385" s="156" t="str">
        <f>Start.listina!R155</f>
        <v xml:space="preserve"> </v>
      </c>
      <c r="E385" s="156">
        <f>Start.listina!S155</f>
        <v>9999</v>
      </c>
      <c r="F385" s="158">
        <f>Start.listina!T155</f>
        <v>0</v>
      </c>
      <c r="G385" s="69"/>
    </row>
    <row r="386" spans="1:7" ht="12" customHeight="1">
      <c r="A386" s="156" t="str">
        <f>Start.listina!O156</f>
        <v/>
      </c>
      <c r="B386" s="157" t="str">
        <f>Start.listina!P156</f>
        <v xml:space="preserve"> </v>
      </c>
      <c r="C386" s="156" t="str">
        <f>Start.listina!Q156</f>
        <v xml:space="preserve"> </v>
      </c>
      <c r="D386" s="156" t="str">
        <f>Start.listina!R156</f>
        <v xml:space="preserve"> </v>
      </c>
      <c r="E386" s="156">
        <f>Start.listina!S156</f>
        <v>9999</v>
      </c>
      <c r="F386" s="158">
        <f>Start.listina!T156</f>
        <v>0</v>
      </c>
      <c r="G386" s="69"/>
    </row>
    <row r="387" spans="1:7" ht="12" customHeight="1">
      <c r="A387" s="156" t="str">
        <f>Start.listina!O157</f>
        <v/>
      </c>
      <c r="B387" s="157" t="str">
        <f>Start.listina!P157</f>
        <v xml:space="preserve"> </v>
      </c>
      <c r="C387" s="156" t="str">
        <f>Start.listina!Q157</f>
        <v xml:space="preserve"> </v>
      </c>
      <c r="D387" s="156" t="str">
        <f>Start.listina!R157</f>
        <v xml:space="preserve"> </v>
      </c>
      <c r="E387" s="156">
        <f>Start.listina!S157</f>
        <v>9999</v>
      </c>
      <c r="F387" s="158">
        <f>Start.listina!T157</f>
        <v>0</v>
      </c>
      <c r="G387" s="69"/>
    </row>
    <row r="388" spans="1:7" ht="12" customHeight="1">
      <c r="A388" s="156" t="str">
        <f>Start.listina!O158</f>
        <v/>
      </c>
      <c r="B388" s="157" t="str">
        <f>Start.listina!P158</f>
        <v xml:space="preserve"> </v>
      </c>
      <c r="C388" s="156" t="str">
        <f>Start.listina!Q158</f>
        <v xml:space="preserve"> </v>
      </c>
      <c r="D388" s="156" t="str">
        <f>Start.listina!R158</f>
        <v xml:space="preserve"> </v>
      </c>
      <c r="E388" s="156">
        <f>Start.listina!S158</f>
        <v>9999</v>
      </c>
      <c r="F388" s="158">
        <f>Start.listina!T158</f>
        <v>0</v>
      </c>
      <c r="G388" s="69"/>
    </row>
    <row r="389" spans="1:7" ht="12" customHeight="1">
      <c r="A389" s="156" t="str">
        <f>Start.listina!O159</f>
        <v/>
      </c>
      <c r="B389" s="157" t="str">
        <f>Start.listina!P159</f>
        <v xml:space="preserve"> </v>
      </c>
      <c r="C389" s="156" t="str">
        <f>Start.listina!Q159</f>
        <v xml:space="preserve"> </v>
      </c>
      <c r="D389" s="156" t="str">
        <f>Start.listina!R159</f>
        <v xml:space="preserve"> </v>
      </c>
      <c r="E389" s="156">
        <f>Start.listina!S159</f>
        <v>9999</v>
      </c>
      <c r="F389" s="158">
        <f>Start.listina!T159</f>
        <v>0</v>
      </c>
      <c r="G389" s="69"/>
    </row>
    <row r="390" spans="1:7" ht="12" customHeight="1">
      <c r="A390" s="156" t="str">
        <f>Start.listina!O160</f>
        <v/>
      </c>
      <c r="B390" s="157" t="str">
        <f>Start.listina!P160</f>
        <v xml:space="preserve"> </v>
      </c>
      <c r="C390" s="156" t="str">
        <f>Start.listina!Q160</f>
        <v xml:space="preserve"> </v>
      </c>
      <c r="D390" s="156" t="str">
        <f>Start.listina!R160</f>
        <v xml:space="preserve"> </v>
      </c>
      <c r="E390" s="156">
        <f>Start.listina!S160</f>
        <v>9999</v>
      </c>
      <c r="F390" s="158">
        <f>Start.listina!T160</f>
        <v>0</v>
      </c>
      <c r="G390" s="69"/>
    </row>
    <row r="391" spans="1:7" ht="12" customHeight="1">
      <c r="A391" s="156" t="str">
        <f>Start.listina!O161</f>
        <v/>
      </c>
      <c r="B391" s="157" t="str">
        <f>Start.listina!P161</f>
        <v xml:space="preserve"> </v>
      </c>
      <c r="C391" s="156" t="str">
        <f>Start.listina!Q161</f>
        <v xml:space="preserve"> </v>
      </c>
      <c r="D391" s="156" t="str">
        <f>Start.listina!R161</f>
        <v xml:space="preserve"> </v>
      </c>
      <c r="E391" s="156">
        <f>Start.listina!S161</f>
        <v>9999</v>
      </c>
      <c r="F391" s="158">
        <f>Start.listina!T161</f>
        <v>0</v>
      </c>
      <c r="G391" s="69"/>
    </row>
    <row r="392" spans="1:7" ht="12" customHeight="1">
      <c r="A392" s="17" t="str">
        <f>Start.listina!O162</f>
        <v/>
      </c>
      <c r="B392" s="141" t="str">
        <f>Start.listina!P162</f>
        <v xml:space="preserve"> </v>
      </c>
      <c r="C392" s="17" t="str">
        <f>Start.listina!Q162</f>
        <v xml:space="preserve"> </v>
      </c>
      <c r="D392" s="17" t="str">
        <f>Start.listina!R162</f>
        <v xml:space="preserve"> </v>
      </c>
      <c r="E392" s="17">
        <f>Start.listina!S162</f>
        <v>9999</v>
      </c>
      <c r="F392" s="142">
        <f>Start.listina!T162</f>
        <v>0</v>
      </c>
      <c r="G392" s="69"/>
    </row>
    <row r="393" spans="1:7" ht="12" customHeight="1">
      <c r="A393" s="17" t="str">
        <f>Start.listina!O163</f>
        <v/>
      </c>
      <c r="B393" s="141" t="str">
        <f>Start.listina!P163</f>
        <v xml:space="preserve"> </v>
      </c>
      <c r="C393" s="17" t="str">
        <f>Start.listina!Q163</f>
        <v xml:space="preserve"> </v>
      </c>
      <c r="D393" s="17" t="str">
        <f>Start.listina!R163</f>
        <v xml:space="preserve"> </v>
      </c>
      <c r="E393" s="17">
        <f>Start.listina!S163</f>
        <v>9999</v>
      </c>
      <c r="F393" s="142">
        <f>Start.listina!T163</f>
        <v>0</v>
      </c>
      <c r="G393" s="69"/>
    </row>
    <row r="394" spans="1:7" ht="12" customHeight="1">
      <c r="A394" s="17" t="str">
        <f>Start.listina!O164</f>
        <v/>
      </c>
      <c r="B394" s="141" t="str">
        <f>Start.listina!P164</f>
        <v xml:space="preserve"> </v>
      </c>
      <c r="C394" s="17" t="str">
        <f>Start.listina!Q164</f>
        <v xml:space="preserve"> </v>
      </c>
      <c r="D394" s="17" t="str">
        <f>Start.listina!R164</f>
        <v xml:space="preserve"> </v>
      </c>
      <c r="E394" s="17">
        <f>Start.listina!S164</f>
        <v>9999</v>
      </c>
      <c r="F394" s="142">
        <f>Start.listina!T164</f>
        <v>0</v>
      </c>
      <c r="G394" s="69"/>
    </row>
    <row r="395" spans="1:7" ht="12" customHeight="1">
      <c r="A395" s="17" t="str">
        <f>Start.listina!O165</f>
        <v/>
      </c>
      <c r="B395" s="141" t="str">
        <f>Start.listina!P165</f>
        <v xml:space="preserve"> </v>
      </c>
      <c r="C395" s="17" t="str">
        <f>Start.listina!Q165</f>
        <v xml:space="preserve"> </v>
      </c>
      <c r="D395" s="17" t="str">
        <f>Start.listina!R165</f>
        <v xml:space="preserve"> </v>
      </c>
      <c r="E395" s="17">
        <f>Start.listina!S165</f>
        <v>9999</v>
      </c>
      <c r="F395" s="142">
        <f>Start.listina!T165</f>
        <v>0</v>
      </c>
      <c r="G395" s="69"/>
    </row>
    <row r="396" spans="1:7" ht="12" customHeight="1">
      <c r="A396" s="17" t="str">
        <f>Start.listina!O166</f>
        <v/>
      </c>
      <c r="B396" s="141" t="str">
        <f>Start.listina!P166</f>
        <v xml:space="preserve"> </v>
      </c>
      <c r="C396" s="17" t="str">
        <f>Start.listina!Q166</f>
        <v xml:space="preserve"> </v>
      </c>
      <c r="D396" s="17" t="str">
        <f>Start.listina!R166</f>
        <v xml:space="preserve"> </v>
      </c>
      <c r="E396" s="17">
        <f>Start.listina!S166</f>
        <v>9999</v>
      </c>
      <c r="F396" s="142">
        <f>Start.listina!T166</f>
        <v>0</v>
      </c>
      <c r="G396" s="69"/>
    </row>
    <row r="397" spans="1:7" ht="12" customHeight="1">
      <c r="A397" s="17" t="str">
        <f>Start.listina!O167</f>
        <v/>
      </c>
      <c r="B397" s="141" t="str">
        <f>Start.listina!P167</f>
        <v xml:space="preserve"> </v>
      </c>
      <c r="C397" s="17" t="str">
        <f>Start.listina!Q167</f>
        <v xml:space="preserve"> </v>
      </c>
      <c r="D397" s="17" t="str">
        <f>Start.listina!R167</f>
        <v xml:space="preserve"> </v>
      </c>
      <c r="E397" s="17">
        <f>Start.listina!S167</f>
        <v>9999</v>
      </c>
      <c r="F397" s="142">
        <f>Start.listina!T167</f>
        <v>0</v>
      </c>
      <c r="G397" s="69"/>
    </row>
    <row r="398" spans="1:7" ht="12" customHeight="1">
      <c r="A398" s="17" t="str">
        <f>Start.listina!O168</f>
        <v/>
      </c>
      <c r="B398" s="141" t="str">
        <f>Start.listina!P168</f>
        <v xml:space="preserve"> </v>
      </c>
      <c r="C398" s="17" t="str">
        <f>Start.listina!Q168</f>
        <v xml:space="preserve"> </v>
      </c>
      <c r="D398" s="17" t="str">
        <f>Start.listina!R168</f>
        <v xml:space="preserve"> </v>
      </c>
      <c r="E398" s="17">
        <f>Start.listina!S168</f>
        <v>9999</v>
      </c>
      <c r="F398" s="142">
        <f>Start.listina!T168</f>
        <v>0</v>
      </c>
      <c r="G398" s="69"/>
    </row>
    <row r="399" spans="1:7" ht="12" customHeight="1">
      <c r="A399" s="17" t="str">
        <f>Start.listina!O169</f>
        <v/>
      </c>
      <c r="B399" s="141" t="str">
        <f>Start.listina!P169</f>
        <v xml:space="preserve"> </v>
      </c>
      <c r="C399" s="17" t="str">
        <f>Start.listina!Q169</f>
        <v xml:space="preserve"> </v>
      </c>
      <c r="D399" s="17" t="str">
        <f>Start.listina!R169</f>
        <v xml:space="preserve"> </v>
      </c>
      <c r="E399" s="17">
        <f>Start.listina!S169</f>
        <v>9999</v>
      </c>
      <c r="F399" s="142">
        <f>Start.listina!T169</f>
        <v>0</v>
      </c>
      <c r="G399" s="69"/>
    </row>
    <row r="400" spans="1:7" ht="12" customHeight="1">
      <c r="A400" s="17" t="str">
        <f>Start.listina!O170</f>
        <v/>
      </c>
      <c r="B400" s="141" t="str">
        <f>Start.listina!P170</f>
        <v xml:space="preserve"> </v>
      </c>
      <c r="C400" s="17" t="str">
        <f>Start.listina!Q170</f>
        <v xml:space="preserve"> </v>
      </c>
      <c r="D400" s="17" t="str">
        <f>Start.listina!R170</f>
        <v xml:space="preserve"> </v>
      </c>
      <c r="E400" s="17">
        <f>Start.listina!S170</f>
        <v>9999</v>
      </c>
      <c r="F400" s="142">
        <f>Start.listina!T170</f>
        <v>0</v>
      </c>
      <c r="G400" s="69"/>
    </row>
    <row r="401" spans="1:7" ht="12" customHeight="1">
      <c r="A401" s="17" t="str">
        <f>Start.listina!O171</f>
        <v/>
      </c>
      <c r="B401" s="141" t="str">
        <f>Start.listina!P171</f>
        <v xml:space="preserve"> </v>
      </c>
      <c r="C401" s="17" t="str">
        <f>Start.listina!Q171</f>
        <v xml:space="preserve"> </v>
      </c>
      <c r="D401" s="17" t="str">
        <f>Start.listina!R171</f>
        <v xml:space="preserve"> </v>
      </c>
      <c r="E401" s="17">
        <f>Start.listina!S171</f>
        <v>9999</v>
      </c>
      <c r="F401" s="142">
        <f>Start.listina!T171</f>
        <v>0</v>
      </c>
      <c r="G401" s="69"/>
    </row>
    <row r="402" spans="1:7" ht="12" customHeight="1">
      <c r="A402" s="17" t="str">
        <f>Start.listina!O172</f>
        <v/>
      </c>
      <c r="B402" s="141" t="str">
        <f>Start.listina!P172</f>
        <v xml:space="preserve"> </v>
      </c>
      <c r="C402" s="17" t="str">
        <f>Start.listina!Q172</f>
        <v xml:space="preserve"> </v>
      </c>
      <c r="D402" s="17" t="str">
        <f>Start.listina!R172</f>
        <v xml:space="preserve"> </v>
      </c>
      <c r="E402" s="17">
        <f>Start.listina!S172</f>
        <v>9999</v>
      </c>
      <c r="F402" s="142">
        <f>Start.listina!T172</f>
        <v>0</v>
      </c>
      <c r="G402" s="69"/>
    </row>
    <row r="403" spans="1:7" ht="12" customHeight="1">
      <c r="A403" s="17" t="str">
        <f>Start.listina!O173</f>
        <v/>
      </c>
      <c r="B403" s="141" t="str">
        <f>Start.listina!P173</f>
        <v xml:space="preserve"> </v>
      </c>
      <c r="C403" s="17" t="str">
        <f>Start.listina!Q173</f>
        <v xml:space="preserve"> </v>
      </c>
      <c r="D403" s="17" t="str">
        <f>Start.listina!R173</f>
        <v xml:space="preserve"> </v>
      </c>
      <c r="E403" s="17">
        <f>Start.listina!S173</f>
        <v>9999</v>
      </c>
      <c r="F403" s="142">
        <f>Start.listina!T173</f>
        <v>0</v>
      </c>
      <c r="G403" s="69"/>
    </row>
    <row r="404" spans="1:7" ht="12" customHeight="1">
      <c r="A404" s="17" t="str">
        <f>Start.listina!O174</f>
        <v/>
      </c>
      <c r="B404" s="141" t="str">
        <f>Start.listina!P174</f>
        <v xml:space="preserve"> </v>
      </c>
      <c r="C404" s="17" t="str">
        <f>Start.listina!Q174</f>
        <v xml:space="preserve"> </v>
      </c>
      <c r="D404" s="17" t="str">
        <f>Start.listina!R174</f>
        <v xml:space="preserve"> </v>
      </c>
      <c r="E404" s="17">
        <f>Start.listina!S174</f>
        <v>9999</v>
      </c>
      <c r="F404" s="142">
        <f>Start.listina!T174</f>
        <v>0</v>
      </c>
      <c r="G404" s="69"/>
    </row>
    <row r="405" spans="1:7" ht="12" customHeight="1">
      <c r="A405" s="17" t="str">
        <f>Start.listina!O175</f>
        <v/>
      </c>
      <c r="B405" s="141" t="str">
        <f>Start.listina!P175</f>
        <v xml:space="preserve"> </v>
      </c>
      <c r="C405" s="17" t="str">
        <f>Start.listina!Q175</f>
        <v xml:space="preserve"> </v>
      </c>
      <c r="D405" s="17" t="str">
        <f>Start.listina!R175</f>
        <v xml:space="preserve"> </v>
      </c>
      <c r="E405" s="17">
        <f>Start.listina!S175</f>
        <v>9999</v>
      </c>
      <c r="F405" s="142">
        <f>Start.listina!T175</f>
        <v>0</v>
      </c>
      <c r="G405" s="69"/>
    </row>
    <row r="406" spans="1:7" ht="12" customHeight="1">
      <c r="A406" s="17" t="str">
        <f>Start.listina!O176</f>
        <v/>
      </c>
      <c r="B406" s="141" t="str">
        <f>Start.listina!P176</f>
        <v xml:space="preserve"> </v>
      </c>
      <c r="C406" s="17" t="str">
        <f>Start.listina!Q176</f>
        <v xml:space="preserve"> </v>
      </c>
      <c r="D406" s="17" t="str">
        <f>Start.listina!R176</f>
        <v xml:space="preserve"> </v>
      </c>
      <c r="E406" s="17">
        <f>Start.listina!S176</f>
        <v>9999</v>
      </c>
      <c r="F406" s="142">
        <f>Start.listina!T176</f>
        <v>0</v>
      </c>
      <c r="G406" s="69"/>
    </row>
    <row r="407" spans="1:7" ht="12" customHeight="1">
      <c r="A407" s="17" t="str">
        <f>Start.listina!O177</f>
        <v/>
      </c>
      <c r="B407" s="141" t="str">
        <f>Start.listina!P177</f>
        <v xml:space="preserve"> </v>
      </c>
      <c r="C407" s="17" t="str">
        <f>Start.listina!Q177</f>
        <v xml:space="preserve"> </v>
      </c>
      <c r="D407" s="17" t="str">
        <f>Start.listina!R177</f>
        <v xml:space="preserve"> </v>
      </c>
      <c r="E407" s="17">
        <f>Start.listina!S177</f>
        <v>9999</v>
      </c>
      <c r="F407" s="142">
        <f>Start.listina!T177</f>
        <v>0</v>
      </c>
      <c r="G407" s="69"/>
    </row>
    <row r="408" spans="1:7" ht="12" customHeight="1">
      <c r="A408" s="17" t="str">
        <f>Start.listina!O178</f>
        <v/>
      </c>
      <c r="B408" s="141" t="str">
        <f>Start.listina!P178</f>
        <v xml:space="preserve"> </v>
      </c>
      <c r="C408" s="17" t="str">
        <f>Start.listina!Q178</f>
        <v xml:space="preserve"> </v>
      </c>
      <c r="D408" s="17" t="str">
        <f>Start.listina!R178</f>
        <v xml:space="preserve"> </v>
      </c>
      <c r="E408" s="17">
        <f>Start.listina!S178</f>
        <v>9999</v>
      </c>
      <c r="F408" s="142">
        <f>Start.listina!T178</f>
        <v>0</v>
      </c>
      <c r="G408" s="69"/>
    </row>
    <row r="409" spans="1:7" ht="12" customHeight="1">
      <c r="A409" s="17" t="str">
        <f>Start.listina!O179</f>
        <v/>
      </c>
      <c r="B409" s="141" t="str">
        <f>Start.listina!P179</f>
        <v xml:space="preserve"> </v>
      </c>
      <c r="C409" s="17" t="str">
        <f>Start.listina!Q179</f>
        <v xml:space="preserve"> </v>
      </c>
      <c r="D409" s="17" t="str">
        <f>Start.listina!R179</f>
        <v xml:space="preserve"> </v>
      </c>
      <c r="E409" s="17">
        <f>Start.listina!S179</f>
        <v>9999</v>
      </c>
      <c r="F409" s="142">
        <f>Start.listina!T179</f>
        <v>0</v>
      </c>
      <c r="G409" s="69"/>
    </row>
    <row r="410" spans="1:7" ht="12" customHeight="1">
      <c r="A410" s="17" t="str">
        <f>Start.listina!O180</f>
        <v/>
      </c>
      <c r="B410" s="141" t="str">
        <f>Start.listina!P180</f>
        <v xml:space="preserve"> </v>
      </c>
      <c r="C410" s="17" t="str">
        <f>Start.listina!Q180</f>
        <v xml:space="preserve"> </v>
      </c>
      <c r="D410" s="17" t="str">
        <f>Start.listina!R180</f>
        <v xml:space="preserve"> </v>
      </c>
      <c r="E410" s="17">
        <f>Start.listina!S180</f>
        <v>9999</v>
      </c>
      <c r="F410" s="142">
        <f>Start.listina!T180</f>
        <v>0</v>
      </c>
      <c r="G410" s="69"/>
    </row>
    <row r="411" spans="1:7" ht="12" customHeight="1">
      <c r="A411" s="17" t="str">
        <f>Start.listina!O181</f>
        <v/>
      </c>
      <c r="B411" s="141" t="str">
        <f>Start.listina!P181</f>
        <v xml:space="preserve"> </v>
      </c>
      <c r="C411" s="17" t="str">
        <f>Start.listina!Q181</f>
        <v xml:space="preserve"> </v>
      </c>
      <c r="D411" s="17" t="str">
        <f>Start.listina!R181</f>
        <v xml:space="preserve"> </v>
      </c>
      <c r="E411" s="17">
        <f>Start.listina!S181</f>
        <v>9999</v>
      </c>
      <c r="F411" s="142">
        <f>Start.listina!T181</f>
        <v>0</v>
      </c>
      <c r="G411" s="69"/>
    </row>
    <row r="412" spans="1:7" ht="12" customHeight="1">
      <c r="A412" s="17" t="str">
        <f>Start.listina!O182</f>
        <v/>
      </c>
      <c r="B412" s="141" t="str">
        <f>Start.listina!P182</f>
        <v xml:space="preserve"> </v>
      </c>
      <c r="C412" s="17" t="str">
        <f>Start.listina!Q182</f>
        <v xml:space="preserve"> </v>
      </c>
      <c r="D412" s="17" t="str">
        <f>Start.listina!R182</f>
        <v xml:space="preserve"> </v>
      </c>
      <c r="E412" s="17">
        <f>Start.listina!S182</f>
        <v>9999</v>
      </c>
      <c r="F412" s="142">
        <f>Start.listina!T182</f>
        <v>0</v>
      </c>
      <c r="G412" s="69"/>
    </row>
    <row r="413" spans="1:7" ht="12" customHeight="1">
      <c r="A413" s="17" t="str">
        <f>Start.listina!O183</f>
        <v/>
      </c>
      <c r="B413" s="141" t="str">
        <f>Start.listina!P183</f>
        <v xml:space="preserve"> </v>
      </c>
      <c r="C413" s="17" t="str">
        <f>Start.listina!Q183</f>
        <v xml:space="preserve"> </v>
      </c>
      <c r="D413" s="17" t="str">
        <f>Start.listina!R183</f>
        <v xml:space="preserve"> </v>
      </c>
      <c r="E413" s="17">
        <f>Start.listina!S183</f>
        <v>9999</v>
      </c>
      <c r="F413" s="142">
        <f>Start.listina!T183</f>
        <v>0</v>
      </c>
      <c r="G413" s="69"/>
    </row>
    <row r="414" spans="1:7" ht="12" customHeight="1">
      <c r="A414" s="17" t="str">
        <f>Start.listina!O184</f>
        <v/>
      </c>
      <c r="B414" s="141" t="str">
        <f>Start.listina!P184</f>
        <v xml:space="preserve"> </v>
      </c>
      <c r="C414" s="17" t="str">
        <f>Start.listina!Q184</f>
        <v xml:space="preserve"> </v>
      </c>
      <c r="D414" s="17" t="str">
        <f>Start.listina!R184</f>
        <v xml:space="preserve"> </v>
      </c>
      <c r="E414" s="17">
        <f>Start.listina!S184</f>
        <v>9999</v>
      </c>
      <c r="F414" s="142">
        <f>Start.listina!T184</f>
        <v>0</v>
      </c>
      <c r="G414" s="69"/>
    </row>
    <row r="415" spans="1:7" ht="12" customHeight="1">
      <c r="A415" s="17" t="str">
        <f>Start.listina!O185</f>
        <v/>
      </c>
      <c r="B415" s="141" t="str">
        <f>Start.listina!P185</f>
        <v xml:space="preserve"> </v>
      </c>
      <c r="C415" s="17" t="str">
        <f>Start.listina!Q185</f>
        <v xml:space="preserve"> </v>
      </c>
      <c r="D415" s="17" t="str">
        <f>Start.listina!R185</f>
        <v xml:space="preserve"> </v>
      </c>
      <c r="E415" s="17">
        <f>Start.listina!S185</f>
        <v>9999</v>
      </c>
      <c r="F415" s="142">
        <f>Start.listina!T185</f>
        <v>0</v>
      </c>
      <c r="G415" s="69"/>
    </row>
    <row r="416" spans="1:7" ht="12" customHeight="1">
      <c r="A416" s="17" t="str">
        <f>Start.listina!O186</f>
        <v/>
      </c>
      <c r="B416" s="141" t="str">
        <f>Start.listina!P186</f>
        <v xml:space="preserve"> </v>
      </c>
      <c r="C416" s="17" t="str">
        <f>Start.listina!Q186</f>
        <v xml:space="preserve"> </v>
      </c>
      <c r="D416" s="17" t="str">
        <f>Start.listina!R186</f>
        <v xml:space="preserve"> </v>
      </c>
      <c r="E416" s="17">
        <f>Start.listina!S186</f>
        <v>9999</v>
      </c>
      <c r="F416" s="142">
        <f>Start.listina!T186</f>
        <v>0</v>
      </c>
      <c r="G416" s="69"/>
    </row>
    <row r="417" spans="1:7" ht="12" customHeight="1">
      <c r="A417" s="17" t="str">
        <f>Start.listina!O187</f>
        <v/>
      </c>
      <c r="B417" s="141" t="str">
        <f>Start.listina!P187</f>
        <v xml:space="preserve"> </v>
      </c>
      <c r="C417" s="17" t="str">
        <f>Start.listina!Q187</f>
        <v xml:space="preserve"> </v>
      </c>
      <c r="D417" s="17" t="str">
        <f>Start.listina!R187</f>
        <v xml:space="preserve"> </v>
      </c>
      <c r="E417" s="17">
        <f>Start.listina!S187</f>
        <v>9999</v>
      </c>
      <c r="F417" s="142">
        <f>Start.listina!T187</f>
        <v>0</v>
      </c>
      <c r="G417" s="69"/>
    </row>
    <row r="418" spans="1:7" ht="12" customHeight="1">
      <c r="A418" s="17" t="str">
        <f>Start.listina!O188</f>
        <v/>
      </c>
      <c r="B418" s="141" t="str">
        <f>Start.listina!P188</f>
        <v xml:space="preserve"> </v>
      </c>
      <c r="C418" s="17" t="str">
        <f>Start.listina!Q188</f>
        <v xml:space="preserve"> </v>
      </c>
      <c r="D418" s="17" t="str">
        <f>Start.listina!R188</f>
        <v xml:space="preserve"> </v>
      </c>
      <c r="E418" s="17">
        <f>Start.listina!S188</f>
        <v>9999</v>
      </c>
      <c r="F418" s="142">
        <f>Start.listina!T188</f>
        <v>0</v>
      </c>
      <c r="G418" s="69"/>
    </row>
    <row r="419" spans="1:7" ht="12" customHeight="1">
      <c r="A419" s="17" t="str">
        <f>Start.listina!O189</f>
        <v/>
      </c>
      <c r="B419" s="141" t="str">
        <f>Start.listina!P189</f>
        <v xml:space="preserve"> </v>
      </c>
      <c r="C419" s="17" t="str">
        <f>Start.listina!Q189</f>
        <v xml:space="preserve"> </v>
      </c>
      <c r="D419" s="17" t="str">
        <f>Start.listina!R189</f>
        <v xml:space="preserve"> </v>
      </c>
      <c r="E419" s="17">
        <f>Start.listina!S189</f>
        <v>9999</v>
      </c>
      <c r="F419" s="142">
        <f>Start.listina!T189</f>
        <v>0</v>
      </c>
      <c r="G419" s="69"/>
    </row>
    <row r="420" spans="1:7" ht="12" customHeight="1">
      <c r="A420" s="17" t="str">
        <f>Start.listina!O190</f>
        <v/>
      </c>
      <c r="B420" s="141" t="str">
        <f>Start.listina!P190</f>
        <v xml:space="preserve"> </v>
      </c>
      <c r="C420" s="17" t="str">
        <f>Start.listina!Q190</f>
        <v xml:space="preserve"> </v>
      </c>
      <c r="D420" s="17" t="str">
        <f>Start.listina!R190</f>
        <v xml:space="preserve"> </v>
      </c>
      <c r="E420" s="17">
        <f>Start.listina!S190</f>
        <v>9999</v>
      </c>
      <c r="F420" s="142">
        <f>Start.listina!T190</f>
        <v>0</v>
      </c>
      <c r="G420" s="69"/>
    </row>
    <row r="421" spans="1:7" ht="12" customHeight="1">
      <c r="A421" s="17" t="str">
        <f>Start.listina!O191</f>
        <v/>
      </c>
      <c r="B421" s="141" t="str">
        <f>Start.listina!P191</f>
        <v xml:space="preserve"> </v>
      </c>
      <c r="C421" s="17" t="str">
        <f>Start.listina!Q191</f>
        <v xml:space="preserve"> </v>
      </c>
      <c r="D421" s="17" t="str">
        <f>Start.listina!R191</f>
        <v xml:space="preserve"> </v>
      </c>
      <c r="E421" s="17">
        <f>Start.listina!S191</f>
        <v>9999</v>
      </c>
      <c r="F421" s="142">
        <f>Start.listina!T191</f>
        <v>0</v>
      </c>
      <c r="G421" s="69"/>
    </row>
    <row r="422" spans="1:7" ht="12" customHeight="1">
      <c r="A422" s="17" t="str">
        <f>Start.listina!O192</f>
        <v/>
      </c>
      <c r="B422" s="141" t="str">
        <f>Start.listina!P192</f>
        <v xml:space="preserve"> </v>
      </c>
      <c r="C422" s="17" t="str">
        <f>Start.listina!Q192</f>
        <v xml:space="preserve"> </v>
      </c>
      <c r="D422" s="17" t="str">
        <f>Start.listina!R192</f>
        <v xml:space="preserve"> </v>
      </c>
      <c r="E422" s="17">
        <f>Start.listina!S192</f>
        <v>9999</v>
      </c>
      <c r="F422" s="142">
        <f>Start.listina!T192</f>
        <v>0</v>
      </c>
      <c r="G422" s="69"/>
    </row>
    <row r="423" spans="1:7" ht="12" customHeight="1">
      <c r="A423" s="17" t="str">
        <f>Start.listina!O193</f>
        <v/>
      </c>
      <c r="B423" s="141" t="str">
        <f>Start.listina!P193</f>
        <v xml:space="preserve"> </v>
      </c>
      <c r="C423" s="17" t="str">
        <f>Start.listina!Q193</f>
        <v xml:space="preserve"> </v>
      </c>
      <c r="D423" s="17" t="str">
        <f>Start.listina!R193</f>
        <v xml:space="preserve"> </v>
      </c>
      <c r="E423" s="17">
        <f>Start.listina!S193</f>
        <v>9999</v>
      </c>
      <c r="F423" s="142">
        <f>Start.listina!T193</f>
        <v>0</v>
      </c>
      <c r="G423" s="69"/>
    </row>
    <row r="424" spans="1:7" ht="12" customHeight="1">
      <c r="A424" s="17" t="str">
        <f>Start.listina!O194</f>
        <v/>
      </c>
      <c r="B424" s="141" t="str">
        <f>Start.listina!P194</f>
        <v xml:space="preserve"> </v>
      </c>
      <c r="C424" s="17" t="str">
        <f>Start.listina!Q194</f>
        <v xml:space="preserve"> </v>
      </c>
      <c r="D424" s="17" t="str">
        <f>Start.listina!R194</f>
        <v xml:space="preserve"> </v>
      </c>
      <c r="E424" s="17">
        <f>Start.listina!S194</f>
        <v>9999</v>
      </c>
      <c r="F424" s="142">
        <f>Start.listina!T194</f>
        <v>0</v>
      </c>
      <c r="G424" s="69"/>
    </row>
    <row r="425" spans="1:7" ht="12" customHeight="1">
      <c r="A425" s="17" t="str">
        <f>Start.listina!O195</f>
        <v/>
      </c>
      <c r="B425" s="141" t="str">
        <f>Start.listina!P195</f>
        <v xml:space="preserve"> </v>
      </c>
      <c r="C425" s="17" t="str">
        <f>Start.listina!Q195</f>
        <v xml:space="preserve"> </v>
      </c>
      <c r="D425" s="17" t="str">
        <f>Start.listina!R195</f>
        <v xml:space="preserve"> </v>
      </c>
      <c r="E425" s="17">
        <f>Start.listina!S195</f>
        <v>9999</v>
      </c>
      <c r="F425" s="142">
        <f>Start.listina!T195</f>
        <v>0</v>
      </c>
      <c r="G425" s="69"/>
    </row>
    <row r="426" spans="1:7" ht="12" customHeight="1">
      <c r="A426" s="17" t="str">
        <f>Start.listina!O196</f>
        <v/>
      </c>
      <c r="B426" s="141" t="str">
        <f>Start.listina!P196</f>
        <v xml:space="preserve"> </v>
      </c>
      <c r="C426" s="17" t="str">
        <f>Start.listina!Q196</f>
        <v xml:space="preserve"> </v>
      </c>
      <c r="D426" s="17" t="str">
        <f>Start.listina!R196</f>
        <v xml:space="preserve"> </v>
      </c>
      <c r="E426" s="17">
        <f>Start.listina!S196</f>
        <v>9999</v>
      </c>
      <c r="F426" s="142">
        <f>Start.listina!T196</f>
        <v>0</v>
      </c>
      <c r="G426" s="69"/>
    </row>
    <row r="427" spans="1:7" ht="12" customHeight="1">
      <c r="A427" s="17" t="str">
        <f>Start.listina!O197</f>
        <v/>
      </c>
      <c r="B427" s="141" t="str">
        <f>Start.listina!P197</f>
        <v xml:space="preserve"> </v>
      </c>
      <c r="C427" s="17" t="str">
        <f>Start.listina!Q197</f>
        <v xml:space="preserve"> </v>
      </c>
      <c r="D427" s="17" t="str">
        <f>Start.listina!R197</f>
        <v xml:space="preserve"> </v>
      </c>
      <c r="E427" s="17">
        <f>Start.listina!S197</f>
        <v>9999</v>
      </c>
      <c r="F427" s="142">
        <f>Start.listina!T197</f>
        <v>0</v>
      </c>
      <c r="G427" s="69"/>
    </row>
    <row r="428" spans="1:7" ht="12" customHeight="1">
      <c r="A428" s="17" t="str">
        <f>Start.listina!O198</f>
        <v/>
      </c>
      <c r="B428" s="141" t="str">
        <f>Start.listina!P198</f>
        <v xml:space="preserve"> </v>
      </c>
      <c r="C428" s="17" t="str">
        <f>Start.listina!Q198</f>
        <v xml:space="preserve"> </v>
      </c>
      <c r="D428" s="17" t="str">
        <f>Start.listina!R198</f>
        <v xml:space="preserve"> </v>
      </c>
      <c r="E428" s="17">
        <f>Start.listina!S198</f>
        <v>9999</v>
      </c>
      <c r="F428" s="142">
        <f>Start.listina!T198</f>
        <v>0</v>
      </c>
      <c r="G428" s="69"/>
    </row>
    <row r="429" spans="1:7" ht="12" customHeight="1">
      <c r="A429" s="17" t="str">
        <f>Start.listina!O199</f>
        <v/>
      </c>
      <c r="B429" s="141" t="str">
        <f>Start.listina!P199</f>
        <v xml:space="preserve"> </v>
      </c>
      <c r="C429" s="17" t="str">
        <f>Start.listina!Q199</f>
        <v xml:space="preserve"> </v>
      </c>
      <c r="D429" s="17" t="str">
        <f>Start.listina!R199</f>
        <v xml:space="preserve"> </v>
      </c>
      <c r="E429" s="17">
        <f>Start.listina!S199</f>
        <v>9999</v>
      </c>
      <c r="F429" s="142">
        <f>Start.listina!T199</f>
        <v>0</v>
      </c>
      <c r="G429" s="69"/>
    </row>
    <row r="430" spans="1:7" ht="12" customHeight="1">
      <c r="A430" s="17" t="str">
        <f>Start.listina!O200</f>
        <v/>
      </c>
      <c r="B430" s="141" t="str">
        <f>Start.listina!P200</f>
        <v xml:space="preserve"> </v>
      </c>
      <c r="C430" s="17" t="str">
        <f>Start.listina!Q200</f>
        <v xml:space="preserve"> </v>
      </c>
      <c r="D430" s="17" t="str">
        <f>Start.listina!R200</f>
        <v xml:space="preserve"> </v>
      </c>
      <c r="E430" s="17">
        <f>Start.listina!S200</f>
        <v>9999</v>
      </c>
      <c r="F430" s="142">
        <f>Start.listina!T200</f>
        <v>0</v>
      </c>
      <c r="G430" s="69"/>
    </row>
    <row r="431" spans="1:7" ht="12" customHeight="1">
      <c r="A431" s="17" t="str">
        <f>Start.listina!O201</f>
        <v/>
      </c>
      <c r="B431" s="141" t="str">
        <f>Start.listina!P201</f>
        <v xml:space="preserve"> </v>
      </c>
      <c r="C431" s="17" t="str">
        <f>Start.listina!Q201</f>
        <v xml:space="preserve"> </v>
      </c>
      <c r="D431" s="17" t="str">
        <f>Start.listina!R201</f>
        <v xml:space="preserve"> </v>
      </c>
      <c r="E431" s="17">
        <f>Start.listina!S201</f>
        <v>9999</v>
      </c>
      <c r="F431" s="142">
        <f>Start.listina!T201</f>
        <v>0</v>
      </c>
      <c r="G431" s="69"/>
    </row>
    <row r="432" spans="1:7" ht="12" customHeight="1">
      <c r="A432" s="17" t="str">
        <f>Start.listina!O202</f>
        <v/>
      </c>
      <c r="B432" s="141" t="str">
        <f>Start.listina!P202</f>
        <v xml:space="preserve"> </v>
      </c>
      <c r="C432" s="17" t="str">
        <f>Start.listina!Q202</f>
        <v xml:space="preserve"> </v>
      </c>
      <c r="D432" s="17" t="str">
        <f>Start.listina!R202</f>
        <v xml:space="preserve"> </v>
      </c>
      <c r="E432" s="17">
        <f>Start.listina!S202</f>
        <v>9999</v>
      </c>
      <c r="F432" s="142">
        <f>Start.listina!T202</f>
        <v>0</v>
      </c>
      <c r="G432" s="69"/>
    </row>
    <row r="433" spans="1:7" ht="12" customHeight="1">
      <c r="A433" s="17">
        <f>Start.listina!U51</f>
        <v>23240</v>
      </c>
      <c r="B433" s="141" t="str">
        <f>Start.listina!V51</f>
        <v>Oujezdský</v>
      </c>
      <c r="C433" s="17" t="str">
        <f>Start.listina!W51</f>
        <v>Miroslav</v>
      </c>
      <c r="D433" s="17" t="str">
        <f>Start.listina!X51</f>
        <v>BePeC 2016</v>
      </c>
      <c r="E433" s="17">
        <f>Start.listina!Y51</f>
        <v>809</v>
      </c>
      <c r="F433" s="142">
        <f>Start.listina!Z51</f>
        <v>0</v>
      </c>
      <c r="G433" s="69"/>
    </row>
    <row r="434" spans="1:7" ht="12" customHeight="1">
      <c r="A434" s="17" t="str">
        <f>Start.listina!U56</f>
        <v/>
      </c>
      <c r="B434" s="141" t="str">
        <f>Start.listina!V56</f>
        <v xml:space="preserve"> </v>
      </c>
      <c r="C434" s="17" t="str">
        <f>Start.listina!W56</f>
        <v xml:space="preserve"> </v>
      </c>
      <c r="D434" s="17" t="str">
        <f>Start.listina!X56</f>
        <v xml:space="preserve"> </v>
      </c>
      <c r="E434" s="17">
        <f>Start.listina!Y56</f>
        <v>9999</v>
      </c>
      <c r="F434" s="142">
        <f>Start.listina!Z56</f>
        <v>0</v>
      </c>
      <c r="G434" s="69"/>
    </row>
    <row r="435" spans="1:7" ht="12" customHeight="1">
      <c r="A435" s="17" t="str">
        <f>Start.listina!U57</f>
        <v/>
      </c>
      <c r="B435" s="141" t="str">
        <f>Start.listina!V57</f>
        <v xml:space="preserve"> </v>
      </c>
      <c r="C435" s="17" t="str">
        <f>Start.listina!W57</f>
        <v xml:space="preserve"> </v>
      </c>
      <c r="D435" s="17" t="str">
        <f>Start.listina!X57</f>
        <v xml:space="preserve"> </v>
      </c>
      <c r="E435" s="17">
        <f>Start.listina!Y57</f>
        <v>9999</v>
      </c>
      <c r="F435" s="142">
        <f>Start.listina!Z57</f>
        <v>0</v>
      </c>
      <c r="G435" s="69"/>
    </row>
    <row r="436" spans="1:7" ht="12" customHeight="1">
      <c r="A436" s="17" t="str">
        <f>Start.listina!U58</f>
        <v/>
      </c>
      <c r="B436" s="141" t="str">
        <f>Start.listina!V58</f>
        <v xml:space="preserve"> </v>
      </c>
      <c r="C436" s="17" t="str">
        <f>Start.listina!W58</f>
        <v xml:space="preserve"> </v>
      </c>
      <c r="D436" s="17" t="str">
        <f>Start.listina!X58</f>
        <v xml:space="preserve"> </v>
      </c>
      <c r="E436" s="17">
        <f>Start.listina!Y58</f>
        <v>9999</v>
      </c>
      <c r="F436" s="142">
        <f>Start.listina!Z58</f>
        <v>0</v>
      </c>
      <c r="G436" s="69"/>
    </row>
    <row r="437" spans="1:7" ht="12" customHeight="1">
      <c r="A437" s="17" t="str">
        <f>Start.listina!U59</f>
        <v/>
      </c>
      <c r="B437" s="141" t="str">
        <f>Start.listina!V59</f>
        <v xml:space="preserve"> </v>
      </c>
      <c r="C437" s="17" t="str">
        <f>Start.listina!W59</f>
        <v xml:space="preserve"> </v>
      </c>
      <c r="D437" s="17" t="str">
        <f>Start.listina!X59</f>
        <v xml:space="preserve"> </v>
      </c>
      <c r="E437" s="17">
        <f>Start.listina!Y59</f>
        <v>9999</v>
      </c>
      <c r="F437" s="142">
        <f>Start.listina!Z59</f>
        <v>0</v>
      </c>
      <c r="G437" s="69"/>
    </row>
    <row r="438" spans="1:7" ht="12" customHeight="1">
      <c r="A438" s="17" t="str">
        <f>Start.listina!U60</f>
        <v/>
      </c>
      <c r="B438" s="141" t="str">
        <f>Start.listina!V60</f>
        <v xml:space="preserve"> </v>
      </c>
      <c r="C438" s="17" t="str">
        <f>Start.listina!W60</f>
        <v xml:space="preserve"> </v>
      </c>
      <c r="D438" s="17" t="str">
        <f>Start.listina!X60</f>
        <v xml:space="preserve"> </v>
      </c>
      <c r="E438" s="17">
        <f>Start.listina!Y60</f>
        <v>9999</v>
      </c>
      <c r="F438" s="142">
        <f>Start.listina!Z60</f>
        <v>0</v>
      </c>
      <c r="G438" s="69"/>
    </row>
    <row r="439" spans="1:7" ht="12" customHeight="1">
      <c r="A439" s="17" t="str">
        <f>Start.listina!U61</f>
        <v/>
      </c>
      <c r="B439" s="141" t="str">
        <f>Start.listina!V61</f>
        <v xml:space="preserve"> </v>
      </c>
      <c r="C439" s="17" t="str">
        <f>Start.listina!W61</f>
        <v xml:space="preserve"> </v>
      </c>
      <c r="D439" s="17" t="str">
        <f>Start.listina!X61</f>
        <v xml:space="preserve"> </v>
      </c>
      <c r="E439" s="17">
        <f>Start.listina!Y61</f>
        <v>9999</v>
      </c>
      <c r="F439" s="142">
        <f>Start.listina!Z61</f>
        <v>0</v>
      </c>
      <c r="G439" s="69"/>
    </row>
    <row r="440" spans="1:7" ht="12" customHeight="1">
      <c r="A440" s="17" t="str">
        <f>Start.listina!U62</f>
        <v/>
      </c>
      <c r="B440" s="141" t="str">
        <f>Start.listina!V62</f>
        <v xml:space="preserve"> </v>
      </c>
      <c r="C440" s="17" t="str">
        <f>Start.listina!W62</f>
        <v xml:space="preserve"> </v>
      </c>
      <c r="D440" s="17" t="str">
        <f>Start.listina!X62</f>
        <v xml:space="preserve"> </v>
      </c>
      <c r="E440" s="17">
        <f>Start.listina!Y62</f>
        <v>9999</v>
      </c>
      <c r="F440" s="142">
        <f>Start.listina!Z62</f>
        <v>0</v>
      </c>
      <c r="G440" s="69"/>
    </row>
    <row r="441" spans="1:7" ht="12" customHeight="1">
      <c r="A441" s="17" t="str">
        <f>Start.listina!U63</f>
        <v/>
      </c>
      <c r="B441" s="141" t="str">
        <f>Start.listina!V63</f>
        <v xml:space="preserve"> </v>
      </c>
      <c r="C441" s="17" t="str">
        <f>Start.listina!W63</f>
        <v xml:space="preserve"> </v>
      </c>
      <c r="D441" s="17" t="str">
        <f>Start.listina!X63</f>
        <v xml:space="preserve"> </v>
      </c>
      <c r="E441" s="17">
        <f>Start.listina!Y63</f>
        <v>9999</v>
      </c>
      <c r="F441" s="142">
        <f>Start.listina!Z63</f>
        <v>0</v>
      </c>
      <c r="G441" s="69"/>
    </row>
    <row r="442" spans="1:7" ht="12" customHeight="1">
      <c r="A442" s="17" t="str">
        <f>Start.listina!U64</f>
        <v/>
      </c>
      <c r="B442" s="141" t="str">
        <f>Start.listina!V64</f>
        <v xml:space="preserve"> </v>
      </c>
      <c r="C442" s="17" t="str">
        <f>Start.listina!W64</f>
        <v xml:space="preserve"> </v>
      </c>
      <c r="D442" s="17" t="str">
        <f>Start.listina!X64</f>
        <v xml:space="preserve"> </v>
      </c>
      <c r="E442" s="17">
        <f>Start.listina!Y64</f>
        <v>9999</v>
      </c>
      <c r="F442" s="142">
        <f>Start.listina!Z64</f>
        <v>0</v>
      </c>
      <c r="G442" s="69"/>
    </row>
    <row r="443" spans="1:7" ht="12" customHeight="1">
      <c r="A443" s="17" t="str">
        <f>Start.listina!U65</f>
        <v/>
      </c>
      <c r="B443" s="141" t="str">
        <f>Start.listina!V65</f>
        <v xml:space="preserve"> </v>
      </c>
      <c r="C443" s="17" t="str">
        <f>Start.listina!W65</f>
        <v xml:space="preserve"> </v>
      </c>
      <c r="D443" s="17" t="str">
        <f>Start.listina!X65</f>
        <v xml:space="preserve"> </v>
      </c>
      <c r="E443" s="17">
        <f>Start.listina!Y65</f>
        <v>9999</v>
      </c>
      <c r="F443" s="142">
        <f>Start.listina!Z65</f>
        <v>0</v>
      </c>
      <c r="G443" s="69"/>
    </row>
    <row r="444" spans="1:7" ht="12" customHeight="1">
      <c r="A444" s="17" t="str">
        <f>Start.listina!U66</f>
        <v/>
      </c>
      <c r="B444" s="141" t="str">
        <f>Start.listina!V66</f>
        <v xml:space="preserve"> </v>
      </c>
      <c r="C444" s="17" t="str">
        <f>Start.listina!W66</f>
        <v xml:space="preserve"> </v>
      </c>
      <c r="D444" s="17" t="str">
        <f>Start.listina!X66</f>
        <v xml:space="preserve"> </v>
      </c>
      <c r="E444" s="17">
        <f>Start.listina!Y66</f>
        <v>9999</v>
      </c>
      <c r="F444" s="142">
        <f>Start.listina!Z66</f>
        <v>0</v>
      </c>
      <c r="G444" s="69"/>
    </row>
    <row r="445" spans="1:7" ht="12" customHeight="1">
      <c r="A445" s="17" t="str">
        <f>Start.listina!U67</f>
        <v/>
      </c>
      <c r="B445" s="141" t="str">
        <f>Start.listina!V67</f>
        <v xml:space="preserve"> </v>
      </c>
      <c r="C445" s="17" t="str">
        <f>Start.listina!W67</f>
        <v xml:space="preserve"> </v>
      </c>
      <c r="D445" s="17" t="str">
        <f>Start.listina!X67</f>
        <v xml:space="preserve"> </v>
      </c>
      <c r="E445" s="17">
        <f>Start.listina!Y67</f>
        <v>9999</v>
      </c>
      <c r="F445" s="142">
        <f>Start.listina!Z67</f>
        <v>0</v>
      </c>
      <c r="G445" s="69"/>
    </row>
    <row r="446" spans="1:7" ht="12" customHeight="1">
      <c r="A446" s="17" t="str">
        <f>Start.listina!U68</f>
        <v/>
      </c>
      <c r="B446" s="141" t="str">
        <f>Start.listina!V68</f>
        <v xml:space="preserve"> </v>
      </c>
      <c r="C446" s="17" t="str">
        <f>Start.listina!W68</f>
        <v xml:space="preserve"> </v>
      </c>
      <c r="D446" s="17" t="str">
        <f>Start.listina!X68</f>
        <v xml:space="preserve"> </v>
      </c>
      <c r="E446" s="17">
        <f>Start.listina!Y68</f>
        <v>9999</v>
      </c>
      <c r="F446" s="142">
        <f>Start.listina!Z68</f>
        <v>0</v>
      </c>
      <c r="G446" s="69"/>
    </row>
    <row r="447" spans="1:7" ht="12" customHeight="1">
      <c r="A447" s="17" t="str">
        <f>Start.listina!U69</f>
        <v/>
      </c>
      <c r="B447" s="141" t="str">
        <f>Start.listina!V69</f>
        <v xml:space="preserve"> </v>
      </c>
      <c r="C447" s="17" t="str">
        <f>Start.listina!W69</f>
        <v xml:space="preserve"> </v>
      </c>
      <c r="D447" s="17" t="str">
        <f>Start.listina!X69</f>
        <v xml:space="preserve"> </v>
      </c>
      <c r="E447" s="17">
        <f>Start.listina!Y69</f>
        <v>9999</v>
      </c>
      <c r="F447" s="142">
        <f>Start.listina!Z69</f>
        <v>0</v>
      </c>
      <c r="G447" s="69"/>
    </row>
    <row r="448" spans="1:7" ht="12" customHeight="1">
      <c r="A448" s="17" t="str">
        <f>Start.listina!U70</f>
        <v/>
      </c>
      <c r="B448" s="141" t="str">
        <f>Start.listina!V70</f>
        <v xml:space="preserve"> </v>
      </c>
      <c r="C448" s="17" t="str">
        <f>Start.listina!W70</f>
        <v xml:space="preserve"> </v>
      </c>
      <c r="D448" s="17" t="str">
        <f>Start.listina!X70</f>
        <v xml:space="preserve"> </v>
      </c>
      <c r="E448" s="17">
        <f>Start.listina!Y70</f>
        <v>9999</v>
      </c>
      <c r="F448" s="142">
        <f>Start.listina!Z70</f>
        <v>0</v>
      </c>
      <c r="G448" s="69"/>
    </row>
    <row r="449" spans="1:7" ht="12" customHeight="1">
      <c r="A449" s="17" t="str">
        <f>Start.listina!U71</f>
        <v/>
      </c>
      <c r="B449" s="141" t="str">
        <f>Start.listina!V71</f>
        <v xml:space="preserve"> </v>
      </c>
      <c r="C449" s="17" t="str">
        <f>Start.listina!W71</f>
        <v xml:space="preserve"> </v>
      </c>
      <c r="D449" s="17" t="str">
        <f>Start.listina!X71</f>
        <v xml:space="preserve"> </v>
      </c>
      <c r="E449" s="17">
        <f>Start.listina!Y71</f>
        <v>9999</v>
      </c>
      <c r="F449" s="142">
        <f>Start.listina!Z71</f>
        <v>0</v>
      </c>
      <c r="G449" s="69"/>
    </row>
    <row r="450" spans="1:7" ht="12" customHeight="1">
      <c r="A450" s="17" t="str">
        <f>Start.listina!U72</f>
        <v/>
      </c>
      <c r="B450" s="141" t="str">
        <f>Start.listina!V72</f>
        <v xml:space="preserve"> </v>
      </c>
      <c r="C450" s="17" t="str">
        <f>Start.listina!W72</f>
        <v xml:space="preserve"> </v>
      </c>
      <c r="D450" s="17" t="str">
        <f>Start.listina!X72</f>
        <v xml:space="preserve"> </v>
      </c>
      <c r="E450" s="17">
        <f>Start.listina!Y72</f>
        <v>9999</v>
      </c>
      <c r="F450" s="142">
        <f>Start.listina!Z72</f>
        <v>0</v>
      </c>
      <c r="G450" s="69"/>
    </row>
    <row r="451" spans="1:7" ht="12" customHeight="1">
      <c r="A451" s="17" t="str">
        <f>Start.listina!U73</f>
        <v/>
      </c>
      <c r="B451" s="141" t="str">
        <f>Start.listina!V73</f>
        <v xml:space="preserve"> </v>
      </c>
      <c r="C451" s="17" t="str">
        <f>Start.listina!W73</f>
        <v xml:space="preserve"> </v>
      </c>
      <c r="D451" s="17" t="str">
        <f>Start.listina!X73</f>
        <v xml:space="preserve"> </v>
      </c>
      <c r="E451" s="17">
        <f>Start.listina!Y73</f>
        <v>9999</v>
      </c>
      <c r="F451" s="142">
        <f>Start.listina!Z73</f>
        <v>0</v>
      </c>
      <c r="G451" s="69"/>
    </row>
    <row r="452" spans="1:7" ht="12" customHeight="1">
      <c r="A452" s="17" t="str">
        <f>Start.listina!U74</f>
        <v/>
      </c>
      <c r="B452" s="141" t="str">
        <f>Start.listina!V74</f>
        <v xml:space="preserve"> </v>
      </c>
      <c r="C452" s="17" t="str">
        <f>Start.listina!W74</f>
        <v xml:space="preserve"> </v>
      </c>
      <c r="D452" s="17" t="str">
        <f>Start.listina!X74</f>
        <v xml:space="preserve"> </v>
      </c>
      <c r="E452" s="17">
        <f>Start.listina!Y74</f>
        <v>9999</v>
      </c>
      <c r="F452" s="142">
        <f>Start.listina!Z74</f>
        <v>0</v>
      </c>
      <c r="G452" s="69"/>
    </row>
    <row r="453" spans="1:7" ht="12" customHeight="1">
      <c r="A453" s="17" t="str">
        <f>Start.listina!U75</f>
        <v/>
      </c>
      <c r="B453" s="141" t="str">
        <f>Start.listina!V75</f>
        <v xml:space="preserve"> </v>
      </c>
      <c r="C453" s="17" t="str">
        <f>Start.listina!W75</f>
        <v xml:space="preserve"> </v>
      </c>
      <c r="D453" s="17" t="str">
        <f>Start.listina!X75</f>
        <v xml:space="preserve"> </v>
      </c>
      <c r="E453" s="17">
        <f>Start.listina!Y75</f>
        <v>9999</v>
      </c>
      <c r="F453" s="142">
        <f>Start.listina!Z75</f>
        <v>0</v>
      </c>
      <c r="G453" s="69"/>
    </row>
    <row r="454" spans="1:7" ht="12" customHeight="1">
      <c r="A454" s="17" t="str">
        <f>Start.listina!U76</f>
        <v/>
      </c>
      <c r="B454" s="141" t="str">
        <f>Start.listina!V76</f>
        <v xml:space="preserve"> </v>
      </c>
      <c r="C454" s="17" t="str">
        <f>Start.listina!W76</f>
        <v xml:space="preserve"> </v>
      </c>
      <c r="D454" s="17" t="str">
        <f>Start.listina!X76</f>
        <v xml:space="preserve"> </v>
      </c>
      <c r="E454" s="17">
        <f>Start.listina!Y76</f>
        <v>9999</v>
      </c>
      <c r="F454" s="142">
        <f>Start.listina!Z76</f>
        <v>0</v>
      </c>
      <c r="G454" s="69"/>
    </row>
    <row r="455" spans="1:7" ht="12" customHeight="1">
      <c r="A455" s="17" t="str">
        <f>Start.listina!U77</f>
        <v/>
      </c>
      <c r="B455" s="141" t="str">
        <f>Start.listina!V77</f>
        <v xml:space="preserve"> </v>
      </c>
      <c r="C455" s="17" t="str">
        <f>Start.listina!W77</f>
        <v xml:space="preserve"> </v>
      </c>
      <c r="D455" s="17" t="str">
        <f>Start.listina!X77</f>
        <v xml:space="preserve"> </v>
      </c>
      <c r="E455" s="17">
        <f>Start.listina!Y77</f>
        <v>9999</v>
      </c>
      <c r="F455" s="142">
        <f>Start.listina!Z77</f>
        <v>0</v>
      </c>
      <c r="G455" s="69"/>
    </row>
    <row r="456" spans="1:7" ht="12" customHeight="1">
      <c r="A456" s="17" t="str">
        <f>Start.listina!U78</f>
        <v/>
      </c>
      <c r="B456" s="141" t="str">
        <f>Start.listina!V78</f>
        <v xml:space="preserve"> </v>
      </c>
      <c r="C456" s="17" t="str">
        <f>Start.listina!W78</f>
        <v xml:space="preserve"> </v>
      </c>
      <c r="D456" s="17" t="str">
        <f>Start.listina!X78</f>
        <v xml:space="preserve"> </v>
      </c>
      <c r="E456" s="17">
        <f>Start.listina!Y78</f>
        <v>9999</v>
      </c>
      <c r="F456" s="142">
        <f>Start.listina!Z78</f>
        <v>0</v>
      </c>
      <c r="G456" s="69"/>
    </row>
    <row r="457" spans="1:7" ht="12" customHeight="1">
      <c r="A457" s="17" t="str">
        <f>Start.listina!U79</f>
        <v/>
      </c>
      <c r="B457" s="141" t="str">
        <f>Start.listina!V79</f>
        <v xml:space="preserve"> </v>
      </c>
      <c r="C457" s="17" t="str">
        <f>Start.listina!W79</f>
        <v xml:space="preserve"> </v>
      </c>
      <c r="D457" s="17" t="str">
        <f>Start.listina!X79</f>
        <v xml:space="preserve"> </v>
      </c>
      <c r="E457" s="17">
        <f>Start.listina!Y79</f>
        <v>9999</v>
      </c>
      <c r="F457" s="142">
        <f>Start.listina!Z79</f>
        <v>0</v>
      </c>
      <c r="G457" s="69"/>
    </row>
    <row r="458" spans="1:7" ht="12" customHeight="1">
      <c r="A458" s="17" t="str">
        <f>Start.listina!U80</f>
        <v/>
      </c>
      <c r="B458" s="141" t="str">
        <f>Start.listina!V80</f>
        <v xml:space="preserve"> </v>
      </c>
      <c r="C458" s="17" t="str">
        <f>Start.listina!W80</f>
        <v xml:space="preserve"> </v>
      </c>
      <c r="D458" s="17" t="str">
        <f>Start.listina!X80</f>
        <v xml:space="preserve"> </v>
      </c>
      <c r="E458" s="17">
        <f>Start.listina!Y80</f>
        <v>9999</v>
      </c>
      <c r="F458" s="142">
        <f>Start.listina!Z80</f>
        <v>0</v>
      </c>
      <c r="G458" s="69"/>
    </row>
    <row r="459" spans="1:7" ht="12" customHeight="1">
      <c r="A459" s="17" t="str">
        <f>Start.listina!U81</f>
        <v/>
      </c>
      <c r="B459" s="141" t="str">
        <f>Start.listina!V81</f>
        <v xml:space="preserve"> </v>
      </c>
      <c r="C459" s="17" t="str">
        <f>Start.listina!W81</f>
        <v xml:space="preserve"> </v>
      </c>
      <c r="D459" s="17" t="str">
        <f>Start.listina!X81</f>
        <v xml:space="preserve"> </v>
      </c>
      <c r="E459" s="17">
        <f>Start.listina!Y81</f>
        <v>9999</v>
      </c>
      <c r="F459" s="142">
        <f>Start.listina!Z81</f>
        <v>0</v>
      </c>
      <c r="G459" s="69"/>
    </row>
    <row r="460" spans="1:7" ht="12" customHeight="1">
      <c r="A460" s="17" t="str">
        <f>Start.listina!U82</f>
        <v/>
      </c>
      <c r="B460" s="141" t="str">
        <f>Start.listina!V82</f>
        <v xml:space="preserve"> </v>
      </c>
      <c r="C460" s="17" t="str">
        <f>Start.listina!W82</f>
        <v xml:space="preserve"> </v>
      </c>
      <c r="D460" s="17" t="str">
        <f>Start.listina!X82</f>
        <v xml:space="preserve"> </v>
      </c>
      <c r="E460" s="17">
        <f>Start.listina!Y82</f>
        <v>9999</v>
      </c>
      <c r="F460" s="142">
        <f>Start.listina!Z82</f>
        <v>0</v>
      </c>
      <c r="G460" s="69"/>
    </row>
    <row r="461" spans="1:7" ht="12" customHeight="1">
      <c r="A461" s="17" t="str">
        <f>Start.listina!U83</f>
        <v/>
      </c>
      <c r="B461" s="141" t="str">
        <f>Start.listina!V83</f>
        <v xml:space="preserve"> </v>
      </c>
      <c r="C461" s="17" t="str">
        <f>Start.listina!W83</f>
        <v xml:space="preserve"> </v>
      </c>
      <c r="D461" s="17" t="str">
        <f>Start.listina!X83</f>
        <v xml:space="preserve"> </v>
      </c>
      <c r="E461" s="17">
        <f>Start.listina!Y83</f>
        <v>9999</v>
      </c>
      <c r="F461" s="142">
        <f>Start.listina!Z83</f>
        <v>0</v>
      </c>
      <c r="G461" s="69"/>
    </row>
    <row r="462" spans="1:7" ht="12" customHeight="1">
      <c r="A462" s="17" t="str">
        <f>Start.listina!U84</f>
        <v/>
      </c>
      <c r="B462" s="141" t="str">
        <f>Start.listina!V84</f>
        <v xml:space="preserve"> </v>
      </c>
      <c r="C462" s="17" t="str">
        <f>Start.listina!W84</f>
        <v xml:space="preserve"> </v>
      </c>
      <c r="D462" s="17" t="str">
        <f>Start.listina!X84</f>
        <v xml:space="preserve"> </v>
      </c>
      <c r="E462" s="17">
        <f>Start.listina!Y84</f>
        <v>9999</v>
      </c>
      <c r="F462" s="142">
        <f>Start.listina!Z84</f>
        <v>0</v>
      </c>
      <c r="G462" s="69"/>
    </row>
    <row r="463" spans="1:7" ht="12" customHeight="1">
      <c r="A463" s="17" t="str">
        <f>Start.listina!U85</f>
        <v/>
      </c>
      <c r="B463" s="141" t="str">
        <f>Start.listina!V85</f>
        <v xml:space="preserve"> </v>
      </c>
      <c r="C463" s="17" t="str">
        <f>Start.listina!W85</f>
        <v xml:space="preserve"> </v>
      </c>
      <c r="D463" s="17" t="str">
        <f>Start.listina!X85</f>
        <v xml:space="preserve"> </v>
      </c>
      <c r="E463" s="17">
        <f>Start.listina!Y85</f>
        <v>9999</v>
      </c>
      <c r="F463" s="142">
        <f>Start.listina!Z85</f>
        <v>0</v>
      </c>
      <c r="G463" s="69"/>
    </row>
    <row r="464" spans="1:7" ht="12" customHeight="1">
      <c r="A464" s="17" t="str">
        <f>Start.listina!U86</f>
        <v/>
      </c>
      <c r="B464" s="141" t="str">
        <f>Start.listina!V86</f>
        <v xml:space="preserve"> </v>
      </c>
      <c r="C464" s="17" t="str">
        <f>Start.listina!W86</f>
        <v xml:space="preserve"> </v>
      </c>
      <c r="D464" s="17" t="str">
        <f>Start.listina!X86</f>
        <v xml:space="preserve"> </v>
      </c>
      <c r="E464" s="17">
        <f>Start.listina!Y86</f>
        <v>9999</v>
      </c>
      <c r="F464" s="142">
        <f>Start.listina!Z86</f>
        <v>0</v>
      </c>
      <c r="G464" s="69"/>
    </row>
    <row r="465" spans="1:7" ht="12" customHeight="1">
      <c r="A465" s="17" t="str">
        <f>Start.listina!U87</f>
        <v/>
      </c>
      <c r="B465" s="141" t="str">
        <f>Start.listina!V87</f>
        <v xml:space="preserve"> </v>
      </c>
      <c r="C465" s="17" t="str">
        <f>Start.listina!W87</f>
        <v xml:space="preserve"> </v>
      </c>
      <c r="D465" s="17" t="str">
        <f>Start.listina!X87</f>
        <v xml:space="preserve"> </v>
      </c>
      <c r="E465" s="17">
        <f>Start.listina!Y87</f>
        <v>9999</v>
      </c>
      <c r="F465" s="142">
        <f>Start.listina!Z87</f>
        <v>0</v>
      </c>
      <c r="G465" s="69"/>
    </row>
    <row r="466" spans="1:7" ht="12" customHeight="1">
      <c r="A466" s="17" t="str">
        <f>Start.listina!U88</f>
        <v/>
      </c>
      <c r="B466" s="141" t="str">
        <f>Start.listina!V88</f>
        <v xml:space="preserve"> </v>
      </c>
      <c r="C466" s="17" t="str">
        <f>Start.listina!W88</f>
        <v xml:space="preserve"> </v>
      </c>
      <c r="D466" s="17" t="str">
        <f>Start.listina!X88</f>
        <v xml:space="preserve"> </v>
      </c>
      <c r="E466" s="17">
        <f>Start.listina!Y88</f>
        <v>9999</v>
      </c>
      <c r="F466" s="142">
        <f>Start.listina!Z88</f>
        <v>0</v>
      </c>
      <c r="G466" s="69"/>
    </row>
    <row r="467" spans="1:7" ht="12" customHeight="1">
      <c r="A467" s="17" t="str">
        <f>Start.listina!U89</f>
        <v/>
      </c>
      <c r="B467" s="141" t="str">
        <f>Start.listina!V89</f>
        <v xml:space="preserve"> </v>
      </c>
      <c r="C467" s="17" t="str">
        <f>Start.listina!W89</f>
        <v xml:space="preserve"> </v>
      </c>
      <c r="D467" s="17" t="str">
        <f>Start.listina!X89</f>
        <v xml:space="preserve"> </v>
      </c>
      <c r="E467" s="17">
        <f>Start.listina!Y89</f>
        <v>9999</v>
      </c>
      <c r="F467" s="142">
        <f>Start.listina!Z89</f>
        <v>0</v>
      </c>
      <c r="G467" s="69"/>
    </row>
    <row r="468" spans="1:7" ht="12" customHeight="1">
      <c r="A468" s="17" t="str">
        <f>Start.listina!U90</f>
        <v/>
      </c>
      <c r="B468" s="141" t="str">
        <f>Start.listina!V90</f>
        <v xml:space="preserve"> </v>
      </c>
      <c r="C468" s="17" t="str">
        <f>Start.listina!W90</f>
        <v xml:space="preserve"> </v>
      </c>
      <c r="D468" s="17" t="str">
        <f>Start.listina!X90</f>
        <v xml:space="preserve"> </v>
      </c>
      <c r="E468" s="17">
        <f>Start.listina!Y90</f>
        <v>9999</v>
      </c>
      <c r="F468" s="142">
        <f>Start.listina!Z90</f>
        <v>0</v>
      </c>
      <c r="G468" s="69"/>
    </row>
    <row r="469" spans="1:7" ht="12" customHeight="1">
      <c r="A469" s="17" t="str">
        <f>Start.listina!U91</f>
        <v/>
      </c>
      <c r="B469" s="141" t="str">
        <f>Start.listina!V91</f>
        <v xml:space="preserve"> </v>
      </c>
      <c r="C469" s="17" t="str">
        <f>Start.listina!W91</f>
        <v xml:space="preserve"> </v>
      </c>
      <c r="D469" s="17" t="str">
        <f>Start.listina!X91</f>
        <v xml:space="preserve"> </v>
      </c>
      <c r="E469" s="17">
        <f>Start.listina!Y91</f>
        <v>9999</v>
      </c>
      <c r="F469" s="142">
        <f>Start.listina!Z91</f>
        <v>0</v>
      </c>
      <c r="G469" s="69"/>
    </row>
    <row r="470" spans="1:7" ht="12" customHeight="1">
      <c r="A470" s="17" t="str">
        <f>Start.listina!U92</f>
        <v/>
      </c>
      <c r="B470" s="141" t="str">
        <f>Start.listina!V92</f>
        <v xml:space="preserve"> </v>
      </c>
      <c r="C470" s="17" t="str">
        <f>Start.listina!W92</f>
        <v xml:space="preserve"> </v>
      </c>
      <c r="D470" s="17" t="str">
        <f>Start.listina!X92</f>
        <v xml:space="preserve"> </v>
      </c>
      <c r="E470" s="17">
        <f>Start.listina!Y92</f>
        <v>9999</v>
      </c>
      <c r="F470" s="142">
        <f>Start.listina!Z92</f>
        <v>0</v>
      </c>
      <c r="G470" s="69"/>
    </row>
    <row r="471" spans="1:7" ht="12" customHeight="1">
      <c r="A471" s="17" t="str">
        <f>Start.listina!U93</f>
        <v/>
      </c>
      <c r="B471" s="141" t="str">
        <f>Start.listina!V93</f>
        <v xml:space="preserve"> </v>
      </c>
      <c r="C471" s="17" t="str">
        <f>Start.listina!W93</f>
        <v xml:space="preserve"> </v>
      </c>
      <c r="D471" s="17" t="str">
        <f>Start.listina!X93</f>
        <v xml:space="preserve"> </v>
      </c>
      <c r="E471" s="17">
        <f>Start.listina!Y93</f>
        <v>9999</v>
      </c>
      <c r="F471" s="142">
        <f>Start.listina!Z93</f>
        <v>0</v>
      </c>
      <c r="G471" s="69"/>
    </row>
    <row r="472" spans="1:7" ht="12" customHeight="1">
      <c r="A472" s="17" t="str">
        <f>Start.listina!U94</f>
        <v/>
      </c>
      <c r="B472" s="141" t="str">
        <f>Start.listina!V94</f>
        <v xml:space="preserve"> </v>
      </c>
      <c r="C472" s="17" t="str">
        <f>Start.listina!W94</f>
        <v xml:space="preserve"> </v>
      </c>
      <c r="D472" s="17" t="str">
        <f>Start.listina!X94</f>
        <v xml:space="preserve"> </v>
      </c>
      <c r="E472" s="17">
        <f>Start.listina!Y94</f>
        <v>9999</v>
      </c>
      <c r="F472" s="142">
        <f>Start.listina!Z94</f>
        <v>0</v>
      </c>
      <c r="G472" s="69"/>
    </row>
    <row r="473" spans="1:7" ht="12" customHeight="1">
      <c r="A473" s="17" t="str">
        <f>Start.listina!U95</f>
        <v/>
      </c>
      <c r="B473" s="141" t="str">
        <f>Start.listina!V95</f>
        <v xml:space="preserve"> </v>
      </c>
      <c r="C473" s="17" t="str">
        <f>Start.listina!W95</f>
        <v xml:space="preserve"> </v>
      </c>
      <c r="D473" s="17" t="str">
        <f>Start.listina!X95</f>
        <v xml:space="preserve"> </v>
      </c>
      <c r="E473" s="17">
        <f>Start.listina!Y95</f>
        <v>9999</v>
      </c>
      <c r="F473" s="142">
        <f>Start.listina!Z95</f>
        <v>0</v>
      </c>
      <c r="G473" s="69"/>
    </row>
    <row r="474" spans="1:7" ht="12" customHeight="1">
      <c r="A474" s="17" t="str">
        <f>Start.listina!U96</f>
        <v/>
      </c>
      <c r="B474" s="141" t="str">
        <f>Start.listina!V96</f>
        <v xml:space="preserve"> </v>
      </c>
      <c r="C474" s="17" t="str">
        <f>Start.listina!W96</f>
        <v xml:space="preserve"> </v>
      </c>
      <c r="D474" s="17" t="str">
        <f>Start.listina!X96</f>
        <v xml:space="preserve"> </v>
      </c>
      <c r="E474" s="17">
        <f>Start.listina!Y96</f>
        <v>9999</v>
      </c>
      <c r="F474" s="142">
        <f>Start.listina!Z96</f>
        <v>0</v>
      </c>
      <c r="G474" s="69"/>
    </row>
    <row r="475" spans="1:7" ht="12" customHeight="1">
      <c r="A475" s="17" t="str">
        <f>Start.listina!U97</f>
        <v/>
      </c>
      <c r="B475" s="141" t="str">
        <f>Start.listina!V97</f>
        <v xml:space="preserve"> </v>
      </c>
      <c r="C475" s="17" t="str">
        <f>Start.listina!W97</f>
        <v xml:space="preserve"> </v>
      </c>
      <c r="D475" s="17" t="str">
        <f>Start.listina!X97</f>
        <v xml:space="preserve"> </v>
      </c>
      <c r="E475" s="17">
        <f>Start.listina!Y97</f>
        <v>9999</v>
      </c>
      <c r="F475" s="142">
        <f>Start.listina!Z97</f>
        <v>0</v>
      </c>
      <c r="G475" s="69"/>
    </row>
    <row r="476" spans="1:7" ht="12" customHeight="1">
      <c r="A476" s="17" t="str">
        <f>Start.listina!U98</f>
        <v/>
      </c>
      <c r="B476" s="141" t="str">
        <f>Start.listina!V98</f>
        <v xml:space="preserve"> </v>
      </c>
      <c r="C476" s="17" t="str">
        <f>Start.listina!W98</f>
        <v xml:space="preserve"> </v>
      </c>
      <c r="D476" s="17" t="str">
        <f>Start.listina!X98</f>
        <v xml:space="preserve"> </v>
      </c>
      <c r="E476" s="17">
        <f>Start.listina!Y98</f>
        <v>9999</v>
      </c>
      <c r="F476" s="142">
        <f>Start.listina!Z98</f>
        <v>0</v>
      </c>
      <c r="G476" s="69"/>
    </row>
    <row r="477" spans="1:7" ht="12" customHeight="1">
      <c r="A477" s="17" t="str">
        <f>Start.listina!U99</f>
        <v/>
      </c>
      <c r="B477" s="141" t="str">
        <f>Start.listina!V99</f>
        <v xml:space="preserve"> </v>
      </c>
      <c r="C477" s="17" t="str">
        <f>Start.listina!W99</f>
        <v xml:space="preserve"> </v>
      </c>
      <c r="D477" s="17" t="str">
        <f>Start.listina!X99</f>
        <v xml:space="preserve"> </v>
      </c>
      <c r="E477" s="17">
        <f>Start.listina!Y99</f>
        <v>9999</v>
      </c>
      <c r="F477" s="142">
        <f>Start.listina!Z99</f>
        <v>0</v>
      </c>
      <c r="G477" s="69"/>
    </row>
    <row r="478" spans="1:7" ht="12" customHeight="1">
      <c r="A478" s="17" t="str">
        <f>Start.listina!U100</f>
        <v/>
      </c>
      <c r="B478" s="141" t="str">
        <f>Start.listina!V100</f>
        <v xml:space="preserve"> </v>
      </c>
      <c r="C478" s="17" t="str">
        <f>Start.listina!W100</f>
        <v xml:space="preserve"> </v>
      </c>
      <c r="D478" s="17" t="str">
        <f>Start.listina!X100</f>
        <v xml:space="preserve"> </v>
      </c>
      <c r="E478" s="17">
        <f>Start.listina!Y100</f>
        <v>9999</v>
      </c>
      <c r="F478" s="142">
        <f>Start.listina!Z100</f>
        <v>0</v>
      </c>
      <c r="G478" s="69"/>
    </row>
    <row r="479" spans="1:7" ht="12" customHeight="1">
      <c r="A479" s="17" t="str">
        <f>Start.listina!U101</f>
        <v/>
      </c>
      <c r="B479" s="141" t="str">
        <f>Start.listina!V101</f>
        <v xml:space="preserve"> </v>
      </c>
      <c r="C479" s="17" t="str">
        <f>Start.listina!W101</f>
        <v xml:space="preserve"> </v>
      </c>
      <c r="D479" s="17" t="str">
        <f>Start.listina!X101</f>
        <v xml:space="preserve"> </v>
      </c>
      <c r="E479" s="17">
        <f>Start.listina!Y101</f>
        <v>9999</v>
      </c>
      <c r="F479" s="142">
        <f>Start.listina!Z101</f>
        <v>0</v>
      </c>
      <c r="G479" s="69"/>
    </row>
    <row r="480" spans="1:7" ht="12" customHeight="1">
      <c r="A480" s="17" t="str">
        <f>Start.listina!U102</f>
        <v/>
      </c>
      <c r="B480" s="141" t="str">
        <f>Start.listina!V102</f>
        <v xml:space="preserve"> </v>
      </c>
      <c r="C480" s="17" t="str">
        <f>Start.listina!W102</f>
        <v xml:space="preserve"> </v>
      </c>
      <c r="D480" s="17" t="str">
        <f>Start.listina!X102</f>
        <v xml:space="preserve"> </v>
      </c>
      <c r="E480" s="17">
        <f>Start.listina!Y102</f>
        <v>9999</v>
      </c>
      <c r="F480" s="142">
        <f>Start.listina!Z102</f>
        <v>0</v>
      </c>
      <c r="G480" s="69"/>
    </row>
    <row r="481" spans="1:7" ht="12" customHeight="1">
      <c r="A481" s="17" t="str">
        <f>Start.listina!U103</f>
        <v/>
      </c>
      <c r="B481" s="141" t="str">
        <f>Start.listina!V103</f>
        <v xml:space="preserve"> </v>
      </c>
      <c r="C481" s="17" t="str">
        <f>Start.listina!W103</f>
        <v xml:space="preserve"> </v>
      </c>
      <c r="D481" s="17" t="str">
        <f>Start.listina!X103</f>
        <v xml:space="preserve"> </v>
      </c>
      <c r="E481" s="17">
        <f>Start.listina!Y103</f>
        <v>9999</v>
      </c>
      <c r="F481" s="142">
        <f>Start.listina!Z103</f>
        <v>0</v>
      </c>
      <c r="G481" s="69"/>
    </row>
    <row r="482" spans="1:7" ht="12" customHeight="1">
      <c r="A482" s="17" t="str">
        <f>Start.listina!U104</f>
        <v/>
      </c>
      <c r="B482" s="141" t="str">
        <f>Start.listina!V104</f>
        <v xml:space="preserve"> </v>
      </c>
      <c r="C482" s="17" t="str">
        <f>Start.listina!W104</f>
        <v xml:space="preserve"> </v>
      </c>
      <c r="D482" s="17" t="str">
        <f>Start.listina!X104</f>
        <v xml:space="preserve"> </v>
      </c>
      <c r="E482" s="17">
        <f>Start.listina!Y104</f>
        <v>9999</v>
      </c>
      <c r="F482" s="142">
        <f>Start.listina!Z104</f>
        <v>0</v>
      </c>
      <c r="G482" s="69"/>
    </row>
    <row r="483" spans="1:7" ht="12" customHeight="1">
      <c r="A483" s="17" t="str">
        <f>Start.listina!U105</f>
        <v/>
      </c>
      <c r="B483" s="141" t="str">
        <f>Start.listina!V105</f>
        <v xml:space="preserve"> </v>
      </c>
      <c r="C483" s="17" t="str">
        <f>Start.listina!W105</f>
        <v xml:space="preserve"> </v>
      </c>
      <c r="D483" s="17" t="str">
        <f>Start.listina!X105</f>
        <v xml:space="preserve"> </v>
      </c>
      <c r="E483" s="17">
        <f>Start.listina!Y105</f>
        <v>9999</v>
      </c>
      <c r="F483" s="142">
        <f>Start.listina!Z105</f>
        <v>0</v>
      </c>
      <c r="G483" s="69"/>
    </row>
    <row r="484" spans="1:7" ht="12" customHeight="1">
      <c r="A484" s="17" t="str">
        <f>Start.listina!U106</f>
        <v/>
      </c>
      <c r="B484" s="141" t="str">
        <f>Start.listina!V106</f>
        <v xml:space="preserve"> </v>
      </c>
      <c r="C484" s="17" t="str">
        <f>Start.listina!W106</f>
        <v xml:space="preserve"> </v>
      </c>
      <c r="D484" s="17" t="str">
        <f>Start.listina!X106</f>
        <v xml:space="preserve"> </v>
      </c>
      <c r="E484" s="17">
        <f>Start.listina!Y106</f>
        <v>9999</v>
      </c>
      <c r="F484" s="142">
        <f>Start.listina!Z106</f>
        <v>0</v>
      </c>
      <c r="G484" s="69"/>
    </row>
    <row r="485" spans="1:7" ht="12" customHeight="1">
      <c r="A485" s="17" t="str">
        <f>Start.listina!U107</f>
        <v/>
      </c>
      <c r="B485" s="141" t="str">
        <f>Start.listina!V107</f>
        <v xml:space="preserve"> </v>
      </c>
      <c r="C485" s="17" t="str">
        <f>Start.listina!W107</f>
        <v xml:space="preserve"> </v>
      </c>
      <c r="D485" s="17" t="str">
        <f>Start.listina!X107</f>
        <v xml:space="preserve"> </v>
      </c>
      <c r="E485" s="17">
        <f>Start.listina!Y107</f>
        <v>9999</v>
      </c>
      <c r="F485" s="142">
        <f>Start.listina!Z107</f>
        <v>0</v>
      </c>
      <c r="G485" s="69"/>
    </row>
    <row r="486" spans="1:7" ht="12" customHeight="1">
      <c r="A486" s="17" t="str">
        <f>Start.listina!U108</f>
        <v/>
      </c>
      <c r="B486" s="141" t="str">
        <f>Start.listina!V108</f>
        <v xml:space="preserve"> </v>
      </c>
      <c r="C486" s="17" t="str">
        <f>Start.listina!W108</f>
        <v xml:space="preserve"> </v>
      </c>
      <c r="D486" s="17" t="str">
        <f>Start.listina!X108</f>
        <v xml:space="preserve"> </v>
      </c>
      <c r="E486" s="17">
        <f>Start.listina!Y108</f>
        <v>9999</v>
      </c>
      <c r="F486" s="142">
        <f>Start.listina!Z108</f>
        <v>0</v>
      </c>
      <c r="G486" s="69"/>
    </row>
    <row r="487" spans="1:7" ht="12" customHeight="1">
      <c r="A487" s="17" t="str">
        <f>Start.listina!U109</f>
        <v/>
      </c>
      <c r="B487" s="141" t="str">
        <f>Start.listina!V109</f>
        <v xml:space="preserve"> </v>
      </c>
      <c r="C487" s="17" t="str">
        <f>Start.listina!W109</f>
        <v xml:space="preserve"> </v>
      </c>
      <c r="D487" s="17" t="str">
        <f>Start.listina!X109</f>
        <v xml:space="preserve"> </v>
      </c>
      <c r="E487" s="17">
        <f>Start.listina!Y109</f>
        <v>9999</v>
      </c>
      <c r="F487" s="142">
        <f>Start.listina!Z109</f>
        <v>0</v>
      </c>
      <c r="G487" s="69"/>
    </row>
    <row r="488" spans="1:7" ht="12" customHeight="1">
      <c r="A488" s="17" t="str">
        <f>Start.listina!U110</f>
        <v/>
      </c>
      <c r="B488" s="141" t="str">
        <f>Start.listina!V110</f>
        <v xml:space="preserve"> </v>
      </c>
      <c r="C488" s="17" t="str">
        <f>Start.listina!W110</f>
        <v xml:space="preserve"> </v>
      </c>
      <c r="D488" s="17" t="str">
        <f>Start.listina!X110</f>
        <v xml:space="preserve"> </v>
      </c>
      <c r="E488" s="17">
        <f>Start.listina!Y110</f>
        <v>9999</v>
      </c>
      <c r="F488" s="142">
        <f>Start.listina!Z110</f>
        <v>0</v>
      </c>
      <c r="G488" s="69"/>
    </row>
    <row r="489" spans="1:7" ht="12" customHeight="1">
      <c r="A489" s="17" t="str">
        <f>Start.listina!U111</f>
        <v/>
      </c>
      <c r="B489" s="141" t="str">
        <f>Start.listina!V111</f>
        <v xml:space="preserve"> </v>
      </c>
      <c r="C489" s="17" t="str">
        <f>Start.listina!W111</f>
        <v xml:space="preserve"> </v>
      </c>
      <c r="D489" s="17" t="str">
        <f>Start.listina!X111</f>
        <v xml:space="preserve"> </v>
      </c>
      <c r="E489" s="17">
        <f>Start.listina!Y111</f>
        <v>9999</v>
      </c>
      <c r="F489" s="142">
        <f>Start.listina!Z111</f>
        <v>0</v>
      </c>
      <c r="G489" s="69"/>
    </row>
    <row r="490" spans="1:7" ht="12" customHeight="1">
      <c r="A490" s="17" t="str">
        <f>Start.listina!U112</f>
        <v/>
      </c>
      <c r="B490" s="141" t="str">
        <f>Start.listina!V112</f>
        <v xml:space="preserve"> </v>
      </c>
      <c r="C490" s="17" t="str">
        <f>Start.listina!W112</f>
        <v xml:space="preserve"> </v>
      </c>
      <c r="D490" s="17" t="str">
        <f>Start.listina!X112</f>
        <v xml:space="preserve"> </v>
      </c>
      <c r="E490" s="17">
        <f>Start.listina!Y112</f>
        <v>9999</v>
      </c>
      <c r="F490" s="142">
        <f>Start.listina!Z112</f>
        <v>0</v>
      </c>
      <c r="G490" s="69"/>
    </row>
    <row r="491" spans="1:7" ht="12" customHeight="1">
      <c r="A491" s="17" t="str">
        <f>Start.listina!U113</f>
        <v/>
      </c>
      <c r="B491" s="141" t="str">
        <f>Start.listina!V113</f>
        <v xml:space="preserve"> </v>
      </c>
      <c r="C491" s="17" t="str">
        <f>Start.listina!W113</f>
        <v xml:space="preserve"> </v>
      </c>
      <c r="D491" s="17" t="str">
        <f>Start.listina!X113</f>
        <v xml:space="preserve"> </v>
      </c>
      <c r="E491" s="17">
        <f>Start.listina!Y113</f>
        <v>9999</v>
      </c>
      <c r="F491" s="142">
        <f>Start.listina!Z113</f>
        <v>0</v>
      </c>
      <c r="G491" s="69"/>
    </row>
    <row r="492" spans="1:7" ht="12" customHeight="1">
      <c r="A492" s="17" t="str">
        <f>Start.listina!U114</f>
        <v/>
      </c>
      <c r="B492" s="141" t="str">
        <f>Start.listina!V114</f>
        <v xml:space="preserve"> </v>
      </c>
      <c r="C492" s="17" t="str">
        <f>Start.listina!W114</f>
        <v xml:space="preserve"> </v>
      </c>
      <c r="D492" s="17" t="str">
        <f>Start.listina!X114</f>
        <v xml:space="preserve"> </v>
      </c>
      <c r="E492" s="17">
        <f>Start.listina!Y114</f>
        <v>9999</v>
      </c>
      <c r="F492" s="142">
        <f>Start.listina!Z114</f>
        <v>0</v>
      </c>
      <c r="G492" s="69"/>
    </row>
    <row r="493" spans="1:7" ht="12" customHeight="1">
      <c r="A493" s="17" t="str">
        <f>Start.listina!U115</f>
        <v/>
      </c>
      <c r="B493" s="141" t="str">
        <f>Start.listina!V115</f>
        <v xml:space="preserve"> </v>
      </c>
      <c r="C493" s="17" t="str">
        <f>Start.listina!W115</f>
        <v xml:space="preserve"> </v>
      </c>
      <c r="D493" s="17" t="str">
        <f>Start.listina!X115</f>
        <v xml:space="preserve"> </v>
      </c>
      <c r="E493" s="17">
        <f>Start.listina!Y115</f>
        <v>9999</v>
      </c>
      <c r="F493" s="142">
        <f>Start.listina!Z115</f>
        <v>0</v>
      </c>
      <c r="G493" s="69"/>
    </row>
    <row r="494" spans="1:7" ht="12" customHeight="1">
      <c r="A494" s="17" t="str">
        <f>Start.listina!U116</f>
        <v/>
      </c>
      <c r="B494" s="141" t="str">
        <f>Start.listina!V116</f>
        <v xml:space="preserve"> </v>
      </c>
      <c r="C494" s="17" t="str">
        <f>Start.listina!W116</f>
        <v xml:space="preserve"> </v>
      </c>
      <c r="D494" s="17" t="str">
        <f>Start.listina!X116</f>
        <v xml:space="preserve"> </v>
      </c>
      <c r="E494" s="17">
        <f>Start.listina!Y116</f>
        <v>9999</v>
      </c>
      <c r="F494" s="142">
        <f>Start.listina!Z116</f>
        <v>0</v>
      </c>
      <c r="G494" s="69"/>
    </row>
    <row r="495" spans="1:7" ht="12" customHeight="1">
      <c r="A495" s="17" t="str">
        <f>Start.listina!U117</f>
        <v/>
      </c>
      <c r="B495" s="141" t="str">
        <f>Start.listina!V117</f>
        <v xml:space="preserve"> </v>
      </c>
      <c r="C495" s="17" t="str">
        <f>Start.listina!W117</f>
        <v xml:space="preserve"> </v>
      </c>
      <c r="D495" s="17" t="str">
        <f>Start.listina!X117</f>
        <v xml:space="preserve"> </v>
      </c>
      <c r="E495" s="17">
        <f>Start.listina!Y117</f>
        <v>9999</v>
      </c>
      <c r="F495" s="142">
        <f>Start.listina!Z117</f>
        <v>0</v>
      </c>
      <c r="G495" s="69"/>
    </row>
    <row r="496" spans="1:7" ht="12" customHeight="1">
      <c r="A496" s="17" t="str">
        <f>Start.listina!U118</f>
        <v/>
      </c>
      <c r="B496" s="141" t="str">
        <f>Start.listina!V118</f>
        <v xml:space="preserve"> </v>
      </c>
      <c r="C496" s="17" t="str">
        <f>Start.listina!W118</f>
        <v xml:space="preserve"> </v>
      </c>
      <c r="D496" s="17" t="str">
        <f>Start.listina!X118</f>
        <v xml:space="preserve"> </v>
      </c>
      <c r="E496" s="17">
        <f>Start.listina!Y118</f>
        <v>9999</v>
      </c>
      <c r="F496" s="142">
        <f>Start.listina!Z118</f>
        <v>0</v>
      </c>
      <c r="G496" s="69"/>
    </row>
    <row r="497" spans="1:7" ht="12" customHeight="1">
      <c r="A497" s="17" t="str">
        <f>Start.listina!U119</f>
        <v/>
      </c>
      <c r="B497" s="141" t="str">
        <f>Start.listina!V119</f>
        <v xml:space="preserve"> </v>
      </c>
      <c r="C497" s="17" t="str">
        <f>Start.listina!W119</f>
        <v xml:space="preserve"> </v>
      </c>
      <c r="D497" s="17" t="str">
        <f>Start.listina!X119</f>
        <v xml:space="preserve"> </v>
      </c>
      <c r="E497" s="17">
        <f>Start.listina!Y119</f>
        <v>9999</v>
      </c>
      <c r="F497" s="142">
        <f>Start.listina!Z119</f>
        <v>0</v>
      </c>
      <c r="G497" s="69"/>
    </row>
    <row r="498" spans="1:7" ht="12" customHeight="1">
      <c r="A498" s="17" t="str">
        <f>Start.listina!U120</f>
        <v/>
      </c>
      <c r="B498" s="141" t="str">
        <f>Start.listina!V120</f>
        <v xml:space="preserve"> </v>
      </c>
      <c r="C498" s="17" t="str">
        <f>Start.listina!W120</f>
        <v xml:space="preserve"> </v>
      </c>
      <c r="D498" s="17" t="str">
        <f>Start.listina!X120</f>
        <v xml:space="preserve"> </v>
      </c>
      <c r="E498" s="17">
        <f>Start.listina!Y120</f>
        <v>9999</v>
      </c>
      <c r="F498" s="142">
        <f>Start.listina!Z120</f>
        <v>0</v>
      </c>
      <c r="G498" s="69"/>
    </row>
    <row r="499" spans="1:7" ht="12" customHeight="1">
      <c r="A499" s="17" t="str">
        <f>Start.listina!U121</f>
        <v/>
      </c>
      <c r="B499" s="141" t="str">
        <f>Start.listina!V121</f>
        <v xml:space="preserve"> </v>
      </c>
      <c r="C499" s="17" t="str">
        <f>Start.listina!W121</f>
        <v xml:space="preserve"> </v>
      </c>
      <c r="D499" s="17" t="str">
        <f>Start.listina!X121</f>
        <v xml:space="preserve"> </v>
      </c>
      <c r="E499" s="17">
        <f>Start.listina!Y121</f>
        <v>9999</v>
      </c>
      <c r="F499" s="142">
        <f>Start.listina!Z121</f>
        <v>0</v>
      </c>
      <c r="G499" s="69"/>
    </row>
    <row r="500" spans="1:7" ht="12" customHeight="1">
      <c r="A500" s="17" t="str">
        <f>Start.listina!U122</f>
        <v/>
      </c>
      <c r="B500" s="141" t="str">
        <f>Start.listina!V122</f>
        <v xml:space="preserve"> </v>
      </c>
      <c r="C500" s="17" t="str">
        <f>Start.listina!W122</f>
        <v xml:space="preserve"> </v>
      </c>
      <c r="D500" s="17" t="str">
        <f>Start.listina!X122</f>
        <v xml:space="preserve"> </v>
      </c>
      <c r="E500" s="17">
        <f>Start.listina!Y122</f>
        <v>9999</v>
      </c>
      <c r="F500" s="142">
        <f>Start.listina!Z122</f>
        <v>0</v>
      </c>
    </row>
    <row r="501" spans="1:7" ht="12" customHeight="1">
      <c r="A501" s="17" t="str">
        <f>Start.listina!U123</f>
        <v/>
      </c>
      <c r="B501" s="141" t="str">
        <f>Start.listina!V123</f>
        <v xml:space="preserve"> </v>
      </c>
      <c r="C501" s="17" t="str">
        <f>Start.listina!W123</f>
        <v xml:space="preserve"> </v>
      </c>
      <c r="D501" s="17" t="str">
        <f>Start.listina!X123</f>
        <v xml:space="preserve"> </v>
      </c>
      <c r="E501" s="17">
        <f>Start.listina!Y123</f>
        <v>9999</v>
      </c>
      <c r="F501" s="142">
        <f>Start.listina!Z123</f>
        <v>0</v>
      </c>
    </row>
    <row r="502" spans="1:7" ht="12" customHeight="1">
      <c r="A502" s="17" t="str">
        <f>Start.listina!U124</f>
        <v/>
      </c>
      <c r="B502" s="141" t="str">
        <f>Start.listina!V124</f>
        <v xml:space="preserve"> </v>
      </c>
      <c r="C502" s="17" t="str">
        <f>Start.listina!W124</f>
        <v xml:space="preserve"> </v>
      </c>
      <c r="D502" s="17" t="str">
        <f>Start.listina!X124</f>
        <v xml:space="preserve"> </v>
      </c>
      <c r="E502" s="17">
        <f>Start.listina!Y124</f>
        <v>9999</v>
      </c>
      <c r="F502" s="142">
        <f>Start.listina!Z124</f>
        <v>0</v>
      </c>
    </row>
    <row r="503" spans="1:7" ht="12" customHeight="1">
      <c r="A503" s="17" t="str">
        <f>Start.listina!U125</f>
        <v/>
      </c>
      <c r="B503" s="141" t="str">
        <f>Start.listina!V125</f>
        <v xml:space="preserve"> </v>
      </c>
      <c r="C503" s="17" t="str">
        <f>Start.listina!W125</f>
        <v xml:space="preserve"> </v>
      </c>
      <c r="D503" s="17" t="str">
        <f>Start.listina!X125</f>
        <v xml:space="preserve"> </v>
      </c>
      <c r="E503" s="17">
        <f>Start.listina!Y125</f>
        <v>9999</v>
      </c>
      <c r="F503" s="142">
        <f>Start.listina!Z125</f>
        <v>0</v>
      </c>
    </row>
    <row r="504" spans="1:7" ht="12" customHeight="1">
      <c r="A504" s="17" t="str">
        <f>Start.listina!U126</f>
        <v/>
      </c>
      <c r="B504" s="141" t="str">
        <f>Start.listina!V126</f>
        <v xml:space="preserve"> </v>
      </c>
      <c r="C504" s="17" t="str">
        <f>Start.listina!W126</f>
        <v xml:space="preserve"> </v>
      </c>
      <c r="D504" s="17" t="str">
        <f>Start.listina!X126</f>
        <v xml:space="preserve"> </v>
      </c>
      <c r="E504" s="17">
        <f>Start.listina!Y126</f>
        <v>9999</v>
      </c>
      <c r="F504" s="142">
        <f>Start.listina!Z126</f>
        <v>0</v>
      </c>
    </row>
    <row r="505" spans="1:7" ht="12" customHeight="1">
      <c r="A505" s="17" t="str">
        <f>Start.listina!U127</f>
        <v/>
      </c>
      <c r="B505" s="141" t="str">
        <f>Start.listina!V127</f>
        <v xml:space="preserve"> </v>
      </c>
      <c r="C505" s="17" t="str">
        <f>Start.listina!W127</f>
        <v xml:space="preserve"> </v>
      </c>
      <c r="D505" s="17" t="str">
        <f>Start.listina!X127</f>
        <v xml:space="preserve"> </v>
      </c>
      <c r="E505" s="17">
        <f>Start.listina!Y127</f>
        <v>9999</v>
      </c>
      <c r="F505" s="142">
        <f>Start.listina!Z127</f>
        <v>0</v>
      </c>
    </row>
    <row r="506" spans="1:7" ht="12" customHeight="1">
      <c r="A506" s="17" t="str">
        <f>Start.listina!U128</f>
        <v/>
      </c>
      <c r="B506" s="141" t="str">
        <f>Start.listina!V128</f>
        <v xml:space="preserve"> </v>
      </c>
      <c r="C506" s="17" t="str">
        <f>Start.listina!W128</f>
        <v xml:space="preserve"> </v>
      </c>
      <c r="D506" s="17" t="str">
        <f>Start.listina!X128</f>
        <v xml:space="preserve"> </v>
      </c>
      <c r="E506" s="17">
        <f>Start.listina!Y128</f>
        <v>9999</v>
      </c>
      <c r="F506" s="142">
        <f>Start.listina!Z128</f>
        <v>0</v>
      </c>
    </row>
    <row r="507" spans="1:7" ht="12" customHeight="1">
      <c r="A507" s="17" t="str">
        <f>Start.listina!U129</f>
        <v/>
      </c>
      <c r="B507" s="141" t="str">
        <f>Start.listina!V129</f>
        <v xml:space="preserve"> </v>
      </c>
      <c r="C507" s="17" t="str">
        <f>Start.listina!W129</f>
        <v xml:space="preserve"> </v>
      </c>
      <c r="D507" s="17" t="str">
        <f>Start.listina!X129</f>
        <v xml:space="preserve"> </v>
      </c>
      <c r="E507" s="17">
        <f>Start.listina!Y129</f>
        <v>9999</v>
      </c>
      <c r="F507" s="142">
        <f>Start.listina!Z129</f>
        <v>0</v>
      </c>
    </row>
    <row r="508" spans="1:7" ht="12" customHeight="1">
      <c r="A508" s="17" t="str">
        <f>Start.listina!U130</f>
        <v/>
      </c>
      <c r="B508" s="141" t="str">
        <f>Start.listina!V130</f>
        <v xml:space="preserve"> </v>
      </c>
      <c r="C508" s="17" t="str">
        <f>Start.listina!W130</f>
        <v xml:space="preserve"> </v>
      </c>
      <c r="D508" s="17" t="str">
        <f>Start.listina!X130</f>
        <v xml:space="preserve"> </v>
      </c>
      <c r="E508" s="17">
        <f>Start.listina!Y130</f>
        <v>9999</v>
      </c>
      <c r="F508" s="142">
        <f>Start.listina!Z130</f>
        <v>0</v>
      </c>
    </row>
    <row r="509" spans="1:7" ht="12" customHeight="1">
      <c r="A509" s="17" t="str">
        <f>Start.listina!U131</f>
        <v/>
      </c>
      <c r="B509" s="141" t="str">
        <f>Start.listina!V131</f>
        <v xml:space="preserve"> </v>
      </c>
      <c r="C509" s="17" t="str">
        <f>Start.listina!W131</f>
        <v xml:space="preserve"> </v>
      </c>
      <c r="D509" s="17" t="str">
        <f>Start.listina!X131</f>
        <v xml:space="preserve"> </v>
      </c>
      <c r="E509" s="17">
        <f>Start.listina!Y131</f>
        <v>9999</v>
      </c>
      <c r="F509" s="142">
        <f>Start.listina!Z131</f>
        <v>0</v>
      </c>
    </row>
    <row r="510" spans="1:7" ht="12" customHeight="1">
      <c r="A510" s="17" t="str">
        <f>Start.listina!U132</f>
        <v/>
      </c>
      <c r="B510" s="141" t="str">
        <f>Start.listina!V132</f>
        <v xml:space="preserve"> </v>
      </c>
      <c r="C510" s="17" t="str">
        <f>Start.listina!W132</f>
        <v xml:space="preserve"> </v>
      </c>
      <c r="D510" s="17" t="str">
        <f>Start.listina!X132</f>
        <v xml:space="preserve"> </v>
      </c>
      <c r="E510" s="17">
        <f>Start.listina!Y132</f>
        <v>9999</v>
      </c>
      <c r="F510" s="142">
        <f>Start.listina!Z132</f>
        <v>0</v>
      </c>
    </row>
    <row r="511" spans="1:7" ht="12" customHeight="1">
      <c r="A511" s="17" t="str">
        <f>Start.listina!U133</f>
        <v/>
      </c>
      <c r="B511" s="141" t="str">
        <f>Start.listina!V133</f>
        <v xml:space="preserve"> </v>
      </c>
      <c r="C511" s="17" t="str">
        <f>Start.listina!W133</f>
        <v xml:space="preserve"> </v>
      </c>
      <c r="D511" s="17" t="str">
        <f>Start.listina!X133</f>
        <v xml:space="preserve"> </v>
      </c>
      <c r="E511" s="17">
        <f>Start.listina!Y133</f>
        <v>9999</v>
      </c>
      <c r="F511" s="142">
        <f>Start.listina!Z133</f>
        <v>0</v>
      </c>
    </row>
    <row r="512" spans="1:7" ht="12" customHeight="1">
      <c r="A512" s="17" t="str">
        <f>Start.listina!U134</f>
        <v/>
      </c>
      <c r="B512" s="141" t="str">
        <f>Start.listina!V134</f>
        <v xml:space="preserve"> </v>
      </c>
      <c r="C512" s="17" t="str">
        <f>Start.listina!W134</f>
        <v xml:space="preserve"> </v>
      </c>
      <c r="D512" s="17" t="str">
        <f>Start.listina!X134</f>
        <v xml:space="preserve"> </v>
      </c>
      <c r="E512" s="17">
        <f>Start.listina!Y134</f>
        <v>9999</v>
      </c>
      <c r="F512" s="142">
        <f>Start.listina!Z134</f>
        <v>0</v>
      </c>
    </row>
    <row r="513" spans="1:6" ht="12" customHeight="1">
      <c r="A513" s="17" t="str">
        <f>Start.listina!U135</f>
        <v/>
      </c>
      <c r="B513" s="141" t="str">
        <f>Start.listina!V135</f>
        <v xml:space="preserve"> </v>
      </c>
      <c r="C513" s="17" t="str">
        <f>Start.listina!W135</f>
        <v xml:space="preserve"> </v>
      </c>
      <c r="D513" s="17" t="str">
        <f>Start.listina!X135</f>
        <v xml:space="preserve"> </v>
      </c>
      <c r="E513" s="17">
        <f>Start.listina!Y135</f>
        <v>9999</v>
      </c>
      <c r="F513" s="142">
        <f>Start.listina!Z135</f>
        <v>0</v>
      </c>
    </row>
    <row r="514" spans="1:6" ht="12" customHeight="1">
      <c r="A514" s="17" t="str">
        <f>Start.listina!U136</f>
        <v/>
      </c>
      <c r="B514" s="141" t="str">
        <f>Start.listina!V136</f>
        <v xml:space="preserve"> </v>
      </c>
      <c r="C514" s="17" t="str">
        <f>Start.listina!W136</f>
        <v xml:space="preserve"> </v>
      </c>
      <c r="D514" s="17" t="str">
        <f>Start.listina!X136</f>
        <v xml:space="preserve"> </v>
      </c>
      <c r="E514" s="17">
        <f>Start.listina!Y136</f>
        <v>9999</v>
      </c>
      <c r="F514" s="142">
        <f>Start.listina!Z136</f>
        <v>0</v>
      </c>
    </row>
    <row r="515" spans="1:6" ht="12" customHeight="1">
      <c r="A515" s="17" t="str">
        <f>Start.listina!U137</f>
        <v/>
      </c>
      <c r="B515" s="141" t="str">
        <f>Start.listina!V137</f>
        <v xml:space="preserve"> </v>
      </c>
      <c r="C515" s="17" t="str">
        <f>Start.listina!W137</f>
        <v xml:space="preserve"> </v>
      </c>
      <c r="D515" s="17" t="str">
        <f>Start.listina!X137</f>
        <v xml:space="preserve"> </v>
      </c>
      <c r="E515" s="17">
        <f>Start.listina!Y137</f>
        <v>9999</v>
      </c>
      <c r="F515" s="142">
        <f>Start.listina!Z137</f>
        <v>0</v>
      </c>
    </row>
    <row r="516" spans="1:6" ht="12" customHeight="1">
      <c r="A516" s="17" t="str">
        <f>Start.listina!U138</f>
        <v/>
      </c>
      <c r="B516" s="141" t="str">
        <f>Start.listina!V138</f>
        <v xml:space="preserve"> </v>
      </c>
      <c r="C516" s="17" t="str">
        <f>Start.listina!W138</f>
        <v xml:space="preserve"> </v>
      </c>
      <c r="D516" s="17" t="str">
        <f>Start.listina!X138</f>
        <v xml:space="preserve"> </v>
      </c>
      <c r="E516" s="17">
        <f>Start.listina!Y138</f>
        <v>9999</v>
      </c>
      <c r="F516" s="142">
        <f>Start.listina!Z138</f>
        <v>0</v>
      </c>
    </row>
    <row r="517" spans="1:6" ht="12" customHeight="1">
      <c r="A517" s="17" t="str">
        <f>Start.listina!U139</f>
        <v/>
      </c>
      <c r="B517" s="141" t="str">
        <f>Start.listina!V139</f>
        <v xml:space="preserve"> </v>
      </c>
      <c r="C517" s="17" t="str">
        <f>Start.listina!W139</f>
        <v xml:space="preserve"> </v>
      </c>
      <c r="D517" s="17" t="str">
        <f>Start.listina!X139</f>
        <v xml:space="preserve"> </v>
      </c>
      <c r="E517" s="17">
        <f>Start.listina!Y139</f>
        <v>9999</v>
      </c>
      <c r="F517" s="142">
        <f>Start.listina!Z139</f>
        <v>0</v>
      </c>
    </row>
    <row r="518" spans="1:6" ht="12" customHeight="1">
      <c r="A518" s="17" t="str">
        <f>Start.listina!U140</f>
        <v/>
      </c>
      <c r="B518" s="141" t="str">
        <f>Start.listina!V140</f>
        <v xml:space="preserve"> </v>
      </c>
      <c r="C518" s="17" t="str">
        <f>Start.listina!W140</f>
        <v xml:space="preserve"> </v>
      </c>
      <c r="D518" s="17" t="str">
        <f>Start.listina!X140</f>
        <v xml:space="preserve"> </v>
      </c>
      <c r="E518" s="17">
        <f>Start.listina!Y140</f>
        <v>9999</v>
      </c>
      <c r="F518" s="142">
        <f>Start.listina!Z140</f>
        <v>0</v>
      </c>
    </row>
    <row r="519" spans="1:6" ht="12" customHeight="1">
      <c r="A519" s="17" t="str">
        <f>Start.listina!U141</f>
        <v/>
      </c>
      <c r="B519" s="141" t="str">
        <f>Start.listina!V141</f>
        <v xml:space="preserve"> </v>
      </c>
      <c r="C519" s="17" t="str">
        <f>Start.listina!W141</f>
        <v xml:space="preserve"> </v>
      </c>
      <c r="D519" s="17" t="str">
        <f>Start.listina!X141</f>
        <v xml:space="preserve"> </v>
      </c>
      <c r="E519" s="17">
        <f>Start.listina!Y141</f>
        <v>9999</v>
      </c>
      <c r="F519" s="142">
        <f>Start.listina!Z141</f>
        <v>0</v>
      </c>
    </row>
    <row r="520" spans="1:6" ht="12" customHeight="1">
      <c r="A520" s="17" t="str">
        <f>Start.listina!U142</f>
        <v/>
      </c>
      <c r="B520" s="141" t="str">
        <f>Start.listina!V142</f>
        <v xml:space="preserve"> </v>
      </c>
      <c r="C520" s="17" t="str">
        <f>Start.listina!W142</f>
        <v xml:space="preserve"> </v>
      </c>
      <c r="D520" s="17" t="str">
        <f>Start.listina!X142</f>
        <v xml:space="preserve"> </v>
      </c>
      <c r="E520" s="17">
        <f>Start.listina!Y142</f>
        <v>9999</v>
      </c>
      <c r="F520" s="142">
        <f>Start.listina!Z142</f>
        <v>0</v>
      </c>
    </row>
    <row r="521" spans="1:6" ht="12" customHeight="1">
      <c r="A521" s="17" t="str">
        <f>Start.listina!U143</f>
        <v/>
      </c>
      <c r="B521" s="141" t="str">
        <f>Start.listina!V143</f>
        <v xml:space="preserve"> </v>
      </c>
      <c r="C521" s="17" t="str">
        <f>Start.listina!W143</f>
        <v xml:space="preserve"> </v>
      </c>
      <c r="D521" s="17" t="str">
        <f>Start.listina!X143</f>
        <v xml:space="preserve"> </v>
      </c>
      <c r="E521" s="17">
        <f>Start.listina!Y143</f>
        <v>9999</v>
      </c>
      <c r="F521" s="142">
        <f>Start.listina!Z143</f>
        <v>0</v>
      </c>
    </row>
    <row r="522" spans="1:6" ht="12" customHeight="1">
      <c r="A522" s="17" t="str">
        <f>Start.listina!U144</f>
        <v/>
      </c>
      <c r="B522" s="141" t="str">
        <f>Start.listina!V144</f>
        <v xml:space="preserve"> </v>
      </c>
      <c r="C522" s="17" t="str">
        <f>Start.listina!W144</f>
        <v xml:space="preserve"> </v>
      </c>
      <c r="D522" s="17" t="str">
        <f>Start.listina!X144</f>
        <v xml:space="preserve"> </v>
      </c>
      <c r="E522" s="17">
        <f>Start.listina!Y144</f>
        <v>9999</v>
      </c>
      <c r="F522" s="142">
        <f>Start.listina!Z144</f>
        <v>0</v>
      </c>
    </row>
    <row r="523" spans="1:6" ht="12" customHeight="1">
      <c r="A523" s="17" t="str">
        <f>Start.listina!U145</f>
        <v/>
      </c>
      <c r="B523" s="141" t="str">
        <f>Start.listina!V145</f>
        <v xml:space="preserve"> </v>
      </c>
      <c r="C523" s="17" t="str">
        <f>Start.listina!W145</f>
        <v xml:space="preserve"> </v>
      </c>
      <c r="D523" s="17" t="str">
        <f>Start.listina!X145</f>
        <v xml:space="preserve"> </v>
      </c>
      <c r="E523" s="17">
        <f>Start.listina!Y145</f>
        <v>9999</v>
      </c>
      <c r="F523" s="142">
        <f>Start.listina!Z145</f>
        <v>0</v>
      </c>
    </row>
    <row r="524" spans="1:6" ht="12" customHeight="1">
      <c r="A524" s="17" t="str">
        <f>Start.listina!U146</f>
        <v/>
      </c>
      <c r="B524" s="141" t="str">
        <f>Start.listina!V146</f>
        <v xml:space="preserve"> </v>
      </c>
      <c r="C524" s="17" t="str">
        <f>Start.listina!W146</f>
        <v xml:space="preserve"> </v>
      </c>
      <c r="D524" s="17" t="str">
        <f>Start.listina!X146</f>
        <v xml:space="preserve"> </v>
      </c>
      <c r="E524" s="17">
        <f>Start.listina!Y146</f>
        <v>9999</v>
      </c>
      <c r="F524" s="142">
        <f>Start.listina!Z146</f>
        <v>0</v>
      </c>
    </row>
    <row r="525" spans="1:6" ht="12" customHeight="1">
      <c r="A525" s="17" t="str">
        <f>Start.listina!U147</f>
        <v/>
      </c>
      <c r="B525" s="141" t="str">
        <f>Start.listina!V147</f>
        <v xml:space="preserve"> </v>
      </c>
      <c r="C525" s="17" t="str">
        <f>Start.listina!W147</f>
        <v xml:space="preserve"> </v>
      </c>
      <c r="D525" s="17" t="str">
        <f>Start.listina!X147</f>
        <v xml:space="preserve"> </v>
      </c>
      <c r="E525" s="17">
        <f>Start.listina!Y147</f>
        <v>9999</v>
      </c>
      <c r="F525" s="142">
        <f>Start.listina!Z147</f>
        <v>0</v>
      </c>
    </row>
    <row r="526" spans="1:6" ht="12" customHeight="1">
      <c r="A526" s="17" t="str">
        <f>Start.listina!U148</f>
        <v/>
      </c>
      <c r="B526" s="141" t="str">
        <f>Start.listina!V148</f>
        <v xml:space="preserve"> </v>
      </c>
      <c r="C526" s="17" t="str">
        <f>Start.listina!W148</f>
        <v xml:space="preserve"> </v>
      </c>
      <c r="D526" s="17" t="str">
        <f>Start.listina!X148</f>
        <v xml:space="preserve"> </v>
      </c>
      <c r="E526" s="17">
        <f>Start.listina!Y148</f>
        <v>9999</v>
      </c>
      <c r="F526" s="142">
        <f>Start.listina!Z148</f>
        <v>0</v>
      </c>
    </row>
    <row r="527" spans="1:6" ht="12" customHeight="1">
      <c r="A527" s="17" t="str">
        <f>Start.listina!U149</f>
        <v/>
      </c>
      <c r="B527" s="141" t="str">
        <f>Start.listina!V149</f>
        <v xml:space="preserve"> </v>
      </c>
      <c r="C527" s="17" t="str">
        <f>Start.listina!W149</f>
        <v xml:space="preserve"> </v>
      </c>
      <c r="D527" s="17" t="str">
        <f>Start.listina!X149</f>
        <v xml:space="preserve"> </v>
      </c>
      <c r="E527" s="17">
        <f>Start.listina!Y149</f>
        <v>9999</v>
      </c>
      <c r="F527" s="142">
        <f>Start.listina!Z149</f>
        <v>0</v>
      </c>
    </row>
    <row r="528" spans="1:6" ht="12" customHeight="1">
      <c r="A528" s="17" t="str">
        <f>Start.listina!U150</f>
        <v/>
      </c>
      <c r="B528" s="141" t="str">
        <f>Start.listina!V150</f>
        <v xml:space="preserve"> </v>
      </c>
      <c r="C528" s="17" t="str">
        <f>Start.listina!W150</f>
        <v xml:space="preserve"> </v>
      </c>
      <c r="D528" s="17" t="str">
        <f>Start.listina!X150</f>
        <v xml:space="preserve"> </v>
      </c>
      <c r="E528" s="17">
        <f>Start.listina!Y150</f>
        <v>9999</v>
      </c>
      <c r="F528" s="142">
        <f>Start.listina!Z150</f>
        <v>0</v>
      </c>
    </row>
    <row r="529" spans="1:6" ht="12" customHeight="1">
      <c r="A529" s="17" t="str">
        <f>Start.listina!U151</f>
        <v/>
      </c>
      <c r="B529" s="141" t="str">
        <f>Start.listina!V151</f>
        <v xml:space="preserve"> </v>
      </c>
      <c r="C529" s="17" t="str">
        <f>Start.listina!W151</f>
        <v xml:space="preserve"> </v>
      </c>
      <c r="D529" s="17" t="str">
        <f>Start.listina!X151</f>
        <v xml:space="preserve"> </v>
      </c>
      <c r="E529" s="17">
        <f>Start.listina!Y151</f>
        <v>9999</v>
      </c>
      <c r="F529" s="142">
        <f>Start.listina!Z151</f>
        <v>0</v>
      </c>
    </row>
    <row r="530" spans="1:6" ht="12" customHeight="1">
      <c r="A530" s="17" t="str">
        <f>Start.listina!U152</f>
        <v/>
      </c>
      <c r="B530" s="141" t="str">
        <f>Start.listina!V152</f>
        <v xml:space="preserve"> </v>
      </c>
      <c r="C530" s="17" t="str">
        <f>Start.listina!W152</f>
        <v xml:space="preserve"> </v>
      </c>
      <c r="D530" s="17" t="str">
        <f>Start.listina!X152</f>
        <v xml:space="preserve"> </v>
      </c>
      <c r="E530" s="17">
        <f>Start.listina!Y152</f>
        <v>9999</v>
      </c>
      <c r="F530" s="142">
        <f>Start.listina!Z152</f>
        <v>0</v>
      </c>
    </row>
    <row r="531" spans="1:6" ht="12" customHeight="1">
      <c r="A531" s="17" t="str">
        <f>Start.listina!U153</f>
        <v/>
      </c>
      <c r="B531" s="141" t="str">
        <f>Start.listina!V153</f>
        <v xml:space="preserve"> </v>
      </c>
      <c r="C531" s="17" t="str">
        <f>Start.listina!W153</f>
        <v xml:space="preserve"> </v>
      </c>
      <c r="D531" s="17" t="str">
        <f>Start.listina!X153</f>
        <v xml:space="preserve"> </v>
      </c>
      <c r="E531" s="17">
        <f>Start.listina!Y153</f>
        <v>9999</v>
      </c>
      <c r="F531" s="142">
        <f>Start.listina!Z153</f>
        <v>0</v>
      </c>
    </row>
    <row r="532" spans="1:6" ht="12" customHeight="1">
      <c r="A532" s="17" t="str">
        <f>Start.listina!U154</f>
        <v/>
      </c>
      <c r="B532" s="141" t="str">
        <f>Start.listina!V154</f>
        <v xml:space="preserve"> </v>
      </c>
      <c r="C532" s="17" t="str">
        <f>Start.listina!W154</f>
        <v xml:space="preserve"> </v>
      </c>
      <c r="D532" s="17" t="str">
        <f>Start.listina!X154</f>
        <v xml:space="preserve"> </v>
      </c>
      <c r="E532" s="17">
        <f>Start.listina!Y154</f>
        <v>9999</v>
      </c>
      <c r="F532" s="142">
        <f>Start.listina!Z154</f>
        <v>0</v>
      </c>
    </row>
    <row r="533" spans="1:6" ht="12" customHeight="1">
      <c r="A533" s="17" t="str">
        <f>Start.listina!U155</f>
        <v/>
      </c>
      <c r="B533" s="141" t="str">
        <f>Start.listina!V155</f>
        <v xml:space="preserve"> </v>
      </c>
      <c r="C533" s="17" t="str">
        <f>Start.listina!W155</f>
        <v xml:space="preserve"> </v>
      </c>
      <c r="D533" s="17" t="str">
        <f>Start.listina!X155</f>
        <v xml:space="preserve"> </v>
      </c>
      <c r="E533" s="17">
        <f>Start.listina!Y155</f>
        <v>9999</v>
      </c>
      <c r="F533" s="142">
        <f>Start.listina!Z155</f>
        <v>0</v>
      </c>
    </row>
    <row r="534" spans="1:6" ht="12" customHeight="1">
      <c r="A534" s="17" t="str">
        <f>Start.listina!U156</f>
        <v/>
      </c>
      <c r="B534" s="141" t="str">
        <f>Start.listina!V156</f>
        <v xml:space="preserve"> </v>
      </c>
      <c r="C534" s="17" t="str">
        <f>Start.listina!W156</f>
        <v xml:space="preserve"> </v>
      </c>
      <c r="D534" s="17" t="str">
        <f>Start.listina!X156</f>
        <v xml:space="preserve"> </v>
      </c>
      <c r="E534" s="17">
        <f>Start.listina!Y156</f>
        <v>9999</v>
      </c>
      <c r="F534" s="142">
        <f>Start.listina!Z156</f>
        <v>0</v>
      </c>
    </row>
    <row r="535" spans="1:6" ht="12" customHeight="1">
      <c r="A535" s="17" t="str">
        <f>Start.listina!U157</f>
        <v/>
      </c>
      <c r="B535" s="141" t="str">
        <f>Start.listina!V157</f>
        <v xml:space="preserve"> </v>
      </c>
      <c r="C535" s="17" t="str">
        <f>Start.listina!W157</f>
        <v xml:space="preserve"> </v>
      </c>
      <c r="D535" s="17" t="str">
        <f>Start.listina!X157</f>
        <v xml:space="preserve"> </v>
      </c>
      <c r="E535" s="17">
        <f>Start.listina!Y157</f>
        <v>9999</v>
      </c>
      <c r="F535" s="142">
        <f>Start.listina!Z157</f>
        <v>0</v>
      </c>
    </row>
    <row r="536" spans="1:6" ht="12" customHeight="1">
      <c r="A536" s="17" t="str">
        <f>Start.listina!U158</f>
        <v/>
      </c>
      <c r="B536" s="141" t="str">
        <f>Start.listina!V158</f>
        <v xml:space="preserve"> </v>
      </c>
      <c r="C536" s="17" t="str">
        <f>Start.listina!W158</f>
        <v xml:space="preserve"> </v>
      </c>
      <c r="D536" s="17" t="str">
        <f>Start.listina!X158</f>
        <v xml:space="preserve"> </v>
      </c>
      <c r="E536" s="17">
        <f>Start.listina!Y158</f>
        <v>9999</v>
      </c>
      <c r="F536" s="142">
        <f>Start.listina!Z158</f>
        <v>0</v>
      </c>
    </row>
    <row r="537" spans="1:6" ht="12" customHeight="1">
      <c r="A537" s="17" t="str">
        <f>Start.listina!U159</f>
        <v/>
      </c>
      <c r="B537" s="141" t="str">
        <f>Start.listina!V159</f>
        <v xml:space="preserve"> </v>
      </c>
      <c r="C537" s="17" t="str">
        <f>Start.listina!W159</f>
        <v xml:space="preserve"> </v>
      </c>
      <c r="D537" s="17" t="str">
        <f>Start.listina!X159</f>
        <v xml:space="preserve"> </v>
      </c>
      <c r="E537" s="17">
        <f>Start.listina!Y159</f>
        <v>9999</v>
      </c>
      <c r="F537" s="142">
        <f>Start.listina!Z159</f>
        <v>0</v>
      </c>
    </row>
    <row r="538" spans="1:6" ht="12" customHeight="1">
      <c r="A538" s="17" t="str">
        <f>Start.listina!U160</f>
        <v/>
      </c>
      <c r="B538" s="141" t="str">
        <f>Start.listina!V160</f>
        <v xml:space="preserve"> </v>
      </c>
      <c r="C538" s="17" t="str">
        <f>Start.listina!W160</f>
        <v xml:space="preserve"> </v>
      </c>
      <c r="D538" s="17" t="str">
        <f>Start.listina!X160</f>
        <v xml:space="preserve"> </v>
      </c>
      <c r="E538" s="17">
        <f>Start.listina!Y160</f>
        <v>9999</v>
      </c>
      <c r="F538" s="142">
        <f>Start.listina!Z160</f>
        <v>0</v>
      </c>
    </row>
    <row r="539" spans="1:6" ht="12" customHeight="1">
      <c r="A539" s="17" t="str">
        <f>Start.listina!U161</f>
        <v/>
      </c>
      <c r="B539" s="141" t="str">
        <f>Start.listina!V161</f>
        <v xml:space="preserve"> </v>
      </c>
      <c r="C539" s="17" t="str">
        <f>Start.listina!W161</f>
        <v xml:space="preserve"> </v>
      </c>
      <c r="D539" s="17" t="str">
        <f>Start.listina!X161</f>
        <v xml:space="preserve"> </v>
      </c>
      <c r="E539" s="17">
        <f>Start.listina!Y161</f>
        <v>9999</v>
      </c>
      <c r="F539" s="142">
        <f>Start.listina!Z161</f>
        <v>0</v>
      </c>
    </row>
    <row r="540" spans="1:6" ht="12" customHeight="1">
      <c r="A540" s="17" t="str">
        <f>Start.listina!U162</f>
        <v/>
      </c>
      <c r="B540" s="141" t="str">
        <f>Start.listina!V162</f>
        <v xml:space="preserve"> </v>
      </c>
      <c r="C540" s="17" t="str">
        <f>Start.listina!W162</f>
        <v xml:space="preserve"> </v>
      </c>
      <c r="D540" s="17" t="str">
        <f>Start.listina!X162</f>
        <v xml:space="preserve"> </v>
      </c>
      <c r="E540" s="17">
        <f>Start.listina!Y162</f>
        <v>9999</v>
      </c>
      <c r="F540" s="142">
        <f>Start.listina!Z162</f>
        <v>0</v>
      </c>
    </row>
    <row r="541" spans="1:6" ht="12" customHeight="1">
      <c r="A541" s="17" t="str">
        <f>Start.listina!U163</f>
        <v/>
      </c>
      <c r="B541" s="141" t="str">
        <f>Start.listina!V163</f>
        <v xml:space="preserve"> </v>
      </c>
      <c r="C541" s="17" t="str">
        <f>Start.listina!W163</f>
        <v xml:space="preserve"> </v>
      </c>
      <c r="D541" s="17" t="str">
        <f>Start.listina!X163</f>
        <v xml:space="preserve"> </v>
      </c>
      <c r="E541" s="17">
        <f>Start.listina!Y163</f>
        <v>9999</v>
      </c>
      <c r="F541" s="142">
        <f>Start.listina!Z163</f>
        <v>0</v>
      </c>
    </row>
    <row r="542" spans="1:6" ht="12" customHeight="1">
      <c r="A542" s="17" t="str">
        <f>Start.listina!U164</f>
        <v/>
      </c>
      <c r="B542" s="141" t="str">
        <f>Start.listina!V164</f>
        <v xml:space="preserve"> </v>
      </c>
      <c r="C542" s="17" t="str">
        <f>Start.listina!W164</f>
        <v xml:space="preserve"> </v>
      </c>
      <c r="D542" s="17" t="str">
        <f>Start.listina!X164</f>
        <v xml:space="preserve"> </v>
      </c>
      <c r="E542" s="17">
        <f>Start.listina!Y164</f>
        <v>9999</v>
      </c>
      <c r="F542" s="142">
        <f>Start.listina!Z164</f>
        <v>0</v>
      </c>
    </row>
    <row r="543" spans="1:6" ht="12" customHeight="1">
      <c r="A543" s="17" t="str">
        <f>Start.listina!U165</f>
        <v/>
      </c>
      <c r="B543" s="141" t="str">
        <f>Start.listina!V165</f>
        <v xml:space="preserve"> </v>
      </c>
      <c r="C543" s="17" t="str">
        <f>Start.listina!W165</f>
        <v xml:space="preserve"> </v>
      </c>
      <c r="D543" s="17" t="str">
        <f>Start.listina!X165</f>
        <v xml:space="preserve"> </v>
      </c>
      <c r="E543" s="17">
        <f>Start.listina!Y165</f>
        <v>9999</v>
      </c>
      <c r="F543" s="142">
        <f>Start.listina!Z165</f>
        <v>0</v>
      </c>
    </row>
    <row r="544" spans="1:6" ht="12" customHeight="1">
      <c r="A544" s="17" t="str">
        <f>Start.listina!U166</f>
        <v/>
      </c>
      <c r="B544" s="141" t="str">
        <f>Start.listina!V166</f>
        <v xml:space="preserve"> </v>
      </c>
      <c r="C544" s="17" t="str">
        <f>Start.listina!W166</f>
        <v xml:space="preserve"> </v>
      </c>
      <c r="D544" s="17" t="str">
        <f>Start.listina!X166</f>
        <v xml:space="preserve"> </v>
      </c>
      <c r="E544" s="17">
        <f>Start.listina!Y166</f>
        <v>9999</v>
      </c>
      <c r="F544" s="142">
        <f>Start.listina!Z166</f>
        <v>0</v>
      </c>
    </row>
    <row r="545" spans="1:6" ht="12" customHeight="1">
      <c r="A545" s="17" t="str">
        <f>Start.listina!U167</f>
        <v/>
      </c>
      <c r="B545" s="141" t="str">
        <f>Start.listina!V167</f>
        <v xml:space="preserve"> </v>
      </c>
      <c r="C545" s="17" t="str">
        <f>Start.listina!W167</f>
        <v xml:space="preserve"> </v>
      </c>
      <c r="D545" s="17" t="str">
        <f>Start.listina!X167</f>
        <v xml:space="preserve"> </v>
      </c>
      <c r="E545" s="17">
        <f>Start.listina!Y167</f>
        <v>9999</v>
      </c>
      <c r="F545" s="142">
        <f>Start.listina!Z167</f>
        <v>0</v>
      </c>
    </row>
    <row r="546" spans="1:6" ht="12" customHeight="1">
      <c r="A546" s="17" t="str">
        <f>Start.listina!U168</f>
        <v/>
      </c>
      <c r="B546" s="141" t="str">
        <f>Start.listina!V168</f>
        <v xml:space="preserve"> </v>
      </c>
      <c r="C546" s="17" t="str">
        <f>Start.listina!W168</f>
        <v xml:space="preserve"> </v>
      </c>
      <c r="D546" s="17" t="str">
        <f>Start.listina!X168</f>
        <v xml:space="preserve"> </v>
      </c>
      <c r="E546" s="17">
        <f>Start.listina!Y168</f>
        <v>9999</v>
      </c>
      <c r="F546" s="142">
        <f>Start.listina!Z168</f>
        <v>0</v>
      </c>
    </row>
    <row r="547" spans="1:6" ht="12" customHeight="1">
      <c r="A547" s="17" t="str">
        <f>Start.listina!U169</f>
        <v/>
      </c>
      <c r="B547" s="141" t="str">
        <f>Start.listina!V169</f>
        <v xml:space="preserve"> </v>
      </c>
      <c r="C547" s="17" t="str">
        <f>Start.listina!W169</f>
        <v xml:space="preserve"> </v>
      </c>
      <c r="D547" s="17" t="str">
        <f>Start.listina!X169</f>
        <v xml:space="preserve"> </v>
      </c>
      <c r="E547" s="17">
        <f>Start.listina!Y169</f>
        <v>9999</v>
      </c>
      <c r="F547" s="142">
        <f>Start.listina!Z169</f>
        <v>0</v>
      </c>
    </row>
    <row r="548" spans="1:6" ht="12" customHeight="1">
      <c r="A548" s="17" t="str">
        <f>Start.listina!U170</f>
        <v/>
      </c>
      <c r="B548" s="141" t="str">
        <f>Start.listina!V170</f>
        <v xml:space="preserve"> </v>
      </c>
      <c r="C548" s="17" t="str">
        <f>Start.listina!W170</f>
        <v xml:space="preserve"> </v>
      </c>
      <c r="D548" s="17" t="str">
        <f>Start.listina!X170</f>
        <v xml:space="preserve"> </v>
      </c>
      <c r="E548" s="17">
        <f>Start.listina!Y170</f>
        <v>9999</v>
      </c>
      <c r="F548" s="142">
        <f>Start.listina!Z170</f>
        <v>0</v>
      </c>
    </row>
    <row r="549" spans="1:6" ht="12" customHeight="1">
      <c r="A549" s="17" t="str">
        <f>Start.listina!U171</f>
        <v/>
      </c>
      <c r="B549" s="141" t="str">
        <f>Start.listina!V171</f>
        <v xml:space="preserve"> </v>
      </c>
      <c r="C549" s="17" t="str">
        <f>Start.listina!W171</f>
        <v xml:space="preserve"> </v>
      </c>
      <c r="D549" s="17" t="str">
        <f>Start.listina!X171</f>
        <v xml:space="preserve"> </v>
      </c>
      <c r="E549" s="17">
        <f>Start.listina!Y171</f>
        <v>9999</v>
      </c>
      <c r="F549" s="142">
        <f>Start.listina!Z171</f>
        <v>0</v>
      </c>
    </row>
    <row r="550" spans="1:6" ht="12" customHeight="1">
      <c r="A550" s="17" t="str">
        <f>Start.listina!U172</f>
        <v/>
      </c>
      <c r="B550" s="141" t="str">
        <f>Start.listina!V172</f>
        <v xml:space="preserve"> </v>
      </c>
      <c r="C550" s="17" t="str">
        <f>Start.listina!W172</f>
        <v xml:space="preserve"> </v>
      </c>
      <c r="D550" s="17" t="str">
        <f>Start.listina!X172</f>
        <v xml:space="preserve"> </v>
      </c>
      <c r="E550" s="17">
        <f>Start.listina!Y172</f>
        <v>9999</v>
      </c>
      <c r="F550" s="142">
        <f>Start.listina!Z172</f>
        <v>0</v>
      </c>
    </row>
    <row r="551" spans="1:6" ht="12" customHeight="1">
      <c r="A551" s="17" t="str">
        <f>Start.listina!U173</f>
        <v/>
      </c>
      <c r="B551" s="141" t="str">
        <f>Start.listina!V173</f>
        <v xml:space="preserve"> </v>
      </c>
      <c r="C551" s="17" t="str">
        <f>Start.listina!W173</f>
        <v xml:space="preserve"> </v>
      </c>
      <c r="D551" s="17" t="str">
        <f>Start.listina!X173</f>
        <v xml:space="preserve"> </v>
      </c>
      <c r="E551" s="17">
        <f>Start.listina!Y173</f>
        <v>9999</v>
      </c>
      <c r="F551" s="142">
        <f>Start.listina!Z173</f>
        <v>0</v>
      </c>
    </row>
    <row r="552" spans="1:6" ht="12" customHeight="1">
      <c r="A552" s="17" t="str">
        <f>Start.listina!U174</f>
        <v/>
      </c>
      <c r="B552" s="141" t="str">
        <f>Start.listina!V174</f>
        <v xml:space="preserve"> </v>
      </c>
      <c r="C552" s="17" t="str">
        <f>Start.listina!W174</f>
        <v xml:space="preserve"> </v>
      </c>
      <c r="D552" s="17" t="str">
        <f>Start.listina!X174</f>
        <v xml:space="preserve"> </v>
      </c>
      <c r="E552" s="17">
        <f>Start.listina!Y174</f>
        <v>9999</v>
      </c>
      <c r="F552" s="142">
        <f>Start.listina!Z174</f>
        <v>0</v>
      </c>
    </row>
    <row r="553" spans="1:6" ht="12" customHeight="1">
      <c r="A553" s="17" t="str">
        <f>Start.listina!U175</f>
        <v/>
      </c>
      <c r="B553" s="141" t="str">
        <f>Start.listina!V175</f>
        <v xml:space="preserve"> </v>
      </c>
      <c r="C553" s="17" t="str">
        <f>Start.listina!W175</f>
        <v xml:space="preserve"> </v>
      </c>
      <c r="D553" s="17" t="str">
        <f>Start.listina!X175</f>
        <v xml:space="preserve"> </v>
      </c>
      <c r="E553" s="17">
        <f>Start.listina!Y175</f>
        <v>9999</v>
      </c>
      <c r="F553" s="142">
        <f>Start.listina!Z175</f>
        <v>0</v>
      </c>
    </row>
    <row r="554" spans="1:6" ht="12" customHeight="1">
      <c r="A554" s="17" t="str">
        <f>Start.listina!U176</f>
        <v/>
      </c>
      <c r="B554" s="141" t="str">
        <f>Start.listina!V176</f>
        <v xml:space="preserve"> </v>
      </c>
      <c r="C554" s="17" t="str">
        <f>Start.listina!W176</f>
        <v xml:space="preserve"> </v>
      </c>
      <c r="D554" s="17" t="str">
        <f>Start.listina!X176</f>
        <v xml:space="preserve"> </v>
      </c>
      <c r="E554" s="17">
        <f>Start.listina!Y176</f>
        <v>9999</v>
      </c>
      <c r="F554" s="142">
        <f>Start.listina!Z176</f>
        <v>0</v>
      </c>
    </row>
    <row r="555" spans="1:6" ht="12" customHeight="1">
      <c r="A555" s="17" t="str">
        <f>Start.listina!U177</f>
        <v/>
      </c>
      <c r="B555" s="141" t="str">
        <f>Start.listina!V177</f>
        <v xml:space="preserve"> </v>
      </c>
      <c r="C555" s="17" t="str">
        <f>Start.listina!W177</f>
        <v xml:space="preserve"> </v>
      </c>
      <c r="D555" s="17" t="str">
        <f>Start.listina!X177</f>
        <v xml:space="preserve"> </v>
      </c>
      <c r="E555" s="17">
        <f>Start.listina!Y177</f>
        <v>9999</v>
      </c>
      <c r="F555" s="142">
        <f>Start.listina!Z177</f>
        <v>0</v>
      </c>
    </row>
    <row r="556" spans="1:6" ht="12" customHeight="1">
      <c r="A556" s="17" t="str">
        <f>Start.listina!U178</f>
        <v/>
      </c>
      <c r="B556" s="141" t="str">
        <f>Start.listina!V178</f>
        <v xml:space="preserve"> </v>
      </c>
      <c r="C556" s="17" t="str">
        <f>Start.listina!W178</f>
        <v xml:space="preserve"> </v>
      </c>
      <c r="D556" s="17" t="str">
        <f>Start.listina!X178</f>
        <v xml:space="preserve"> </v>
      </c>
      <c r="E556" s="17">
        <f>Start.listina!Y178</f>
        <v>9999</v>
      </c>
      <c r="F556" s="142">
        <f>Start.listina!Z178</f>
        <v>0</v>
      </c>
    </row>
    <row r="557" spans="1:6" ht="12" customHeight="1">
      <c r="A557" s="17" t="str">
        <f>Start.listina!U179</f>
        <v/>
      </c>
      <c r="B557" s="141" t="str">
        <f>Start.listina!V179</f>
        <v xml:space="preserve"> </v>
      </c>
      <c r="C557" s="17" t="str">
        <f>Start.listina!W179</f>
        <v xml:space="preserve"> </v>
      </c>
      <c r="D557" s="17" t="str">
        <f>Start.listina!X179</f>
        <v xml:space="preserve"> </v>
      </c>
      <c r="E557" s="17">
        <f>Start.listina!Y179</f>
        <v>9999</v>
      </c>
      <c r="F557" s="142">
        <f>Start.listina!Z179</f>
        <v>0</v>
      </c>
    </row>
    <row r="558" spans="1:6" ht="12" customHeight="1">
      <c r="A558" s="17" t="str">
        <f>Start.listina!U180</f>
        <v/>
      </c>
      <c r="B558" s="141" t="str">
        <f>Start.listina!V180</f>
        <v xml:space="preserve"> </v>
      </c>
      <c r="C558" s="17" t="str">
        <f>Start.listina!W180</f>
        <v xml:space="preserve"> </v>
      </c>
      <c r="D558" s="17" t="str">
        <f>Start.listina!X180</f>
        <v xml:space="preserve"> </v>
      </c>
      <c r="E558" s="17">
        <f>Start.listina!Y180</f>
        <v>9999</v>
      </c>
      <c r="F558" s="142">
        <f>Start.listina!Z180</f>
        <v>0</v>
      </c>
    </row>
    <row r="559" spans="1:6" ht="12" customHeight="1">
      <c r="A559" s="17" t="str">
        <f>Start.listina!U181</f>
        <v/>
      </c>
      <c r="B559" s="141" t="str">
        <f>Start.listina!V181</f>
        <v xml:space="preserve"> </v>
      </c>
      <c r="C559" s="17" t="str">
        <f>Start.listina!W181</f>
        <v xml:space="preserve"> </v>
      </c>
      <c r="D559" s="17" t="str">
        <f>Start.listina!X181</f>
        <v xml:space="preserve"> </v>
      </c>
      <c r="E559" s="17">
        <f>Start.listina!Y181</f>
        <v>9999</v>
      </c>
      <c r="F559" s="142">
        <f>Start.listina!Z181</f>
        <v>0</v>
      </c>
    </row>
    <row r="560" spans="1:6" ht="12" customHeight="1">
      <c r="A560" s="17" t="str">
        <f>Start.listina!U182</f>
        <v/>
      </c>
      <c r="B560" s="141" t="str">
        <f>Start.listina!V182</f>
        <v xml:space="preserve"> </v>
      </c>
      <c r="C560" s="17" t="str">
        <f>Start.listina!W182</f>
        <v xml:space="preserve"> </v>
      </c>
      <c r="D560" s="17" t="str">
        <f>Start.listina!X182</f>
        <v xml:space="preserve"> </v>
      </c>
      <c r="E560" s="17">
        <f>Start.listina!Y182</f>
        <v>9999</v>
      </c>
      <c r="F560" s="142">
        <f>Start.listina!Z182</f>
        <v>0</v>
      </c>
    </row>
    <row r="561" spans="1:6" ht="12" customHeight="1">
      <c r="A561" s="17" t="str">
        <f>Start.listina!U183</f>
        <v/>
      </c>
      <c r="B561" s="141" t="str">
        <f>Start.listina!V183</f>
        <v xml:space="preserve"> </v>
      </c>
      <c r="C561" s="17" t="str">
        <f>Start.listina!W183</f>
        <v xml:space="preserve"> </v>
      </c>
      <c r="D561" s="17" t="str">
        <f>Start.listina!X183</f>
        <v xml:space="preserve"> </v>
      </c>
      <c r="E561" s="17">
        <f>Start.listina!Y183</f>
        <v>9999</v>
      </c>
      <c r="F561" s="142">
        <f>Start.listina!Z183</f>
        <v>0</v>
      </c>
    </row>
    <row r="562" spans="1:6" ht="12" customHeight="1">
      <c r="A562" s="17" t="str">
        <f>Start.listina!U184</f>
        <v/>
      </c>
      <c r="B562" s="141" t="str">
        <f>Start.listina!V184</f>
        <v xml:space="preserve"> </v>
      </c>
      <c r="C562" s="17" t="str">
        <f>Start.listina!W184</f>
        <v xml:space="preserve"> </v>
      </c>
      <c r="D562" s="17" t="str">
        <f>Start.listina!X184</f>
        <v xml:space="preserve"> </v>
      </c>
      <c r="E562" s="17">
        <f>Start.listina!Y184</f>
        <v>9999</v>
      </c>
      <c r="F562" s="142">
        <f>Start.listina!Z184</f>
        <v>0</v>
      </c>
    </row>
    <row r="563" spans="1:6" ht="12" customHeight="1">
      <c r="A563" s="17" t="str">
        <f>Start.listina!U185</f>
        <v/>
      </c>
      <c r="B563" s="141" t="str">
        <f>Start.listina!V185</f>
        <v xml:space="preserve"> </v>
      </c>
      <c r="C563" s="17" t="str">
        <f>Start.listina!W185</f>
        <v xml:space="preserve"> </v>
      </c>
      <c r="D563" s="17" t="str">
        <f>Start.listina!X185</f>
        <v xml:space="preserve"> </v>
      </c>
      <c r="E563" s="17">
        <f>Start.listina!Y185</f>
        <v>9999</v>
      </c>
      <c r="F563" s="142">
        <f>Start.listina!Z185</f>
        <v>0</v>
      </c>
    </row>
    <row r="564" spans="1:6" ht="12" customHeight="1">
      <c r="A564" s="17" t="str">
        <f>Start.listina!U186</f>
        <v/>
      </c>
      <c r="B564" s="141" t="str">
        <f>Start.listina!V186</f>
        <v xml:space="preserve"> </v>
      </c>
      <c r="C564" s="17" t="str">
        <f>Start.listina!W186</f>
        <v xml:space="preserve"> </v>
      </c>
      <c r="D564" s="17" t="str">
        <f>Start.listina!X186</f>
        <v xml:space="preserve"> </v>
      </c>
      <c r="E564" s="17">
        <f>Start.listina!Y186</f>
        <v>9999</v>
      </c>
      <c r="F564" s="142">
        <f>Start.listina!Z186</f>
        <v>0</v>
      </c>
    </row>
    <row r="565" spans="1:6" ht="12" customHeight="1">
      <c r="A565" s="17" t="str">
        <f>Start.listina!U187</f>
        <v/>
      </c>
      <c r="B565" s="141" t="str">
        <f>Start.listina!V187</f>
        <v xml:space="preserve"> </v>
      </c>
      <c r="C565" s="17" t="str">
        <f>Start.listina!W187</f>
        <v xml:space="preserve"> </v>
      </c>
      <c r="D565" s="17" t="str">
        <f>Start.listina!X187</f>
        <v xml:space="preserve"> </v>
      </c>
      <c r="E565" s="17">
        <f>Start.listina!Y187</f>
        <v>9999</v>
      </c>
      <c r="F565" s="142">
        <f>Start.listina!Z187</f>
        <v>0</v>
      </c>
    </row>
    <row r="566" spans="1:6" ht="12" customHeight="1">
      <c r="A566" s="17" t="str">
        <f>Start.listina!U188</f>
        <v/>
      </c>
      <c r="B566" s="141" t="str">
        <f>Start.listina!V188</f>
        <v xml:space="preserve"> </v>
      </c>
      <c r="C566" s="17" t="str">
        <f>Start.listina!W188</f>
        <v xml:space="preserve"> </v>
      </c>
      <c r="D566" s="17" t="str">
        <f>Start.listina!X188</f>
        <v xml:space="preserve"> </v>
      </c>
      <c r="E566" s="17">
        <f>Start.listina!Y188</f>
        <v>9999</v>
      </c>
      <c r="F566" s="142">
        <f>Start.listina!Z188</f>
        <v>0</v>
      </c>
    </row>
    <row r="567" spans="1:6" ht="12" customHeight="1">
      <c r="A567" s="17" t="str">
        <f>Start.listina!U189</f>
        <v/>
      </c>
      <c r="B567" s="141" t="str">
        <f>Start.listina!V189</f>
        <v xml:space="preserve"> </v>
      </c>
      <c r="C567" s="17" t="str">
        <f>Start.listina!W189</f>
        <v xml:space="preserve"> </v>
      </c>
      <c r="D567" s="17" t="str">
        <f>Start.listina!X189</f>
        <v xml:space="preserve"> </v>
      </c>
      <c r="E567" s="17">
        <f>Start.listina!Y189</f>
        <v>9999</v>
      </c>
      <c r="F567" s="142">
        <f>Start.listina!Z189</f>
        <v>0</v>
      </c>
    </row>
    <row r="568" spans="1:6" ht="12" customHeight="1">
      <c r="A568" s="17" t="str">
        <f>Start.listina!U190</f>
        <v/>
      </c>
      <c r="B568" s="141" t="str">
        <f>Start.listina!V190</f>
        <v xml:space="preserve"> </v>
      </c>
      <c r="C568" s="17" t="str">
        <f>Start.listina!W190</f>
        <v xml:space="preserve"> </v>
      </c>
      <c r="D568" s="17" t="str">
        <f>Start.listina!X190</f>
        <v xml:space="preserve"> </v>
      </c>
      <c r="E568" s="17">
        <f>Start.listina!Y190</f>
        <v>9999</v>
      </c>
      <c r="F568" s="142">
        <f>Start.listina!Z190</f>
        <v>0</v>
      </c>
    </row>
    <row r="569" spans="1:6" ht="12" customHeight="1">
      <c r="A569" s="17" t="str">
        <f>Start.listina!U191</f>
        <v/>
      </c>
      <c r="B569" s="141" t="str">
        <f>Start.listina!V191</f>
        <v xml:space="preserve"> </v>
      </c>
      <c r="C569" s="17" t="str">
        <f>Start.listina!W191</f>
        <v xml:space="preserve"> </v>
      </c>
      <c r="D569" s="17" t="str">
        <f>Start.listina!X191</f>
        <v xml:space="preserve"> </v>
      </c>
      <c r="E569" s="17">
        <f>Start.listina!Y191</f>
        <v>9999</v>
      </c>
      <c r="F569" s="142">
        <f>Start.listina!Z191</f>
        <v>0</v>
      </c>
    </row>
    <row r="570" spans="1:6" ht="12" customHeight="1">
      <c r="A570" s="17" t="str">
        <f>Start.listina!U192</f>
        <v/>
      </c>
      <c r="B570" s="141" t="str">
        <f>Start.listina!V192</f>
        <v xml:space="preserve"> </v>
      </c>
      <c r="C570" s="17" t="str">
        <f>Start.listina!W192</f>
        <v xml:space="preserve"> </v>
      </c>
      <c r="D570" s="17" t="str">
        <f>Start.listina!X192</f>
        <v xml:space="preserve"> </v>
      </c>
      <c r="E570" s="17">
        <f>Start.listina!Y192</f>
        <v>9999</v>
      </c>
      <c r="F570" s="142">
        <f>Start.listina!Z192</f>
        <v>0</v>
      </c>
    </row>
    <row r="571" spans="1:6" ht="12" customHeight="1">
      <c r="A571" s="17" t="str">
        <f>Start.listina!U193</f>
        <v/>
      </c>
      <c r="B571" s="141" t="str">
        <f>Start.listina!V193</f>
        <v xml:space="preserve"> </v>
      </c>
      <c r="C571" s="17" t="str">
        <f>Start.listina!W193</f>
        <v xml:space="preserve"> </v>
      </c>
      <c r="D571" s="17" t="str">
        <f>Start.listina!X193</f>
        <v xml:space="preserve"> </v>
      </c>
      <c r="E571" s="17">
        <f>Start.listina!Y193</f>
        <v>9999</v>
      </c>
      <c r="F571" s="142">
        <f>Start.listina!Z193</f>
        <v>0</v>
      </c>
    </row>
    <row r="572" spans="1:6" ht="12" customHeight="1">
      <c r="A572" s="17" t="str">
        <f>Start.listina!U194</f>
        <v/>
      </c>
      <c r="B572" s="141" t="str">
        <f>Start.listina!V194</f>
        <v xml:space="preserve"> </v>
      </c>
      <c r="C572" s="17" t="str">
        <f>Start.listina!W194</f>
        <v xml:space="preserve"> </v>
      </c>
      <c r="D572" s="17" t="str">
        <f>Start.listina!X194</f>
        <v xml:space="preserve"> </v>
      </c>
      <c r="E572" s="17">
        <f>Start.listina!Y194</f>
        <v>9999</v>
      </c>
      <c r="F572" s="142">
        <f>Start.listina!Z194</f>
        <v>0</v>
      </c>
    </row>
    <row r="573" spans="1:6" ht="12" customHeight="1">
      <c r="A573" s="17" t="str">
        <f>Start.listina!U195</f>
        <v/>
      </c>
      <c r="B573" s="141" t="str">
        <f>Start.listina!V195</f>
        <v xml:space="preserve"> </v>
      </c>
      <c r="C573" s="17" t="str">
        <f>Start.listina!W195</f>
        <v xml:space="preserve"> </v>
      </c>
      <c r="D573" s="17" t="str">
        <f>Start.listina!X195</f>
        <v xml:space="preserve"> </v>
      </c>
      <c r="E573" s="17">
        <f>Start.listina!Y195</f>
        <v>9999</v>
      </c>
      <c r="F573" s="142">
        <f>Start.listina!Z195</f>
        <v>0</v>
      </c>
    </row>
    <row r="574" spans="1:6" ht="12" customHeight="1">
      <c r="A574" s="17" t="str">
        <f>Start.listina!U196</f>
        <v/>
      </c>
      <c r="B574" s="141" t="str">
        <f>Start.listina!V196</f>
        <v xml:space="preserve"> </v>
      </c>
      <c r="C574" s="17" t="str">
        <f>Start.listina!W196</f>
        <v xml:space="preserve"> </v>
      </c>
      <c r="D574" s="17" t="str">
        <f>Start.listina!X196</f>
        <v xml:space="preserve"> </v>
      </c>
      <c r="E574" s="17">
        <f>Start.listina!Y196</f>
        <v>9999</v>
      </c>
      <c r="F574" s="142">
        <f>Start.listina!Z196</f>
        <v>0</v>
      </c>
    </row>
    <row r="575" spans="1:6" ht="12" customHeight="1">
      <c r="A575" s="17" t="str">
        <f>Start.listina!U197</f>
        <v/>
      </c>
      <c r="B575" s="141" t="str">
        <f>Start.listina!V197</f>
        <v xml:space="preserve"> </v>
      </c>
      <c r="C575" s="17" t="str">
        <f>Start.listina!W197</f>
        <v xml:space="preserve"> </v>
      </c>
      <c r="D575" s="17" t="str">
        <f>Start.listina!X197</f>
        <v xml:space="preserve"> </v>
      </c>
      <c r="E575" s="17">
        <f>Start.listina!Y197</f>
        <v>9999</v>
      </c>
      <c r="F575" s="142">
        <f>Start.listina!Z197</f>
        <v>0</v>
      </c>
    </row>
    <row r="576" spans="1:6" ht="12" customHeight="1">
      <c r="A576" s="17" t="str">
        <f>Start.listina!U198</f>
        <v/>
      </c>
      <c r="B576" s="141" t="str">
        <f>Start.listina!V198</f>
        <v xml:space="preserve"> </v>
      </c>
      <c r="C576" s="17" t="str">
        <f>Start.listina!W198</f>
        <v xml:space="preserve"> </v>
      </c>
      <c r="D576" s="17" t="str">
        <f>Start.listina!X198</f>
        <v xml:space="preserve"> </v>
      </c>
      <c r="E576" s="17">
        <f>Start.listina!Y198</f>
        <v>9999</v>
      </c>
      <c r="F576" s="142">
        <f>Start.listina!Z198</f>
        <v>0</v>
      </c>
    </row>
    <row r="577" spans="1:6" ht="12" customHeight="1">
      <c r="A577" s="17" t="str">
        <f>Start.listina!U199</f>
        <v/>
      </c>
      <c r="B577" s="141" t="str">
        <f>Start.listina!V199</f>
        <v xml:space="preserve"> </v>
      </c>
      <c r="C577" s="17" t="str">
        <f>Start.listina!W199</f>
        <v xml:space="preserve"> </v>
      </c>
      <c r="D577" s="17" t="str">
        <f>Start.listina!X199</f>
        <v xml:space="preserve"> </v>
      </c>
      <c r="E577" s="17">
        <f>Start.listina!Y199</f>
        <v>9999</v>
      </c>
      <c r="F577" s="142">
        <f>Start.listina!Z199</f>
        <v>0</v>
      </c>
    </row>
    <row r="578" spans="1:6" ht="12" customHeight="1">
      <c r="A578" s="17" t="str">
        <f>Start.listina!U200</f>
        <v/>
      </c>
      <c r="B578" s="141" t="str">
        <f>Start.listina!V200</f>
        <v xml:space="preserve"> </v>
      </c>
      <c r="C578" s="17" t="str">
        <f>Start.listina!W200</f>
        <v xml:space="preserve"> </v>
      </c>
      <c r="D578" s="17" t="str">
        <f>Start.listina!X200</f>
        <v xml:space="preserve"> </v>
      </c>
      <c r="E578" s="17">
        <f>Start.listina!Y200</f>
        <v>9999</v>
      </c>
      <c r="F578" s="142">
        <f>Start.listina!Z200</f>
        <v>0</v>
      </c>
    </row>
    <row r="579" spans="1:6" ht="12" customHeight="1">
      <c r="A579" s="17" t="str">
        <f>Start.listina!U201</f>
        <v/>
      </c>
      <c r="B579" s="141" t="str">
        <f>Start.listina!V201</f>
        <v xml:space="preserve"> </v>
      </c>
      <c r="C579" s="17" t="str">
        <f>Start.listina!W201</f>
        <v xml:space="preserve"> </v>
      </c>
      <c r="D579" s="17" t="str">
        <f>Start.listina!X201</f>
        <v xml:space="preserve"> </v>
      </c>
      <c r="E579" s="17">
        <f>Start.listina!Y201</f>
        <v>9999</v>
      </c>
      <c r="F579" s="142">
        <f>Start.listina!Z201</f>
        <v>0</v>
      </c>
    </row>
    <row r="580" spans="1:6" ht="12" customHeight="1">
      <c r="A580" s="17" t="str">
        <f>Start.listina!U202</f>
        <v/>
      </c>
      <c r="B580" s="141" t="str">
        <f>Start.listina!V202</f>
        <v xml:space="preserve"> </v>
      </c>
      <c r="C580" s="17" t="str">
        <f>Start.listina!W202</f>
        <v xml:space="preserve"> </v>
      </c>
      <c r="D580" s="17" t="str">
        <f>Start.listina!X202</f>
        <v xml:space="preserve"> </v>
      </c>
      <c r="E580" s="17">
        <f>Start.listina!Y202</f>
        <v>9999</v>
      </c>
      <c r="F580" s="142">
        <f>Start.listina!Z202</f>
        <v>0</v>
      </c>
    </row>
    <row r="581" spans="1:6" ht="12" customHeight="1"/>
    <row r="582" spans="1:6" ht="12" customHeight="1"/>
    <row r="583" spans="1:6" ht="12" customHeight="1"/>
    <row r="584" spans="1:6" ht="12" customHeight="1"/>
    <row r="585" spans="1:6" ht="12" customHeight="1"/>
    <row r="586" spans="1:6" ht="12" customHeight="1"/>
    <row r="587" spans="1:6" ht="12" customHeight="1"/>
    <row r="588" spans="1:6" ht="12" customHeight="1"/>
    <row r="589" spans="1:6" ht="12" customHeight="1"/>
    <row r="590" spans="1:6" ht="12" customHeight="1"/>
    <row r="591" spans="1:6" ht="12" customHeight="1"/>
    <row r="592" spans="1:6"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375" defaultRowHeight="15" customHeight="1"/>
  <cols>
    <col min="1" max="1" width="8" customWidth="1"/>
    <col min="2" max="2" width="47.75" customWidth="1"/>
    <col min="3" max="3" width="2" hidden="1" customWidth="1"/>
    <col min="4" max="26" width="8" customWidth="1"/>
  </cols>
  <sheetData>
    <row r="1" spans="1:23" ht="15.75" customHeight="1">
      <c r="B1" s="159" t="s">
        <v>1754</v>
      </c>
      <c r="C1" s="160"/>
      <c r="D1" s="160"/>
      <c r="E1" s="160"/>
      <c r="F1" s="160"/>
      <c r="G1" s="160"/>
      <c r="H1" s="160"/>
      <c r="I1" s="160"/>
      <c r="J1" s="160"/>
      <c r="K1" s="160"/>
      <c r="L1" s="160"/>
      <c r="M1" s="160"/>
      <c r="N1" s="160"/>
      <c r="O1" s="160"/>
      <c r="P1" s="160"/>
      <c r="Q1" s="160"/>
      <c r="R1" s="160"/>
      <c r="S1" s="160"/>
      <c r="T1" s="160"/>
      <c r="U1" s="160"/>
      <c r="V1" s="160"/>
      <c r="W1" s="160"/>
    </row>
    <row r="2" spans="1:23" ht="42" customHeight="1">
      <c r="A2" s="161" t="s">
        <v>1755</v>
      </c>
      <c r="B2" s="161" t="s">
        <v>1743</v>
      </c>
    </row>
    <row r="3" spans="1:23" ht="12" customHeight="1">
      <c r="A3" s="160" t="str">
        <f>Nasazení!B3</f>
        <v>A1</v>
      </c>
      <c r="B3" s="162" t="str">
        <f>Nasazení!C3</f>
        <v>Carreau Brno - Michálek Ivo</v>
      </c>
      <c r="C3" s="6" t="str">
        <f t="shared" ref="C3:C257" si="0">IF(T(A3)="","X"," ")</f>
        <v xml:space="preserve"> </v>
      </c>
    </row>
    <row r="4" spans="1:23" ht="12" customHeight="1">
      <c r="A4" s="160" t="str">
        <f>Nasazení!B18</f>
        <v>A2</v>
      </c>
      <c r="B4" s="162" t="str">
        <f>Nasazení!C18</f>
        <v>1. Starobrněnský PK - Strouhalová Terezie</v>
      </c>
      <c r="C4" s="6" t="str">
        <f t="shared" si="0"/>
        <v xml:space="preserve"> </v>
      </c>
    </row>
    <row r="5" spans="1:23" ht="12" customHeight="1">
      <c r="A5" s="160" t="str">
        <f>Nasazení!B19</f>
        <v>A3</v>
      </c>
      <c r="B5" s="162" t="str">
        <f>Nasazení!C19</f>
        <v>Orel Řečkovice - Marečková Yvonne</v>
      </c>
      <c r="C5" s="6" t="str">
        <f t="shared" si="0"/>
        <v xml:space="preserve"> </v>
      </c>
    </row>
    <row r="6" spans="1:23" ht="12" customHeight="1">
      <c r="A6" s="160" t="str">
        <f>Nasazení!B34</f>
        <v>A4</v>
      </c>
      <c r="B6" s="162" t="str">
        <f>Nasazení!C34</f>
        <v>PK Polouvsí - Valošek Hugo</v>
      </c>
      <c r="C6" s="6" t="str">
        <f t="shared" si="0"/>
        <v xml:space="preserve"> </v>
      </c>
    </row>
    <row r="7" spans="1:23" ht="12" customHeight="1">
      <c r="A7" s="160" t="str">
        <f>Nasazení!B35</f>
        <v>A5</v>
      </c>
      <c r="B7" s="162" t="str">
        <f>Nasazení!C35</f>
        <v>SLOPE Brno - Daněk Patrik</v>
      </c>
      <c r="C7" s="6" t="str">
        <f t="shared" si="0"/>
        <v xml:space="preserve"> </v>
      </c>
    </row>
    <row r="8" spans="1:23" ht="12" customHeight="1">
      <c r="A8" s="160" t="str">
        <f>Nasazení!B4</f>
        <v>B1</v>
      </c>
      <c r="B8" s="162" t="str">
        <f>Nasazení!C4</f>
        <v>PLUK Jablonec - Lukáš Vojtěch</v>
      </c>
      <c r="C8" s="6" t="str">
        <f t="shared" si="0"/>
        <v xml:space="preserve"> </v>
      </c>
    </row>
    <row r="9" spans="1:23" ht="12" customHeight="1">
      <c r="A9" s="160" t="str">
        <f>Nasazení!B17</f>
        <v>B2</v>
      </c>
      <c r="B9" s="162" t="str">
        <f>Nasazení!C17</f>
        <v>FENYX Adamov - Král Pavel</v>
      </c>
      <c r="C9" s="6" t="str">
        <f t="shared" si="0"/>
        <v xml:space="preserve"> </v>
      </c>
    </row>
    <row r="10" spans="1:23" ht="12" customHeight="1">
      <c r="A10" s="160" t="str">
        <f>Nasazení!B20</f>
        <v>B3</v>
      </c>
      <c r="B10" s="162" t="str">
        <f>Nasazení!C20</f>
        <v>UBU Únětice - Kot Pavel</v>
      </c>
      <c r="C10" s="6" t="str">
        <f t="shared" si="0"/>
        <v xml:space="preserve"> </v>
      </c>
    </row>
    <row r="11" spans="1:23" ht="12" customHeight="1">
      <c r="A11" s="160" t="str">
        <f>Nasazení!B33</f>
        <v>B4</v>
      </c>
      <c r="B11" s="162" t="str">
        <f>Nasazení!C33</f>
        <v>SOKOL Staříč - Plesník Vladimír</v>
      </c>
      <c r="C11" s="6" t="str">
        <f t="shared" si="0"/>
        <v xml:space="preserve"> </v>
      </c>
    </row>
    <row r="12" spans="1:23" ht="12" customHeight="1">
      <c r="A12" s="160" t="str">
        <f>Nasazení!B36</f>
        <v>B5</v>
      </c>
      <c r="B12" s="162" t="str">
        <f>Nasazení!C36</f>
        <v>PK Polouvsí - Vrzal Martin</v>
      </c>
      <c r="C12" s="6" t="str">
        <f t="shared" si="0"/>
        <v xml:space="preserve"> </v>
      </c>
    </row>
    <row r="13" spans="1:23" ht="12" customHeight="1">
      <c r="A13" s="160" t="str">
        <f>Nasazení!B5</f>
        <v>C1</v>
      </c>
      <c r="B13" s="162" t="str">
        <f>Nasazení!C5</f>
        <v>SKP Hranice VI-Valšovice - Kutá Miloslava</v>
      </c>
      <c r="C13" s="6" t="str">
        <f t="shared" si="0"/>
        <v xml:space="preserve"> </v>
      </c>
    </row>
    <row r="14" spans="1:23" ht="12" customHeight="1">
      <c r="A14" s="160" t="str">
        <f>Nasazení!B16</f>
        <v>C2</v>
      </c>
      <c r="B14" s="162" t="str">
        <f>Nasazení!C16</f>
        <v>PAK Albrechtice - Bukovčík Jan</v>
      </c>
      <c r="C14" s="6" t="str">
        <f t="shared" si="0"/>
        <v xml:space="preserve"> </v>
      </c>
    </row>
    <row r="15" spans="1:23" ht="12" customHeight="1">
      <c r="A15" s="160" t="str">
        <f>Nasazení!B21</f>
        <v>C3</v>
      </c>
      <c r="B15" s="162" t="str">
        <f>Nasazení!C21</f>
        <v>Kulový blesk Olomouc - Hildenbrand Benjamin</v>
      </c>
      <c r="C15" s="6" t="str">
        <f t="shared" si="0"/>
        <v xml:space="preserve"> </v>
      </c>
    </row>
    <row r="16" spans="1:23" ht="12" customHeight="1">
      <c r="A16" s="160" t="str">
        <f>Nasazení!B32</f>
        <v>C4</v>
      </c>
      <c r="B16" s="162" t="str">
        <f>Nasazení!C32</f>
        <v>1. Starobrněnský PK - Kutra Oldřích</v>
      </c>
      <c r="C16" s="6" t="str">
        <f t="shared" si="0"/>
        <v xml:space="preserve"> </v>
      </c>
    </row>
    <row r="17" spans="1:3" ht="12" customHeight="1">
      <c r="A17" s="160" t="str">
        <f>Nasazení!B37</f>
        <v>C5</v>
      </c>
      <c r="B17" s="162" t="str">
        <f>Nasazení!C37</f>
        <v>1. KPK Vrchlabí - Bucek Zdeněk</v>
      </c>
      <c r="C17" s="6" t="str">
        <f t="shared" si="0"/>
        <v xml:space="preserve"> </v>
      </c>
    </row>
    <row r="18" spans="1:3" ht="12" customHeight="1">
      <c r="A18" s="160" t="str">
        <f>Nasazení!B6</f>
        <v>D1</v>
      </c>
      <c r="B18" s="162" t="str">
        <f>Nasazení!C6</f>
        <v>PAK Albrechtice - Valík Václav</v>
      </c>
      <c r="C18" s="6" t="str">
        <f t="shared" si="0"/>
        <v xml:space="preserve"> </v>
      </c>
    </row>
    <row r="19" spans="1:3" ht="12" customHeight="1">
      <c r="A19" s="160" t="str">
        <f>Nasazení!B15</f>
        <v>D2</v>
      </c>
      <c r="B19" s="162" t="str">
        <f>Nasazení!C15</f>
        <v>PK Polouvsí - Valošková Sára</v>
      </c>
      <c r="C19" s="6" t="str">
        <f t="shared" si="0"/>
        <v xml:space="preserve"> </v>
      </c>
    </row>
    <row r="20" spans="1:3" ht="12" customHeight="1">
      <c r="A20" s="160" t="str">
        <f>Nasazení!B22</f>
        <v>D3</v>
      </c>
      <c r="B20" s="162" t="str">
        <f>Nasazení!C22</f>
        <v>1. Starobrněnský PK - Petrželka Josef</v>
      </c>
      <c r="C20" s="6" t="str">
        <f t="shared" si="0"/>
        <v xml:space="preserve"> </v>
      </c>
    </row>
    <row r="21" spans="1:3" ht="12" customHeight="1">
      <c r="A21" s="160" t="str">
        <f>Nasazení!B31</f>
        <v>D4</v>
      </c>
      <c r="B21" s="162" t="str">
        <f>Nasazení!C31</f>
        <v>1. Starobrněnský PK - Ilgner Vladimír</v>
      </c>
      <c r="C21" s="6" t="str">
        <f t="shared" si="0"/>
        <v xml:space="preserve"> </v>
      </c>
    </row>
    <row r="22" spans="1:3" ht="12" customHeight="1">
      <c r="A22" s="160" t="str">
        <f>Nasazení!B38</f>
        <v>D5</v>
      </c>
      <c r="B22" s="162" t="str">
        <f>Nasazení!C38</f>
        <v>P.C.B.D. - Hejl ml. Pavel</v>
      </c>
      <c r="C22" s="6" t="str">
        <f t="shared" si="0"/>
        <v xml:space="preserve"> </v>
      </c>
    </row>
    <row r="23" spans="1:3" ht="12" customHeight="1">
      <c r="A23" s="160" t="str">
        <f>Nasazení!B47</f>
        <v>D6</v>
      </c>
      <c r="B23" s="162" t="str">
        <f>Nasazení!C47</f>
        <v>PC Sokol PP Hr. Králové - Vávrová Ivana</v>
      </c>
      <c r="C23" s="6" t="str">
        <f t="shared" si="0"/>
        <v xml:space="preserve"> </v>
      </c>
    </row>
    <row r="24" spans="1:3" ht="12" customHeight="1">
      <c r="A24" s="160" t="str">
        <f>Nasazení!B7</f>
        <v>E1</v>
      </c>
      <c r="B24" s="162" t="str">
        <f>Nasazení!C7</f>
        <v>HRODE KRUMSÍN - Krpec Miroslav</v>
      </c>
      <c r="C24" s="6" t="str">
        <f t="shared" si="0"/>
        <v xml:space="preserve"> </v>
      </c>
    </row>
    <row r="25" spans="1:3" ht="12" customHeight="1">
      <c r="A25" s="160" t="str">
        <f>Nasazení!B14</f>
        <v>E2</v>
      </c>
      <c r="B25" s="162" t="str">
        <f>Nasazení!C14</f>
        <v>SKP Kulová osma - Krejčín Leoš</v>
      </c>
      <c r="C25" s="6" t="str">
        <f t="shared" si="0"/>
        <v xml:space="preserve"> </v>
      </c>
    </row>
    <row r="26" spans="1:3" ht="12" customHeight="1">
      <c r="A26" s="160" t="str">
        <f>Nasazení!B23</f>
        <v>E3</v>
      </c>
      <c r="B26" s="162" t="str">
        <f>Nasazení!C23</f>
        <v>PC Hrabyně - Holba Daniel</v>
      </c>
      <c r="C26" s="6" t="str">
        <f t="shared" si="0"/>
        <v xml:space="preserve"> </v>
      </c>
    </row>
    <row r="27" spans="1:3" ht="12" customHeight="1">
      <c r="A27" s="160" t="str">
        <f>Nasazení!B30</f>
        <v>E4</v>
      </c>
      <c r="B27" s="162" t="str">
        <f>Nasazení!C30</f>
        <v>KLIP Litovel - Hudos Oldřich</v>
      </c>
      <c r="C27" s="6" t="str">
        <f t="shared" si="0"/>
        <v xml:space="preserve"> </v>
      </c>
    </row>
    <row r="28" spans="1:3" ht="12" customHeight="1">
      <c r="A28" s="160" t="str">
        <f>Nasazení!B39</f>
        <v>E5</v>
      </c>
      <c r="B28" s="162" t="str">
        <f>Nasazení!C39</f>
        <v>KLIP Litovel - Potužák Zdeněk</v>
      </c>
      <c r="C28" s="6" t="str">
        <f t="shared" si="0"/>
        <v xml:space="preserve"> </v>
      </c>
    </row>
    <row r="29" spans="1:3" ht="12" customHeight="1">
      <c r="A29" s="160" t="str">
        <f>Nasazení!B46</f>
        <v>E6</v>
      </c>
      <c r="B29" s="162" t="str">
        <f>Nasazení!C46</f>
        <v>SKP Hranice VI-Valšovice - Němečková Radomíra</v>
      </c>
      <c r="C29" s="6" t="str">
        <f t="shared" si="0"/>
        <v xml:space="preserve"> </v>
      </c>
    </row>
    <row r="30" spans="1:3" ht="12" customHeight="1">
      <c r="A30" s="160" t="str">
        <f>Nasazení!B8</f>
        <v>F1</v>
      </c>
      <c r="B30" s="162" t="str">
        <f>Nasazení!C8</f>
        <v>TOP - ORLOVÁ - Bačo David</v>
      </c>
      <c r="C30" s="6" t="str">
        <f t="shared" si="0"/>
        <v xml:space="preserve"> </v>
      </c>
    </row>
    <row r="31" spans="1:3" ht="12" customHeight="1">
      <c r="A31" s="160" t="str">
        <f>Nasazení!B13</f>
        <v>F2</v>
      </c>
      <c r="B31" s="162" t="str">
        <f>Nasazení!C13</f>
        <v>SKP Hranice VI-Valšovice - Jakeš Zbyněk</v>
      </c>
      <c r="C31" s="6" t="str">
        <f t="shared" si="0"/>
        <v xml:space="preserve"> </v>
      </c>
    </row>
    <row r="32" spans="1:3" ht="12" customHeight="1">
      <c r="A32" s="160" t="str">
        <f>Nasazení!B24</f>
        <v>F3</v>
      </c>
      <c r="B32" s="162" t="str">
        <f>Nasazení!C24</f>
        <v>Carreau Brno - Rendla Jakub</v>
      </c>
      <c r="C32" s="6" t="str">
        <f t="shared" si="0"/>
        <v xml:space="preserve"> </v>
      </c>
    </row>
    <row r="33" spans="1:3" ht="12" customHeight="1">
      <c r="A33" s="160" t="str">
        <f>Nasazení!B29</f>
        <v>F4</v>
      </c>
      <c r="B33" s="162" t="str">
        <f>Nasazení!C29</f>
        <v>FENYX Adamov - Mrlina Karel</v>
      </c>
      <c r="C33" s="6" t="str">
        <f t="shared" si="0"/>
        <v xml:space="preserve"> </v>
      </c>
    </row>
    <row r="34" spans="1:3" ht="12" customHeight="1">
      <c r="A34" s="160" t="str">
        <f>Nasazení!B40</f>
        <v>F5</v>
      </c>
      <c r="B34" s="162" t="str">
        <f>Nasazení!C40</f>
        <v>Carreau Brno - Šrubařová Hana</v>
      </c>
      <c r="C34" s="6" t="str">
        <f t="shared" si="0"/>
        <v xml:space="preserve"> </v>
      </c>
    </row>
    <row r="35" spans="1:3" ht="12" customHeight="1">
      <c r="A35" s="160" t="str">
        <f>Nasazení!B45</f>
        <v>F6</v>
      </c>
      <c r="B35" s="162" t="str">
        <f>Nasazení!C45</f>
        <v>HAVAJ CB - Korešová Alena</v>
      </c>
      <c r="C35" s="6" t="str">
        <f t="shared" si="0"/>
        <v xml:space="preserve"> </v>
      </c>
    </row>
    <row r="36" spans="1:3" ht="12" customHeight="1">
      <c r="A36" s="160" t="str">
        <f>Nasazení!B9</f>
        <v>G1</v>
      </c>
      <c r="B36" s="162" t="str">
        <f>Nasazení!C9</f>
        <v>HRODE KRUMSÍN - Ptáčková Eliška</v>
      </c>
      <c r="C36" s="6" t="str">
        <f t="shared" si="0"/>
        <v xml:space="preserve"> </v>
      </c>
    </row>
    <row r="37" spans="1:3" ht="12" customHeight="1">
      <c r="A37" s="160" t="str">
        <f>Nasazení!B12</f>
        <v>G2</v>
      </c>
      <c r="B37" s="162" t="str">
        <f>Nasazení!C12</f>
        <v>SK Pétanque Řepy - Holoubek Pavel</v>
      </c>
      <c r="C37" s="6" t="str">
        <f t="shared" si="0"/>
        <v xml:space="preserve"> </v>
      </c>
    </row>
    <row r="38" spans="1:3" ht="12" customHeight="1">
      <c r="A38" s="160" t="str">
        <f>Nasazení!B25</f>
        <v>G3</v>
      </c>
      <c r="B38" s="162" t="str">
        <f>Nasazení!C25</f>
        <v>SPORT Kolín - Šternberg Martin</v>
      </c>
      <c r="C38" s="6" t="str">
        <f t="shared" si="0"/>
        <v xml:space="preserve"> </v>
      </c>
    </row>
    <row r="39" spans="1:3" ht="12" customHeight="1">
      <c r="A39" s="160" t="str">
        <f>Nasazení!B28</f>
        <v>G4</v>
      </c>
      <c r="B39" s="162" t="str">
        <f>Nasazení!C28</f>
        <v>Carreau Brno - Hodboď Pavel</v>
      </c>
      <c r="C39" s="6" t="str">
        <f t="shared" si="0"/>
        <v xml:space="preserve"> </v>
      </c>
    </row>
    <row r="40" spans="1:3" ht="12" customHeight="1">
      <c r="A40" s="160" t="str">
        <f>Nasazení!B41</f>
        <v>G5</v>
      </c>
      <c r="B40" s="162" t="str">
        <f>Nasazení!C41</f>
        <v>Orel Řečkovice - Olbort Tomáš</v>
      </c>
      <c r="C40" s="6" t="str">
        <f t="shared" si="0"/>
        <v xml:space="preserve"> </v>
      </c>
    </row>
    <row r="41" spans="1:3" ht="12" customHeight="1">
      <c r="A41" s="160" t="str">
        <f>Nasazení!B44</f>
        <v>G6</v>
      </c>
      <c r="B41" s="162" t="str">
        <f>Nasazení!C44</f>
        <v>PK Polouvsí - Koudelka Josef</v>
      </c>
      <c r="C41" s="6" t="str">
        <f t="shared" si="0"/>
        <v xml:space="preserve"> </v>
      </c>
    </row>
    <row r="42" spans="1:3" ht="12" customHeight="1">
      <c r="A42" s="160" t="str">
        <f>Nasazení!B10</f>
        <v>H1</v>
      </c>
      <c r="B42" s="162" t="str">
        <f>Nasazení!C10</f>
        <v>Carreau Brno - Grepl Jiří</v>
      </c>
      <c r="C42" s="6" t="str">
        <f t="shared" si="0"/>
        <v xml:space="preserve"> </v>
      </c>
    </row>
    <row r="43" spans="1:3" ht="12" customHeight="1">
      <c r="A43" s="160" t="str">
        <f>Nasazení!B11</f>
        <v>H2</v>
      </c>
      <c r="B43" s="162" t="str">
        <f>Nasazení!C11</f>
        <v>POP Praha - Hodboďová Romana</v>
      </c>
      <c r="C43" s="6" t="str">
        <f t="shared" si="0"/>
        <v xml:space="preserve"> </v>
      </c>
    </row>
    <row r="44" spans="1:3" ht="12" customHeight="1">
      <c r="A44" s="160" t="str">
        <f>Nasazení!B26</f>
        <v>H3</v>
      </c>
      <c r="B44" s="162" t="str">
        <f>Nasazení!C26</f>
        <v>HRODE KRUMSÍN - Drmola Michal</v>
      </c>
      <c r="C44" s="6" t="str">
        <f t="shared" si="0"/>
        <v xml:space="preserve"> </v>
      </c>
    </row>
    <row r="45" spans="1:3" ht="12" customHeight="1">
      <c r="A45" s="160" t="str">
        <f>Nasazení!B27</f>
        <v>H4</v>
      </c>
      <c r="B45" s="162" t="str">
        <f>Nasazení!C27</f>
        <v>SOKOL Staříč - Šimíček Ladislav</v>
      </c>
      <c r="C45" s="6" t="str">
        <f t="shared" si="0"/>
        <v xml:space="preserve"> </v>
      </c>
    </row>
    <row r="46" spans="1:3" ht="12" customHeight="1">
      <c r="A46" s="160" t="str">
        <f>Nasazení!B42</f>
        <v>H5</v>
      </c>
      <c r="B46" s="162" t="str">
        <f>Nasazení!C42</f>
        <v>PK Polouvsí - Rusek Luboš</v>
      </c>
      <c r="C46" s="6" t="str">
        <f t="shared" si="0"/>
        <v xml:space="preserve"> </v>
      </c>
    </row>
    <row r="47" spans="1:3" ht="12" customHeight="1">
      <c r="A47" s="160" t="str">
        <f>Nasazení!B43</f>
        <v>H6</v>
      </c>
      <c r="B47" s="162" t="str">
        <f>Nasazení!C43</f>
        <v>1. Starobrněnský PK - Blažejová Eva</v>
      </c>
      <c r="C47" s="6" t="str">
        <f t="shared" si="0"/>
        <v xml:space="preserve"> </v>
      </c>
    </row>
    <row r="48" spans="1:3" ht="12" customHeight="1">
      <c r="A48" s="160">
        <f>Nasazení!B213</f>
        <v>0</v>
      </c>
      <c r="B48" s="162">
        <f>Nasazení!C213</f>
        <v>0</v>
      </c>
      <c r="C48" s="6" t="str">
        <f t="shared" si="0"/>
        <v>X</v>
      </c>
    </row>
    <row r="49" spans="1:3" ht="12" customHeight="1">
      <c r="A49" s="160">
        <f>Nasazení!B224</f>
        <v>0</v>
      </c>
      <c r="B49" s="162">
        <f>Nasazení!C224</f>
        <v>0</v>
      </c>
      <c r="C49" s="6" t="str">
        <f t="shared" si="0"/>
        <v>X</v>
      </c>
    </row>
    <row r="50" spans="1:3" ht="12" customHeight="1">
      <c r="A50" s="160">
        <f>Nasazení!B214</f>
        <v>0</v>
      </c>
      <c r="B50" s="162">
        <f>Nasazení!C214</f>
        <v>0</v>
      </c>
      <c r="C50" s="6" t="str">
        <f t="shared" si="0"/>
        <v>X</v>
      </c>
    </row>
    <row r="51" spans="1:3" ht="12" customHeight="1">
      <c r="A51" s="160">
        <f>Nasazení!B223</f>
        <v>0</v>
      </c>
      <c r="B51" s="162">
        <f>Nasazení!C223</f>
        <v>0</v>
      </c>
      <c r="C51" s="6" t="str">
        <f t="shared" si="0"/>
        <v>X</v>
      </c>
    </row>
    <row r="52" spans="1:3" ht="12" customHeight="1">
      <c r="A52" s="160">
        <f>Nasazení!B215</f>
        <v>0</v>
      </c>
      <c r="B52" s="162">
        <f>Nasazení!C215</f>
        <v>0</v>
      </c>
      <c r="C52" s="6" t="str">
        <f t="shared" si="0"/>
        <v>X</v>
      </c>
    </row>
    <row r="53" spans="1:3" ht="12" customHeight="1">
      <c r="A53" s="160">
        <f>Nasazení!B222</f>
        <v>0</v>
      </c>
      <c r="B53" s="162">
        <f>Nasazení!C222</f>
        <v>0</v>
      </c>
      <c r="C53" s="6" t="str">
        <f t="shared" si="0"/>
        <v>X</v>
      </c>
    </row>
    <row r="54" spans="1:3" ht="12" customHeight="1">
      <c r="A54" s="160">
        <f>Nasazení!B216</f>
        <v>0</v>
      </c>
      <c r="B54" s="162">
        <f>Nasazení!C216</f>
        <v>0</v>
      </c>
      <c r="C54" s="6" t="str">
        <f t="shared" si="0"/>
        <v>X</v>
      </c>
    </row>
    <row r="55" spans="1:3" ht="12" customHeight="1">
      <c r="A55" s="160">
        <f>Nasazení!B221</f>
        <v>0</v>
      </c>
      <c r="B55" s="162">
        <f>Nasazení!C221</f>
        <v>0</v>
      </c>
      <c r="C55" s="6" t="str">
        <f t="shared" si="0"/>
        <v>X</v>
      </c>
    </row>
    <row r="56" spans="1:3" ht="12" customHeight="1">
      <c r="A56" s="160">
        <f>Nasazení!B217</f>
        <v>0</v>
      </c>
      <c r="B56" s="162">
        <f>Nasazení!C217</f>
        <v>0</v>
      </c>
      <c r="C56" s="6" t="str">
        <f t="shared" si="0"/>
        <v>X</v>
      </c>
    </row>
    <row r="57" spans="1:3" ht="12" customHeight="1">
      <c r="A57" s="160">
        <f>Nasazení!B220</f>
        <v>0</v>
      </c>
      <c r="B57" s="162">
        <f>Nasazení!C220</f>
        <v>0</v>
      </c>
      <c r="C57" s="6" t="str">
        <f t="shared" si="0"/>
        <v>X</v>
      </c>
    </row>
    <row r="58" spans="1:3" ht="12" customHeight="1">
      <c r="A58" s="160">
        <f>Nasazení!B218</f>
        <v>0</v>
      </c>
      <c r="B58" s="162">
        <f>Nasazení!C218</f>
        <v>0</v>
      </c>
      <c r="C58" s="6" t="str">
        <f t="shared" si="0"/>
        <v>X</v>
      </c>
    </row>
    <row r="59" spans="1:3" ht="12" customHeight="1">
      <c r="A59" s="160">
        <f>Nasazení!B219</f>
        <v>0</v>
      </c>
      <c r="B59" s="162">
        <f>Nasazení!C219</f>
        <v>0</v>
      </c>
      <c r="C59" s="6" t="str">
        <f t="shared" si="0"/>
        <v>X</v>
      </c>
    </row>
    <row r="60" spans="1:3" ht="12" customHeight="1">
      <c r="A60" s="160" t="str">
        <f>Nasazení!B66</f>
        <v/>
      </c>
      <c r="B60" s="162" t="str">
        <f>Nasazení!C66</f>
        <v/>
      </c>
      <c r="C60" s="6" t="str">
        <f t="shared" si="0"/>
        <v>X</v>
      </c>
    </row>
    <row r="61" spans="1:3" ht="12" customHeight="1">
      <c r="A61" s="160" t="str">
        <f>Nasazení!B67</f>
        <v/>
      </c>
      <c r="B61" s="162" t="str">
        <f>Nasazení!C67</f>
        <v/>
      </c>
      <c r="C61" s="6" t="str">
        <f t="shared" si="0"/>
        <v>X</v>
      </c>
    </row>
    <row r="62" spans="1:3" ht="12" customHeight="1">
      <c r="A62" s="160" t="str">
        <f>Nasazení!B130</f>
        <v/>
      </c>
      <c r="B62" s="162" t="str">
        <f>Nasazení!C130</f>
        <v/>
      </c>
      <c r="C62" s="6" t="str">
        <f t="shared" si="0"/>
        <v>X</v>
      </c>
    </row>
    <row r="63" spans="1:3" ht="12" customHeight="1">
      <c r="A63" s="160" t="str">
        <f>Nasazení!B131</f>
        <v/>
      </c>
      <c r="B63" s="162" t="str">
        <f>Nasazení!C131</f>
        <v/>
      </c>
      <c r="C63" s="6" t="str">
        <f t="shared" si="0"/>
        <v>X</v>
      </c>
    </row>
    <row r="64" spans="1:3" ht="12" customHeight="1">
      <c r="A64" s="160" t="str">
        <f>Nasazení!B93</f>
        <v/>
      </c>
      <c r="B64" s="162" t="str">
        <f>Nasazení!C93</f>
        <v/>
      </c>
      <c r="C64" s="6" t="str">
        <f t="shared" si="0"/>
        <v>X</v>
      </c>
    </row>
    <row r="65" spans="1:3" ht="12" customHeight="1">
      <c r="A65" s="160" t="str">
        <f>Nasazení!B104</f>
        <v/>
      </c>
      <c r="B65" s="162" t="str">
        <f>Nasazení!C104</f>
        <v/>
      </c>
      <c r="C65" s="6" t="str">
        <f t="shared" si="0"/>
        <v>X</v>
      </c>
    </row>
    <row r="66" spans="1:3" ht="12" customHeight="1">
      <c r="A66" s="160" t="str">
        <f>Nasazení!B94</f>
        <v/>
      </c>
      <c r="B66" s="162" t="str">
        <f>Nasazení!C94</f>
        <v/>
      </c>
      <c r="C66" s="6" t="str">
        <f t="shared" si="0"/>
        <v>X</v>
      </c>
    </row>
    <row r="67" spans="1:3" ht="12" customHeight="1">
      <c r="A67" s="160" t="str">
        <f>Nasazení!B103</f>
        <v/>
      </c>
      <c r="B67" s="162" t="str">
        <f>Nasazení!C103</f>
        <v/>
      </c>
      <c r="C67" s="6" t="str">
        <f t="shared" si="0"/>
        <v>X</v>
      </c>
    </row>
    <row r="68" spans="1:3" ht="12" customHeight="1">
      <c r="A68" s="160" t="str">
        <f>Nasazení!B95</f>
        <v/>
      </c>
      <c r="B68" s="162" t="str">
        <f>Nasazení!C95</f>
        <v/>
      </c>
      <c r="C68" s="6" t="str">
        <f t="shared" si="0"/>
        <v>X</v>
      </c>
    </row>
    <row r="69" spans="1:3" ht="12" customHeight="1">
      <c r="A69" s="160" t="str">
        <f>Nasazení!B102</f>
        <v/>
      </c>
      <c r="B69" s="162" t="str">
        <f>Nasazení!C102</f>
        <v/>
      </c>
      <c r="C69" s="6" t="str">
        <f t="shared" si="0"/>
        <v>X</v>
      </c>
    </row>
    <row r="70" spans="1:3" ht="12" customHeight="1">
      <c r="A70" s="160" t="str">
        <f>Nasazení!B96</f>
        <v/>
      </c>
      <c r="B70" s="162" t="str">
        <f>Nasazení!C96</f>
        <v/>
      </c>
      <c r="C70" s="6" t="str">
        <f t="shared" si="0"/>
        <v>X</v>
      </c>
    </row>
    <row r="71" spans="1:3" ht="12" customHeight="1">
      <c r="A71" s="160" t="str">
        <f>Nasazení!B101</f>
        <v/>
      </c>
      <c r="B71" s="162" t="str">
        <f>Nasazení!C101</f>
        <v/>
      </c>
      <c r="C71" s="6" t="str">
        <f t="shared" si="0"/>
        <v>X</v>
      </c>
    </row>
    <row r="72" spans="1:3" ht="12" customHeight="1">
      <c r="A72" s="160" t="str">
        <f>Nasazení!B97</f>
        <v/>
      </c>
      <c r="B72" s="162" t="str">
        <f>Nasazení!C97</f>
        <v/>
      </c>
      <c r="C72" s="6" t="str">
        <f t="shared" si="0"/>
        <v>X</v>
      </c>
    </row>
    <row r="73" spans="1:3" ht="12" customHeight="1">
      <c r="A73" s="160" t="str">
        <f>Nasazení!B100</f>
        <v/>
      </c>
      <c r="B73" s="162" t="str">
        <f>Nasazení!C100</f>
        <v/>
      </c>
      <c r="C73" s="6" t="str">
        <f t="shared" si="0"/>
        <v>X</v>
      </c>
    </row>
    <row r="74" spans="1:3" ht="12" customHeight="1">
      <c r="A74" s="160" t="str">
        <f>Nasazení!B98</f>
        <v/>
      </c>
      <c r="B74" s="162" t="str">
        <f>Nasazení!C98</f>
        <v/>
      </c>
      <c r="C74" s="6" t="str">
        <f t="shared" si="0"/>
        <v>X</v>
      </c>
    </row>
    <row r="75" spans="1:3" ht="12" customHeight="1">
      <c r="A75" s="160" t="str">
        <f>Nasazení!B99</f>
        <v/>
      </c>
      <c r="B75" s="162" t="str">
        <f>Nasazení!C99</f>
        <v/>
      </c>
      <c r="C75" s="6" t="str">
        <f t="shared" si="0"/>
        <v>X</v>
      </c>
    </row>
    <row r="76" spans="1:3" ht="12" customHeight="1">
      <c r="A76" s="160" t="str">
        <f>Nasazení!B65</f>
        <v/>
      </c>
      <c r="B76" s="162" t="str">
        <f>Nasazení!C65</f>
        <v/>
      </c>
      <c r="C76" s="6" t="str">
        <f t="shared" si="0"/>
        <v>X</v>
      </c>
    </row>
    <row r="77" spans="1:3" ht="12" customHeight="1">
      <c r="A77" s="160" t="str">
        <f>Nasazení!B68</f>
        <v/>
      </c>
      <c r="B77" s="162" t="str">
        <f>Nasazení!C68</f>
        <v/>
      </c>
      <c r="C77" s="6" t="str">
        <f t="shared" si="0"/>
        <v>X</v>
      </c>
    </row>
    <row r="78" spans="1:3" ht="12" customHeight="1">
      <c r="A78" s="160" t="str">
        <f>Nasazení!B129</f>
        <v/>
      </c>
      <c r="B78" s="162" t="str">
        <f>Nasazení!C129</f>
        <v/>
      </c>
      <c r="C78" s="6" t="str">
        <f t="shared" si="0"/>
        <v>X</v>
      </c>
    </row>
    <row r="79" spans="1:3" ht="12" customHeight="1">
      <c r="A79" s="160" t="str">
        <f>Nasazení!B132</f>
        <v/>
      </c>
      <c r="B79" s="162" t="str">
        <f>Nasazení!C132</f>
        <v/>
      </c>
      <c r="C79" s="6" t="str">
        <f t="shared" si="0"/>
        <v>X</v>
      </c>
    </row>
    <row r="80" spans="1:3" ht="12" customHeight="1">
      <c r="A80" s="160" t="str">
        <f>Nasazení!B64</f>
        <v/>
      </c>
      <c r="B80" s="162" t="str">
        <f>Nasazení!C64</f>
        <v/>
      </c>
      <c r="C80" s="6" t="str">
        <f t="shared" si="0"/>
        <v>X</v>
      </c>
    </row>
    <row r="81" spans="1:3" ht="12" customHeight="1">
      <c r="A81" s="160" t="str">
        <f>Nasazení!B69</f>
        <v/>
      </c>
      <c r="B81" s="162" t="str">
        <f>Nasazení!C69</f>
        <v/>
      </c>
      <c r="C81" s="6" t="str">
        <f t="shared" si="0"/>
        <v>X</v>
      </c>
    </row>
    <row r="82" spans="1:3" ht="12" customHeight="1">
      <c r="A82" s="160" t="str">
        <f>Nasazení!B128</f>
        <v/>
      </c>
      <c r="B82" s="162" t="str">
        <f>Nasazení!C128</f>
        <v/>
      </c>
      <c r="C82" s="6" t="str">
        <f t="shared" si="0"/>
        <v>X</v>
      </c>
    </row>
    <row r="83" spans="1:3" ht="12" customHeight="1">
      <c r="A83" s="160" t="str">
        <f>Nasazení!B133</f>
        <v/>
      </c>
      <c r="B83" s="162" t="str">
        <f>Nasazení!C133</f>
        <v/>
      </c>
      <c r="C83" s="6" t="str">
        <f t="shared" si="0"/>
        <v>X</v>
      </c>
    </row>
    <row r="84" spans="1:3" ht="12" customHeight="1">
      <c r="A84" s="160" t="str">
        <f>Nasazení!B63</f>
        <v/>
      </c>
      <c r="B84" s="162" t="str">
        <f>Nasazení!C63</f>
        <v/>
      </c>
      <c r="C84" s="6" t="str">
        <f t="shared" si="0"/>
        <v>X</v>
      </c>
    </row>
    <row r="85" spans="1:3" ht="12" customHeight="1">
      <c r="A85" s="160" t="str">
        <f>Nasazení!B70</f>
        <v/>
      </c>
      <c r="B85" s="162" t="str">
        <f>Nasazení!C70</f>
        <v/>
      </c>
      <c r="C85" s="6" t="str">
        <f t="shared" si="0"/>
        <v>X</v>
      </c>
    </row>
    <row r="86" spans="1:3" ht="12" customHeight="1">
      <c r="A86" s="160" t="str">
        <f>Nasazení!B127</f>
        <v/>
      </c>
      <c r="B86" s="162" t="str">
        <f>Nasazení!C127</f>
        <v/>
      </c>
      <c r="C86" s="6" t="str">
        <f t="shared" si="0"/>
        <v>X</v>
      </c>
    </row>
    <row r="87" spans="1:3" ht="12" customHeight="1">
      <c r="A87" s="160" t="str">
        <f>Nasazení!B134</f>
        <v/>
      </c>
      <c r="B87" s="162" t="str">
        <f>Nasazení!C134</f>
        <v/>
      </c>
      <c r="C87" s="6" t="str">
        <f t="shared" si="0"/>
        <v>X</v>
      </c>
    </row>
    <row r="88" spans="1:3" ht="12" customHeight="1">
      <c r="A88" s="160" t="str">
        <f>Nasazení!B62</f>
        <v/>
      </c>
      <c r="B88" s="162" t="str">
        <f>Nasazení!C62</f>
        <v/>
      </c>
      <c r="C88" s="6" t="str">
        <f t="shared" si="0"/>
        <v>X</v>
      </c>
    </row>
    <row r="89" spans="1:3" ht="12" customHeight="1">
      <c r="A89" s="160" t="str">
        <f>Nasazení!B71</f>
        <v/>
      </c>
      <c r="B89" s="162" t="str">
        <f>Nasazení!C71</f>
        <v/>
      </c>
      <c r="C89" s="6" t="str">
        <f t="shared" si="0"/>
        <v>X</v>
      </c>
    </row>
    <row r="90" spans="1:3" ht="12" customHeight="1">
      <c r="A90" s="160" t="str">
        <f>Nasazení!B126</f>
        <v/>
      </c>
      <c r="B90" s="162" t="str">
        <f>Nasazení!C126</f>
        <v/>
      </c>
      <c r="C90" s="6" t="str">
        <f t="shared" si="0"/>
        <v>X</v>
      </c>
    </row>
    <row r="91" spans="1:3" ht="12" customHeight="1">
      <c r="A91" s="160" t="str">
        <f>Nasazení!B135</f>
        <v/>
      </c>
      <c r="B91" s="162" t="str">
        <f>Nasazení!C135</f>
        <v/>
      </c>
      <c r="C91" s="6" t="str">
        <f t="shared" si="0"/>
        <v>X</v>
      </c>
    </row>
    <row r="92" spans="1:3" ht="12" customHeight="1">
      <c r="A92" s="160" t="str">
        <f>Nasazení!B61</f>
        <v/>
      </c>
      <c r="B92" s="162" t="str">
        <f>Nasazení!C61</f>
        <v/>
      </c>
      <c r="C92" s="6" t="str">
        <f t="shared" si="0"/>
        <v>X</v>
      </c>
    </row>
    <row r="93" spans="1:3" ht="12" customHeight="1">
      <c r="A93" s="160" t="str">
        <f>Nasazení!B72</f>
        <v/>
      </c>
      <c r="B93" s="162" t="str">
        <f>Nasazení!C72</f>
        <v/>
      </c>
      <c r="C93" s="6" t="str">
        <f t="shared" si="0"/>
        <v>X</v>
      </c>
    </row>
    <row r="94" spans="1:3" ht="12" customHeight="1">
      <c r="A94" s="160" t="str">
        <f>Nasazení!B125</f>
        <v/>
      </c>
      <c r="B94" s="162" t="str">
        <f>Nasazení!C125</f>
        <v/>
      </c>
      <c r="C94" s="6" t="str">
        <f t="shared" si="0"/>
        <v>X</v>
      </c>
    </row>
    <row r="95" spans="1:3" ht="12" customHeight="1">
      <c r="A95" s="160" t="str">
        <f>Nasazení!B136</f>
        <v/>
      </c>
      <c r="B95" s="162" t="str">
        <f>Nasazení!C136</f>
        <v/>
      </c>
      <c r="C95" s="6" t="str">
        <f t="shared" si="0"/>
        <v>X</v>
      </c>
    </row>
    <row r="96" spans="1:3" ht="12" customHeight="1">
      <c r="A96" s="160" t="str">
        <f>Nasazení!B60</f>
        <v/>
      </c>
      <c r="B96" s="162" t="str">
        <f>Nasazení!C60</f>
        <v/>
      </c>
      <c r="C96" s="6" t="str">
        <f t="shared" si="0"/>
        <v>X</v>
      </c>
    </row>
    <row r="97" spans="1:3" ht="12" customHeight="1">
      <c r="A97" s="160" t="str">
        <f>Nasazení!B73</f>
        <v/>
      </c>
      <c r="B97" s="162" t="str">
        <f>Nasazení!C73</f>
        <v/>
      </c>
      <c r="C97" s="6" t="str">
        <f t="shared" si="0"/>
        <v>X</v>
      </c>
    </row>
    <row r="98" spans="1:3" ht="12" customHeight="1">
      <c r="A98" s="160" t="str">
        <f>Nasazení!B124</f>
        <v/>
      </c>
      <c r="B98" s="162" t="str">
        <f>Nasazení!C124</f>
        <v/>
      </c>
      <c r="C98" s="6" t="str">
        <f t="shared" si="0"/>
        <v>X</v>
      </c>
    </row>
    <row r="99" spans="1:3" ht="12" customHeight="1">
      <c r="A99" s="160" t="str">
        <f>Nasazení!B59</f>
        <v/>
      </c>
      <c r="B99" s="162" t="str">
        <f>Nasazení!C59</f>
        <v/>
      </c>
      <c r="C99" s="6" t="str">
        <f t="shared" si="0"/>
        <v>X</v>
      </c>
    </row>
    <row r="100" spans="1:3" ht="12" customHeight="1">
      <c r="A100" s="160" t="str">
        <f>Nasazení!B74</f>
        <v/>
      </c>
      <c r="B100" s="162" t="str">
        <f>Nasazení!C74</f>
        <v/>
      </c>
      <c r="C100" s="6" t="str">
        <f t="shared" si="0"/>
        <v>X</v>
      </c>
    </row>
    <row r="101" spans="1:3" ht="12" customHeight="1">
      <c r="A101" s="160" t="str">
        <f>Nasazení!B123</f>
        <v/>
      </c>
      <c r="B101" s="162" t="str">
        <f>Nasazení!C123</f>
        <v/>
      </c>
      <c r="C101" s="6" t="str">
        <f t="shared" si="0"/>
        <v>X</v>
      </c>
    </row>
    <row r="102" spans="1:3" ht="12" customHeight="1">
      <c r="A102" s="160" t="str">
        <f>Nasazení!B58</f>
        <v/>
      </c>
      <c r="B102" s="162" t="str">
        <f>Nasazení!C58</f>
        <v/>
      </c>
      <c r="C102" s="6" t="str">
        <f t="shared" si="0"/>
        <v>X</v>
      </c>
    </row>
    <row r="103" spans="1:3" ht="12" customHeight="1">
      <c r="A103" s="160" t="str">
        <f>Nasazení!B75</f>
        <v/>
      </c>
      <c r="B103" s="162" t="str">
        <f>Nasazení!C75</f>
        <v/>
      </c>
      <c r="C103" s="6" t="str">
        <f t="shared" si="0"/>
        <v>X</v>
      </c>
    </row>
    <row r="104" spans="1:3" ht="12" customHeight="1">
      <c r="A104" s="160" t="str">
        <f>Nasazení!B122</f>
        <v/>
      </c>
      <c r="B104" s="162" t="str">
        <f>Nasazení!C122</f>
        <v/>
      </c>
      <c r="C104" s="6" t="str">
        <f t="shared" si="0"/>
        <v>X</v>
      </c>
    </row>
    <row r="105" spans="1:3" ht="12" customHeight="1">
      <c r="A105" s="160" t="str">
        <f>Nasazení!B57</f>
        <v/>
      </c>
      <c r="B105" s="162" t="str">
        <f>Nasazení!C57</f>
        <v/>
      </c>
      <c r="C105" s="6" t="str">
        <f t="shared" si="0"/>
        <v>X</v>
      </c>
    </row>
    <row r="106" spans="1:3" ht="12" customHeight="1">
      <c r="A106" s="160" t="str">
        <f>Nasazení!B76</f>
        <v/>
      </c>
      <c r="B106" s="162" t="str">
        <f>Nasazení!C76</f>
        <v/>
      </c>
      <c r="C106" s="6" t="str">
        <f t="shared" si="0"/>
        <v>X</v>
      </c>
    </row>
    <row r="107" spans="1:3" ht="12" customHeight="1">
      <c r="A107" s="160" t="str">
        <f>Nasazení!B121</f>
        <v/>
      </c>
      <c r="B107" s="162" t="str">
        <f>Nasazení!C121</f>
        <v/>
      </c>
      <c r="C107" s="6" t="str">
        <f t="shared" si="0"/>
        <v>X</v>
      </c>
    </row>
    <row r="108" spans="1:3" ht="12" customHeight="1">
      <c r="A108" s="160" t="str">
        <f>Nasazení!B56</f>
        <v/>
      </c>
      <c r="B108" s="162" t="str">
        <f>Nasazení!C56</f>
        <v/>
      </c>
      <c r="C108" s="6" t="str">
        <f t="shared" si="0"/>
        <v>X</v>
      </c>
    </row>
    <row r="109" spans="1:3" ht="12" customHeight="1">
      <c r="A109" s="160" t="str">
        <f>Nasazení!B77</f>
        <v/>
      </c>
      <c r="B109" s="162" t="str">
        <f>Nasazení!C77</f>
        <v/>
      </c>
      <c r="C109" s="6" t="str">
        <f t="shared" si="0"/>
        <v>X</v>
      </c>
    </row>
    <row r="110" spans="1:3" ht="12" customHeight="1">
      <c r="A110" s="160" t="str">
        <f>Nasazení!B120</f>
        <v/>
      </c>
      <c r="B110" s="162" t="str">
        <f>Nasazení!C120</f>
        <v/>
      </c>
      <c r="C110" s="6" t="str">
        <f t="shared" si="0"/>
        <v>X</v>
      </c>
    </row>
    <row r="111" spans="1:3" ht="12" customHeight="1">
      <c r="A111" s="160" t="str">
        <f>Nasazení!B55</f>
        <v/>
      </c>
      <c r="B111" s="162" t="str">
        <f>Nasazení!C55</f>
        <v/>
      </c>
      <c r="C111" s="6" t="str">
        <f t="shared" si="0"/>
        <v>X</v>
      </c>
    </row>
    <row r="112" spans="1:3" ht="12" customHeight="1">
      <c r="A112" s="160" t="str">
        <f>Nasazení!B78</f>
        <v/>
      </c>
      <c r="B112" s="162" t="str">
        <f>Nasazení!C78</f>
        <v/>
      </c>
      <c r="C112" s="6" t="str">
        <f t="shared" si="0"/>
        <v>X</v>
      </c>
    </row>
    <row r="113" spans="1:3" ht="12" customHeight="1">
      <c r="A113" s="160" t="str">
        <f>Nasazení!B119</f>
        <v/>
      </c>
      <c r="B113" s="162" t="str">
        <f>Nasazení!C119</f>
        <v/>
      </c>
      <c r="C113" s="6" t="str">
        <f t="shared" si="0"/>
        <v>X</v>
      </c>
    </row>
    <row r="114" spans="1:3" ht="12" customHeight="1">
      <c r="A114" s="160" t="str">
        <f>Nasazení!B54</f>
        <v/>
      </c>
      <c r="B114" s="162" t="str">
        <f>Nasazení!C54</f>
        <v/>
      </c>
      <c r="C114" s="6" t="str">
        <f t="shared" si="0"/>
        <v>X</v>
      </c>
    </row>
    <row r="115" spans="1:3" ht="12" customHeight="1">
      <c r="A115" s="160" t="str">
        <f>Nasazení!B79</f>
        <v/>
      </c>
      <c r="B115" s="162" t="str">
        <f>Nasazení!C79</f>
        <v/>
      </c>
      <c r="C115" s="6" t="str">
        <f t="shared" si="0"/>
        <v>X</v>
      </c>
    </row>
    <row r="116" spans="1:3" ht="12" customHeight="1">
      <c r="A116" s="160" t="str">
        <f>Nasazení!B118</f>
        <v/>
      </c>
      <c r="B116" s="162" t="str">
        <f>Nasazení!C118</f>
        <v/>
      </c>
      <c r="C116" s="6" t="str">
        <f t="shared" si="0"/>
        <v>X</v>
      </c>
    </row>
    <row r="117" spans="1:3" ht="12" customHeight="1">
      <c r="A117" s="160" t="str">
        <f>Nasazení!B53</f>
        <v/>
      </c>
      <c r="B117" s="162" t="str">
        <f>Nasazení!C53</f>
        <v/>
      </c>
      <c r="C117" s="6" t="str">
        <f t="shared" si="0"/>
        <v>X</v>
      </c>
    </row>
    <row r="118" spans="1:3" ht="12" customHeight="1">
      <c r="A118" s="160" t="str">
        <f>Nasazení!B80</f>
        <v/>
      </c>
      <c r="B118" s="162" t="str">
        <f>Nasazení!C80</f>
        <v/>
      </c>
      <c r="C118" s="6" t="str">
        <f t="shared" si="0"/>
        <v>X</v>
      </c>
    </row>
    <row r="119" spans="1:3" ht="12" customHeight="1">
      <c r="A119" s="160" t="str">
        <f>Nasazení!B117</f>
        <v/>
      </c>
      <c r="B119" s="162" t="str">
        <f>Nasazení!C117</f>
        <v/>
      </c>
      <c r="C119" s="6" t="str">
        <f t="shared" si="0"/>
        <v>X</v>
      </c>
    </row>
    <row r="120" spans="1:3" ht="12" customHeight="1">
      <c r="A120" s="160" t="str">
        <f>Nasazení!B52</f>
        <v/>
      </c>
      <c r="B120" s="162" t="str">
        <f>Nasazení!C52</f>
        <v/>
      </c>
      <c r="C120" s="6" t="str">
        <f t="shared" si="0"/>
        <v>X</v>
      </c>
    </row>
    <row r="121" spans="1:3" ht="12" customHeight="1">
      <c r="A121" s="160" t="str">
        <f>Nasazení!B81</f>
        <v/>
      </c>
      <c r="B121" s="162" t="str">
        <f>Nasazení!C81</f>
        <v/>
      </c>
      <c r="C121" s="6" t="str">
        <f t="shared" si="0"/>
        <v>X</v>
      </c>
    </row>
    <row r="122" spans="1:3" ht="12" customHeight="1">
      <c r="A122" s="160" t="str">
        <f>Nasazení!B116</f>
        <v/>
      </c>
      <c r="B122" s="162" t="str">
        <f>Nasazení!C116</f>
        <v/>
      </c>
      <c r="C122" s="6" t="str">
        <f t="shared" si="0"/>
        <v>X</v>
      </c>
    </row>
    <row r="123" spans="1:3" ht="12" customHeight="1">
      <c r="A123" s="160" t="str">
        <f>Nasazení!B51</f>
        <v/>
      </c>
      <c r="B123" s="162" t="str">
        <f>Nasazení!C51</f>
        <v/>
      </c>
      <c r="C123" s="6" t="str">
        <f t="shared" si="0"/>
        <v>X</v>
      </c>
    </row>
    <row r="124" spans="1:3" ht="12" customHeight="1">
      <c r="A124" s="160" t="str">
        <f>Nasazení!B82</f>
        <v/>
      </c>
      <c r="B124" s="162" t="str">
        <f>Nasazení!C82</f>
        <v/>
      </c>
      <c r="C124" s="6" t="str">
        <f t="shared" si="0"/>
        <v>X</v>
      </c>
    </row>
    <row r="125" spans="1:3" ht="12" customHeight="1">
      <c r="A125" s="160" t="str">
        <f>Nasazení!B115</f>
        <v/>
      </c>
      <c r="B125" s="162" t="str">
        <f>Nasazení!C115</f>
        <v/>
      </c>
      <c r="C125" s="6" t="str">
        <f t="shared" si="0"/>
        <v>X</v>
      </c>
    </row>
    <row r="126" spans="1:3" ht="12" customHeight="1">
      <c r="A126" s="160" t="str">
        <f>Nasazení!B50</f>
        <v/>
      </c>
      <c r="B126" s="162" t="str">
        <f>Nasazení!C50</f>
        <v/>
      </c>
      <c r="C126" s="6" t="str">
        <f t="shared" si="0"/>
        <v>X</v>
      </c>
    </row>
    <row r="127" spans="1:3" ht="12" customHeight="1">
      <c r="A127" s="160" t="str">
        <f>Nasazení!B83</f>
        <v/>
      </c>
      <c r="B127" s="162" t="str">
        <f>Nasazení!C83</f>
        <v/>
      </c>
      <c r="C127" s="6" t="str">
        <f t="shared" si="0"/>
        <v>X</v>
      </c>
    </row>
    <row r="128" spans="1:3" ht="12" customHeight="1">
      <c r="A128" s="160" t="str">
        <f>Nasazení!B114</f>
        <v/>
      </c>
      <c r="B128" s="162" t="str">
        <f>Nasazení!C114</f>
        <v/>
      </c>
      <c r="C128" s="6" t="str">
        <f t="shared" si="0"/>
        <v>X</v>
      </c>
    </row>
    <row r="129" spans="1:3" ht="12" customHeight="1">
      <c r="A129" s="160" t="str">
        <f>Nasazení!B49</f>
        <v/>
      </c>
      <c r="B129" s="162" t="str">
        <f>Nasazení!C49</f>
        <v/>
      </c>
      <c r="C129" s="6" t="str">
        <f t="shared" si="0"/>
        <v>X</v>
      </c>
    </row>
    <row r="130" spans="1:3" ht="12" customHeight="1">
      <c r="A130" s="160" t="str">
        <f>Nasazení!B84</f>
        <v/>
      </c>
      <c r="B130" s="162" t="str">
        <f>Nasazení!C84</f>
        <v/>
      </c>
      <c r="C130" s="6" t="str">
        <f t="shared" si="0"/>
        <v>X</v>
      </c>
    </row>
    <row r="131" spans="1:3" ht="12" customHeight="1">
      <c r="A131" s="160" t="str">
        <f>Nasazení!B113</f>
        <v/>
      </c>
      <c r="B131" s="162" t="str">
        <f>Nasazení!C113</f>
        <v/>
      </c>
      <c r="C131" s="6" t="str">
        <f t="shared" si="0"/>
        <v>X</v>
      </c>
    </row>
    <row r="132" spans="1:3" ht="12" customHeight="1">
      <c r="A132" s="160" t="str">
        <f>Nasazení!B48</f>
        <v/>
      </c>
      <c r="B132" s="162" t="str">
        <f>Nasazení!C48</f>
        <v/>
      </c>
      <c r="C132" s="6" t="str">
        <f t="shared" si="0"/>
        <v>X</v>
      </c>
    </row>
    <row r="133" spans="1:3" ht="12" customHeight="1">
      <c r="A133" s="160" t="str">
        <f>Nasazení!B85</f>
        <v/>
      </c>
      <c r="B133" s="162" t="str">
        <f>Nasazení!C85</f>
        <v/>
      </c>
      <c r="C133" s="6" t="str">
        <f t="shared" si="0"/>
        <v>X</v>
      </c>
    </row>
    <row r="134" spans="1:3" ht="12" customHeight="1">
      <c r="A134" s="160" t="str">
        <f>Nasazení!B112</f>
        <v/>
      </c>
      <c r="B134" s="162" t="str">
        <f>Nasazení!C112</f>
        <v/>
      </c>
      <c r="C134" s="6" t="str">
        <f t="shared" si="0"/>
        <v>X</v>
      </c>
    </row>
    <row r="135" spans="1:3" ht="12" customHeight="1">
      <c r="A135" s="160" t="str">
        <f>Nasazení!B86</f>
        <v/>
      </c>
      <c r="B135" s="162" t="str">
        <f>Nasazení!C86</f>
        <v/>
      </c>
      <c r="C135" s="6" t="str">
        <f t="shared" si="0"/>
        <v>X</v>
      </c>
    </row>
    <row r="136" spans="1:3" ht="12" customHeight="1">
      <c r="A136" s="160" t="str">
        <f>Nasazení!B111</f>
        <v/>
      </c>
      <c r="B136" s="162" t="str">
        <f>Nasazení!C111</f>
        <v/>
      </c>
      <c r="C136" s="6" t="str">
        <f t="shared" si="0"/>
        <v>X</v>
      </c>
    </row>
    <row r="137" spans="1:3" ht="12" customHeight="1">
      <c r="A137" s="160" t="str">
        <f>Nasazení!B87</f>
        <v/>
      </c>
      <c r="B137" s="162" t="str">
        <f>Nasazení!C87</f>
        <v/>
      </c>
      <c r="C137" s="6" t="str">
        <f t="shared" si="0"/>
        <v>X</v>
      </c>
    </row>
    <row r="138" spans="1:3" ht="12" customHeight="1">
      <c r="A138" s="160" t="str">
        <f>Nasazení!B110</f>
        <v/>
      </c>
      <c r="B138" s="162" t="str">
        <f>Nasazení!C110</f>
        <v/>
      </c>
      <c r="C138" s="6" t="str">
        <f t="shared" si="0"/>
        <v>X</v>
      </c>
    </row>
    <row r="139" spans="1:3" ht="12" customHeight="1">
      <c r="A139" s="160" t="str">
        <f>Nasazení!B88</f>
        <v/>
      </c>
      <c r="B139" s="162" t="str">
        <f>Nasazení!C88</f>
        <v/>
      </c>
      <c r="C139" s="6" t="str">
        <f t="shared" si="0"/>
        <v>X</v>
      </c>
    </row>
    <row r="140" spans="1:3" ht="12" customHeight="1">
      <c r="A140" s="160" t="str">
        <f>Nasazení!B109</f>
        <v/>
      </c>
      <c r="B140" s="162" t="str">
        <f>Nasazení!C109</f>
        <v/>
      </c>
      <c r="C140" s="6" t="str">
        <f t="shared" si="0"/>
        <v>X</v>
      </c>
    </row>
    <row r="141" spans="1:3" ht="12" customHeight="1">
      <c r="A141" s="160" t="str">
        <f>Nasazení!B89</f>
        <v/>
      </c>
      <c r="B141" s="162" t="str">
        <f>Nasazení!C89</f>
        <v/>
      </c>
      <c r="C141" s="6" t="str">
        <f t="shared" si="0"/>
        <v>X</v>
      </c>
    </row>
    <row r="142" spans="1:3" ht="12" customHeight="1">
      <c r="A142" s="160" t="str">
        <f>Nasazení!B108</f>
        <v/>
      </c>
      <c r="B142" s="162" t="str">
        <f>Nasazení!C108</f>
        <v/>
      </c>
      <c r="C142" s="6" t="str">
        <f t="shared" si="0"/>
        <v>X</v>
      </c>
    </row>
    <row r="143" spans="1:3" ht="12" customHeight="1">
      <c r="A143" s="160" t="str">
        <f>Nasazení!B90</f>
        <v/>
      </c>
      <c r="B143" s="162" t="str">
        <f>Nasazení!C90</f>
        <v/>
      </c>
      <c r="C143" s="6" t="str">
        <f t="shared" si="0"/>
        <v>X</v>
      </c>
    </row>
    <row r="144" spans="1:3" ht="12" customHeight="1">
      <c r="A144" s="160" t="str">
        <f>Nasazení!B107</f>
        <v/>
      </c>
      <c r="B144" s="162" t="str">
        <f>Nasazení!C107</f>
        <v/>
      </c>
      <c r="C144" s="6" t="str">
        <f t="shared" si="0"/>
        <v>X</v>
      </c>
    </row>
    <row r="145" spans="1:3" ht="12" customHeight="1">
      <c r="A145" s="160" t="str">
        <f>Nasazení!B91</f>
        <v/>
      </c>
      <c r="B145" s="162" t="str">
        <f>Nasazení!C91</f>
        <v/>
      </c>
      <c r="C145" s="6" t="str">
        <f t="shared" si="0"/>
        <v>X</v>
      </c>
    </row>
    <row r="146" spans="1:3" ht="12" customHeight="1">
      <c r="A146" s="160" t="str">
        <f>Nasazení!B106</f>
        <v/>
      </c>
      <c r="B146" s="162" t="str">
        <f>Nasazení!C106</f>
        <v/>
      </c>
      <c r="C146" s="6" t="str">
        <f t="shared" si="0"/>
        <v>X</v>
      </c>
    </row>
    <row r="147" spans="1:3" ht="12" customHeight="1">
      <c r="A147" s="160" t="str">
        <f>Nasazení!B92</f>
        <v/>
      </c>
      <c r="B147" s="162" t="str">
        <f>Nasazení!C92</f>
        <v/>
      </c>
      <c r="C147" s="6" t="str">
        <f t="shared" si="0"/>
        <v>X</v>
      </c>
    </row>
    <row r="148" spans="1:3" ht="12" customHeight="1">
      <c r="A148" s="160" t="str">
        <f>Nasazení!B105</f>
        <v/>
      </c>
      <c r="B148" s="162" t="str">
        <f>Nasazení!C105</f>
        <v/>
      </c>
      <c r="C148" s="6" t="str">
        <f t="shared" si="0"/>
        <v>X</v>
      </c>
    </row>
    <row r="149" spans="1:3" ht="12" customHeight="1">
      <c r="A149" s="160" t="str">
        <f>Nasazení!B146</f>
        <v/>
      </c>
      <c r="B149" s="162" t="str">
        <f>Nasazení!C146</f>
        <v/>
      </c>
      <c r="C149" s="6" t="str">
        <f t="shared" si="0"/>
        <v>X</v>
      </c>
    </row>
    <row r="150" spans="1:3" ht="12" customHeight="1">
      <c r="A150" s="160" t="str">
        <f>Nasazení!B147</f>
        <v/>
      </c>
      <c r="B150" s="162" t="str">
        <f>Nasazení!C147</f>
        <v/>
      </c>
      <c r="C150" s="6" t="str">
        <f t="shared" si="0"/>
        <v>X</v>
      </c>
    </row>
    <row r="151" spans="1:3" ht="12" customHeight="1">
      <c r="A151" s="160" t="str">
        <f>Nasazení!B162</f>
        <v/>
      </c>
      <c r="B151" s="162" t="str">
        <f>Nasazení!C162</f>
        <v/>
      </c>
      <c r="C151" s="6" t="str">
        <f t="shared" si="0"/>
        <v>X</v>
      </c>
    </row>
    <row r="152" spans="1:3" ht="12" customHeight="1">
      <c r="A152" s="160" t="str">
        <f>Nasazení!B145</f>
        <v/>
      </c>
      <c r="B152" s="162" t="str">
        <f>Nasazení!C145</f>
        <v/>
      </c>
      <c r="C152" s="6" t="str">
        <f t="shared" si="0"/>
        <v>X</v>
      </c>
    </row>
    <row r="153" spans="1:3" ht="12" customHeight="1">
      <c r="A153" s="160" t="str">
        <f>Nasazení!B148</f>
        <v/>
      </c>
      <c r="B153" s="162" t="str">
        <f>Nasazení!C148</f>
        <v/>
      </c>
      <c r="C153" s="6" t="str">
        <f t="shared" si="0"/>
        <v>X</v>
      </c>
    </row>
    <row r="154" spans="1:3" ht="12" customHeight="1">
      <c r="A154" s="160" t="str">
        <f>Nasazení!B161</f>
        <v/>
      </c>
      <c r="B154" s="162" t="str">
        <f>Nasazení!C161</f>
        <v/>
      </c>
      <c r="C154" s="6" t="str">
        <f t="shared" si="0"/>
        <v>X</v>
      </c>
    </row>
    <row r="155" spans="1:3" ht="12" customHeight="1">
      <c r="A155" s="160" t="str">
        <f>Nasazení!B144</f>
        <v/>
      </c>
      <c r="B155" s="162" t="str">
        <f>Nasazení!C144</f>
        <v/>
      </c>
      <c r="C155" s="6" t="str">
        <f t="shared" si="0"/>
        <v>X</v>
      </c>
    </row>
    <row r="156" spans="1:3" ht="12" customHeight="1">
      <c r="A156" s="160" t="str">
        <f>Nasazení!B149</f>
        <v/>
      </c>
      <c r="B156" s="162" t="str">
        <f>Nasazení!C149</f>
        <v/>
      </c>
      <c r="C156" s="6" t="str">
        <f t="shared" si="0"/>
        <v>X</v>
      </c>
    </row>
    <row r="157" spans="1:3" ht="12" customHeight="1">
      <c r="A157" s="160" t="str">
        <f>Nasazení!B160</f>
        <v/>
      </c>
      <c r="B157" s="162" t="str">
        <f>Nasazení!C160</f>
        <v/>
      </c>
      <c r="C157" s="6" t="str">
        <f t="shared" si="0"/>
        <v>X</v>
      </c>
    </row>
    <row r="158" spans="1:3" ht="12" customHeight="1">
      <c r="A158" s="160" t="str">
        <f>Nasazení!B143</f>
        <v/>
      </c>
      <c r="B158" s="162" t="str">
        <f>Nasazení!C143</f>
        <v/>
      </c>
      <c r="C158" s="6" t="str">
        <f t="shared" si="0"/>
        <v>X</v>
      </c>
    </row>
    <row r="159" spans="1:3" ht="12" customHeight="1">
      <c r="A159" s="160" t="str">
        <f>Nasazení!B150</f>
        <v/>
      </c>
      <c r="B159" s="162" t="str">
        <f>Nasazení!C150</f>
        <v/>
      </c>
      <c r="C159" s="6" t="str">
        <f t="shared" si="0"/>
        <v>X</v>
      </c>
    </row>
    <row r="160" spans="1:3" ht="12" customHeight="1">
      <c r="A160" s="160" t="str">
        <f>Nasazení!B159</f>
        <v/>
      </c>
      <c r="B160" s="162" t="str">
        <f>Nasazení!C159</f>
        <v/>
      </c>
      <c r="C160" s="6" t="str">
        <f t="shared" si="0"/>
        <v>X</v>
      </c>
    </row>
    <row r="161" spans="1:3" ht="12" customHeight="1">
      <c r="A161" s="160" t="str">
        <f>Nasazení!B142</f>
        <v/>
      </c>
      <c r="B161" s="162" t="str">
        <f>Nasazení!C142</f>
        <v/>
      </c>
      <c r="C161" s="6" t="str">
        <f t="shared" si="0"/>
        <v>X</v>
      </c>
    </row>
    <row r="162" spans="1:3" ht="12" customHeight="1">
      <c r="A162" s="160" t="str">
        <f>Nasazení!B151</f>
        <v/>
      </c>
      <c r="B162" s="162" t="str">
        <f>Nasazení!C151</f>
        <v/>
      </c>
      <c r="C162" s="6" t="str">
        <f t="shared" si="0"/>
        <v>X</v>
      </c>
    </row>
    <row r="163" spans="1:3" ht="12" customHeight="1">
      <c r="A163" s="160" t="str">
        <f>Nasazení!B158</f>
        <v/>
      </c>
      <c r="B163" s="162" t="str">
        <f>Nasazení!C158</f>
        <v/>
      </c>
      <c r="C163" s="6" t="str">
        <f t="shared" si="0"/>
        <v>X</v>
      </c>
    </row>
    <row r="164" spans="1:3" ht="12" customHeight="1">
      <c r="A164" s="160" t="str">
        <f>Nasazení!B141</f>
        <v/>
      </c>
      <c r="B164" s="162" t="str">
        <f>Nasazení!C141</f>
        <v/>
      </c>
      <c r="C164" s="6" t="str">
        <f t="shared" si="0"/>
        <v>X</v>
      </c>
    </row>
    <row r="165" spans="1:3" ht="12" customHeight="1">
      <c r="A165" s="160" t="str">
        <f>Nasazení!B152</f>
        <v/>
      </c>
      <c r="B165" s="162" t="str">
        <f>Nasazení!C152</f>
        <v/>
      </c>
      <c r="C165" s="6" t="str">
        <f t="shared" si="0"/>
        <v>X</v>
      </c>
    </row>
    <row r="166" spans="1:3" ht="12" customHeight="1">
      <c r="A166" s="160" t="str">
        <f>Nasazení!B157</f>
        <v/>
      </c>
      <c r="B166" s="162" t="str">
        <f>Nasazení!C157</f>
        <v/>
      </c>
      <c r="C166" s="6" t="str">
        <f t="shared" si="0"/>
        <v>X</v>
      </c>
    </row>
    <row r="167" spans="1:3" ht="12" customHeight="1">
      <c r="A167" s="160" t="str">
        <f>Nasazení!B137</f>
        <v/>
      </c>
      <c r="B167" s="162" t="str">
        <f>Nasazení!C137</f>
        <v/>
      </c>
      <c r="C167" s="6" t="str">
        <f t="shared" si="0"/>
        <v>X</v>
      </c>
    </row>
    <row r="168" spans="1:3" ht="12" customHeight="1">
      <c r="A168" s="160" t="str">
        <f>Nasazení!B140</f>
        <v/>
      </c>
      <c r="B168" s="162" t="str">
        <f>Nasazení!C140</f>
        <v/>
      </c>
      <c r="C168" s="6" t="str">
        <f t="shared" si="0"/>
        <v>X</v>
      </c>
    </row>
    <row r="169" spans="1:3" ht="12" customHeight="1">
      <c r="A169" s="160" t="str">
        <f>Nasazení!B153</f>
        <v/>
      </c>
      <c r="B169" s="162" t="str">
        <f>Nasazení!C153</f>
        <v/>
      </c>
      <c r="C169" s="6" t="str">
        <f t="shared" si="0"/>
        <v>X</v>
      </c>
    </row>
    <row r="170" spans="1:3" ht="12" customHeight="1">
      <c r="A170" s="160" t="str">
        <f>Nasazení!B156</f>
        <v/>
      </c>
      <c r="B170" s="162" t="str">
        <f>Nasazení!C156</f>
        <v/>
      </c>
      <c r="C170" s="6" t="str">
        <f t="shared" si="0"/>
        <v>X</v>
      </c>
    </row>
    <row r="171" spans="1:3" ht="12" customHeight="1">
      <c r="A171" s="160" t="str">
        <f>Nasazení!B138</f>
        <v/>
      </c>
      <c r="B171" s="162" t="str">
        <f>Nasazení!C138</f>
        <v/>
      </c>
      <c r="C171" s="6" t="str">
        <f t="shared" si="0"/>
        <v>X</v>
      </c>
    </row>
    <row r="172" spans="1:3" ht="12" customHeight="1">
      <c r="A172" s="160" t="str">
        <f>Nasazení!B139</f>
        <v/>
      </c>
      <c r="B172" s="162" t="str">
        <f>Nasazení!C139</f>
        <v/>
      </c>
      <c r="C172" s="6" t="str">
        <f t="shared" si="0"/>
        <v>X</v>
      </c>
    </row>
    <row r="173" spans="1:3" ht="12" customHeight="1">
      <c r="A173" s="160" t="str">
        <f>Nasazení!B154</f>
        <v/>
      </c>
      <c r="B173" s="162" t="str">
        <f>Nasazení!C154</f>
        <v/>
      </c>
      <c r="C173" s="6" t="str">
        <f t="shared" si="0"/>
        <v>X</v>
      </c>
    </row>
    <row r="174" spans="1:3" ht="12" customHeight="1">
      <c r="A174" s="160" t="str">
        <f>Nasazení!B155</f>
        <v/>
      </c>
      <c r="B174" s="162" t="str">
        <f>Nasazení!C155</f>
        <v/>
      </c>
      <c r="C174" s="6" t="str">
        <f t="shared" si="0"/>
        <v>X</v>
      </c>
    </row>
    <row r="175" spans="1:3" ht="12" customHeight="1">
      <c r="A175" s="160" t="str">
        <f>Nasazení!B176</f>
        <v/>
      </c>
      <c r="B175" s="162" t="str">
        <f>Nasazení!C176</f>
        <v/>
      </c>
      <c r="C175" s="6" t="str">
        <f t="shared" si="0"/>
        <v>X</v>
      </c>
    </row>
    <row r="176" spans="1:3" ht="12" customHeight="1">
      <c r="A176" s="160" t="str">
        <f>Nasazení!B175</f>
        <v/>
      </c>
      <c r="B176" s="162" t="str">
        <f>Nasazení!C175</f>
        <v/>
      </c>
      <c r="C176" s="6" t="str">
        <f t="shared" si="0"/>
        <v>X</v>
      </c>
    </row>
    <row r="177" spans="1:3" ht="12" customHeight="1">
      <c r="A177" s="160" t="str">
        <f>Nasazení!B174</f>
        <v/>
      </c>
      <c r="B177" s="162" t="str">
        <f>Nasazení!C174</f>
        <v/>
      </c>
      <c r="C177" s="6" t="str">
        <f t="shared" si="0"/>
        <v>X</v>
      </c>
    </row>
    <row r="178" spans="1:3" ht="12" customHeight="1">
      <c r="A178" s="160" t="str">
        <f>Nasazení!B173</f>
        <v/>
      </c>
      <c r="B178" s="162" t="str">
        <f>Nasazení!C173</f>
        <v/>
      </c>
      <c r="C178" s="6" t="str">
        <f t="shared" si="0"/>
        <v>X</v>
      </c>
    </row>
    <row r="179" spans="1:3" ht="12" customHeight="1">
      <c r="A179" s="160" t="str">
        <f>Nasazení!B172</f>
        <v/>
      </c>
      <c r="B179" s="162" t="str">
        <f>Nasazení!C172</f>
        <v/>
      </c>
      <c r="C179" s="6" t="str">
        <f t="shared" si="0"/>
        <v>X</v>
      </c>
    </row>
    <row r="180" spans="1:3" ht="12" customHeight="1">
      <c r="A180" s="160" t="str">
        <f>Nasazení!B171</f>
        <v/>
      </c>
      <c r="B180" s="162" t="str">
        <f>Nasazení!C171</f>
        <v/>
      </c>
      <c r="C180" s="6" t="str">
        <f t="shared" si="0"/>
        <v>X</v>
      </c>
    </row>
    <row r="181" spans="1:3" ht="12" customHeight="1">
      <c r="A181" s="160" t="str">
        <f>Nasazení!B163</f>
        <v/>
      </c>
      <c r="B181" s="162" t="str">
        <f>Nasazení!C163</f>
        <v/>
      </c>
      <c r="C181" s="6" t="str">
        <f t="shared" si="0"/>
        <v>X</v>
      </c>
    </row>
    <row r="182" spans="1:3" ht="12" customHeight="1">
      <c r="A182" s="160" t="str">
        <f>Nasazení!B170</f>
        <v/>
      </c>
      <c r="B182" s="162" t="str">
        <f>Nasazení!C170</f>
        <v/>
      </c>
      <c r="C182" s="6" t="str">
        <f t="shared" si="0"/>
        <v>X</v>
      </c>
    </row>
    <row r="183" spans="1:3" ht="12" customHeight="1">
      <c r="A183" s="160" t="str">
        <f>Nasazení!B164</f>
        <v/>
      </c>
      <c r="B183" s="162" t="str">
        <f>Nasazení!C164</f>
        <v/>
      </c>
      <c r="C183" s="6" t="str">
        <f t="shared" si="0"/>
        <v>X</v>
      </c>
    </row>
    <row r="184" spans="1:3" ht="12" customHeight="1">
      <c r="A184" s="160" t="str">
        <f>Nasazení!B169</f>
        <v/>
      </c>
      <c r="B184" s="162" t="str">
        <f>Nasazení!C169</f>
        <v/>
      </c>
      <c r="C184" s="6" t="str">
        <f t="shared" si="0"/>
        <v>X</v>
      </c>
    </row>
    <row r="185" spans="1:3" ht="12" customHeight="1">
      <c r="A185" s="160" t="str">
        <f>Nasazení!B165</f>
        <v/>
      </c>
      <c r="B185" s="162" t="str">
        <f>Nasazení!C165</f>
        <v/>
      </c>
      <c r="C185" s="6" t="str">
        <f t="shared" si="0"/>
        <v>X</v>
      </c>
    </row>
    <row r="186" spans="1:3" ht="12" customHeight="1">
      <c r="A186" s="160" t="str">
        <f>Nasazení!B168</f>
        <v/>
      </c>
      <c r="B186" s="162" t="str">
        <f>Nasazení!C168</f>
        <v/>
      </c>
      <c r="C186" s="6" t="str">
        <f t="shared" si="0"/>
        <v>X</v>
      </c>
    </row>
    <row r="187" spans="1:3" ht="12" customHeight="1">
      <c r="A187" s="160" t="str">
        <f>Nasazení!B166</f>
        <v/>
      </c>
      <c r="B187" s="162" t="str">
        <f>Nasazení!C166</f>
        <v/>
      </c>
      <c r="C187" s="6" t="str">
        <f t="shared" si="0"/>
        <v>X</v>
      </c>
    </row>
    <row r="188" spans="1:3" ht="12" customHeight="1">
      <c r="A188" s="160" t="str">
        <f>Nasazení!B167</f>
        <v/>
      </c>
      <c r="B188" s="162" t="str">
        <f>Nasazení!C167</f>
        <v/>
      </c>
      <c r="C188" s="6" t="str">
        <f t="shared" si="0"/>
        <v>X</v>
      </c>
    </row>
    <row r="189" spans="1:3" ht="12" customHeight="1">
      <c r="A189" s="160" t="str">
        <f>Nasazení!B178</f>
        <v/>
      </c>
      <c r="B189" s="162" t="str">
        <f>Nasazení!C178</f>
        <v/>
      </c>
      <c r="C189" s="6" t="str">
        <f t="shared" si="0"/>
        <v>X</v>
      </c>
    </row>
    <row r="190" spans="1:3" ht="12" customHeight="1">
      <c r="A190" s="160" t="str">
        <f>Nasazení!B177</f>
        <v/>
      </c>
      <c r="B190" s="162" t="str">
        <f>Nasazení!C177</f>
        <v/>
      </c>
      <c r="C190" s="6" t="str">
        <f t="shared" si="0"/>
        <v>X</v>
      </c>
    </row>
    <row r="191" spans="1:3" ht="12" customHeight="1">
      <c r="A191" s="160" t="str">
        <f>Nasazení!B194</f>
        <v/>
      </c>
      <c r="B191" s="162" t="str">
        <f>Nasazení!C194</f>
        <v/>
      </c>
      <c r="C191" s="6" t="str">
        <f t="shared" si="0"/>
        <v>X</v>
      </c>
    </row>
    <row r="192" spans="1:3" ht="12" customHeight="1">
      <c r="A192" s="160" t="str">
        <f>Nasazení!B193</f>
        <v/>
      </c>
      <c r="B192" s="162" t="str">
        <f>Nasazení!C193</f>
        <v/>
      </c>
      <c r="C192" s="6" t="str">
        <f t="shared" si="0"/>
        <v>X</v>
      </c>
    </row>
    <row r="193" spans="1:3" ht="12" customHeight="1">
      <c r="A193" s="160" t="e">
        <f>Nasazení!#REF!</f>
        <v>#REF!</v>
      </c>
      <c r="B193" s="162" t="e">
        <f>Nasazení!#REF!</f>
        <v>#REF!</v>
      </c>
      <c r="C193" s="6" t="e">
        <f t="shared" si="0"/>
        <v>#REF!</v>
      </c>
    </row>
    <row r="194" spans="1:3" ht="12" customHeight="1">
      <c r="A194" s="160" t="e">
        <f>Nasazení!#REF!</f>
        <v>#REF!</v>
      </c>
      <c r="B194" s="162" t="e">
        <f>Nasazení!#REF!</f>
        <v>#REF!</v>
      </c>
      <c r="C194" s="6" t="e">
        <f t="shared" si="0"/>
        <v>#REF!</v>
      </c>
    </row>
    <row r="195" spans="1:3" ht="12" customHeight="1">
      <c r="A195" s="160" t="str">
        <f>Nasazení!B192</f>
        <v/>
      </c>
      <c r="B195" s="162" t="str">
        <f>Nasazení!C192</f>
        <v/>
      </c>
      <c r="C195" s="6" t="str">
        <f t="shared" si="0"/>
        <v>X</v>
      </c>
    </row>
    <row r="196" spans="1:3" ht="12" customHeight="1">
      <c r="A196" s="160" t="e">
        <f>Nasazení!#REF!</f>
        <v>#REF!</v>
      </c>
      <c r="B196" s="162" t="e">
        <f>Nasazení!#REF!</f>
        <v>#REF!</v>
      </c>
      <c r="C196" s="6" t="e">
        <f t="shared" si="0"/>
        <v>#REF!</v>
      </c>
    </row>
    <row r="197" spans="1:3" ht="12" customHeight="1">
      <c r="A197" s="160" t="str">
        <f>Nasazení!B191</f>
        <v/>
      </c>
      <c r="B197" s="162" t="str">
        <f>Nasazení!C191</f>
        <v/>
      </c>
      <c r="C197" s="6" t="str">
        <f t="shared" si="0"/>
        <v>X</v>
      </c>
    </row>
    <row r="198" spans="1:3" ht="12" customHeight="1">
      <c r="A198" s="160" t="e">
        <f>Nasazení!#REF!</f>
        <v>#REF!</v>
      </c>
      <c r="B198" s="162" t="e">
        <f>Nasazení!#REF!</f>
        <v>#REF!</v>
      </c>
      <c r="C198" s="6" t="e">
        <f t="shared" si="0"/>
        <v>#REF!</v>
      </c>
    </row>
    <row r="199" spans="1:3" ht="12" customHeight="1">
      <c r="A199" s="160">
        <f>Nasazení!B247</f>
        <v>0</v>
      </c>
      <c r="B199" s="162">
        <f>Nasazení!C247</f>
        <v>0</v>
      </c>
      <c r="C199" s="6" t="str">
        <f t="shared" si="0"/>
        <v>X</v>
      </c>
    </row>
    <row r="200" spans="1:3" ht="12" customHeight="1">
      <c r="A200" s="160" t="str">
        <f>Nasazení!B190</f>
        <v/>
      </c>
      <c r="B200" s="162" t="str">
        <f>Nasazení!C190</f>
        <v/>
      </c>
      <c r="C200" s="6" t="str">
        <f t="shared" si="0"/>
        <v>X</v>
      </c>
    </row>
    <row r="201" spans="1:3" ht="12" customHeight="1">
      <c r="A201" s="160" t="e">
        <f>Nasazení!#REF!</f>
        <v>#REF!</v>
      </c>
      <c r="B201" s="162" t="e">
        <f>Nasazení!#REF!</f>
        <v>#REF!</v>
      </c>
      <c r="C201" s="6" t="e">
        <f t="shared" si="0"/>
        <v>#REF!</v>
      </c>
    </row>
    <row r="202" spans="1:3" ht="12" customHeight="1">
      <c r="A202" s="160">
        <f>Nasazení!B246</f>
        <v>0</v>
      </c>
      <c r="B202" s="162">
        <f>Nasazení!C246</f>
        <v>0</v>
      </c>
      <c r="C202" s="6" t="str">
        <f t="shared" si="0"/>
        <v>X</v>
      </c>
    </row>
    <row r="203" spans="1:3" ht="12" customHeight="1">
      <c r="A203" s="160" t="str">
        <f>Nasazení!B189</f>
        <v/>
      </c>
      <c r="B203" s="162" t="str">
        <f>Nasazení!C189</f>
        <v/>
      </c>
      <c r="C203" s="6" t="str">
        <f t="shared" si="0"/>
        <v>X</v>
      </c>
    </row>
    <row r="204" spans="1:3" ht="12" customHeight="1">
      <c r="A204" s="160" t="e">
        <f>Nasazení!#REF!</f>
        <v>#REF!</v>
      </c>
      <c r="B204" s="162" t="e">
        <f>Nasazení!#REF!</f>
        <v>#REF!</v>
      </c>
      <c r="C204" s="6" t="e">
        <f t="shared" si="0"/>
        <v>#REF!</v>
      </c>
    </row>
    <row r="205" spans="1:3" ht="12" customHeight="1">
      <c r="A205" s="160">
        <f>Nasazení!B245</f>
        <v>0</v>
      </c>
      <c r="B205" s="162">
        <f>Nasazení!C245</f>
        <v>0</v>
      </c>
      <c r="C205" s="6" t="str">
        <f t="shared" si="0"/>
        <v>X</v>
      </c>
    </row>
    <row r="206" spans="1:3" ht="12" customHeight="1">
      <c r="A206" s="160" t="str">
        <f>Nasazení!B188</f>
        <v/>
      </c>
      <c r="B206" s="162" t="str">
        <f>Nasazení!C188</f>
        <v/>
      </c>
      <c r="C206" s="6" t="str">
        <f t="shared" si="0"/>
        <v>X</v>
      </c>
    </row>
    <row r="207" spans="1:3" ht="12" customHeight="1">
      <c r="A207" s="160" t="e">
        <f>Nasazení!#REF!</f>
        <v>#REF!</v>
      </c>
      <c r="B207" s="162" t="e">
        <f>Nasazení!#REF!</f>
        <v>#REF!</v>
      </c>
      <c r="C207" s="6" t="e">
        <f t="shared" si="0"/>
        <v>#REF!</v>
      </c>
    </row>
    <row r="208" spans="1:3" ht="12" customHeight="1">
      <c r="A208" s="160">
        <f>Nasazení!B244</f>
        <v>0</v>
      </c>
      <c r="B208" s="162">
        <f>Nasazení!C244</f>
        <v>0</v>
      </c>
      <c r="C208" s="6" t="str">
        <f t="shared" si="0"/>
        <v>X</v>
      </c>
    </row>
    <row r="209" spans="1:3" ht="12" customHeight="1">
      <c r="A209" s="160" t="str">
        <f>Nasazení!B187</f>
        <v/>
      </c>
      <c r="B209" s="162" t="str">
        <f>Nasazení!C187</f>
        <v/>
      </c>
      <c r="C209" s="6" t="str">
        <f t="shared" si="0"/>
        <v>X</v>
      </c>
    </row>
    <row r="210" spans="1:3" ht="12" customHeight="1">
      <c r="A210" s="160" t="e">
        <f>Nasazení!#REF!</f>
        <v>#REF!</v>
      </c>
      <c r="B210" s="162" t="e">
        <f>Nasazení!#REF!</f>
        <v>#REF!</v>
      </c>
      <c r="C210" s="6" t="e">
        <f t="shared" si="0"/>
        <v>#REF!</v>
      </c>
    </row>
    <row r="211" spans="1:3" ht="12" customHeight="1">
      <c r="A211" s="160">
        <f>Nasazení!B243</f>
        <v>0</v>
      </c>
      <c r="B211" s="162">
        <f>Nasazení!C243</f>
        <v>0</v>
      </c>
      <c r="C211" s="6" t="str">
        <f t="shared" si="0"/>
        <v>X</v>
      </c>
    </row>
    <row r="212" spans="1:3" ht="12" customHeight="1">
      <c r="A212" s="160" t="str">
        <f>Nasazení!B186</f>
        <v/>
      </c>
      <c r="B212" s="162" t="str">
        <f>Nasazení!C186</f>
        <v/>
      </c>
      <c r="C212" s="6" t="str">
        <f t="shared" si="0"/>
        <v>X</v>
      </c>
    </row>
    <row r="213" spans="1:3" ht="12" customHeight="1">
      <c r="A213" s="160">
        <f>Nasazení!B195</f>
        <v>0</v>
      </c>
      <c r="B213" s="162">
        <f>Nasazení!C195</f>
        <v>0</v>
      </c>
      <c r="C213" s="6" t="str">
        <f t="shared" si="0"/>
        <v>X</v>
      </c>
    </row>
    <row r="214" spans="1:3" ht="12" customHeight="1">
      <c r="A214" s="160">
        <f>Nasazení!B242</f>
        <v>0</v>
      </c>
      <c r="B214" s="162">
        <f>Nasazení!C242</f>
        <v>0</v>
      </c>
      <c r="C214" s="6" t="str">
        <f t="shared" si="0"/>
        <v>X</v>
      </c>
    </row>
    <row r="215" spans="1:3" ht="12" customHeight="1">
      <c r="A215" s="160" t="str">
        <f>Nasazení!B185</f>
        <v/>
      </c>
      <c r="B215" s="162" t="str">
        <f>Nasazení!C185</f>
        <v/>
      </c>
      <c r="C215" s="6" t="str">
        <f t="shared" si="0"/>
        <v>X</v>
      </c>
    </row>
    <row r="216" spans="1:3" ht="12" customHeight="1">
      <c r="A216" s="160">
        <f>Nasazení!B196</f>
        <v>0</v>
      </c>
      <c r="B216" s="162">
        <f>Nasazení!C196</f>
        <v>0</v>
      </c>
      <c r="C216" s="6" t="str">
        <f t="shared" si="0"/>
        <v>X</v>
      </c>
    </row>
    <row r="217" spans="1:3" ht="12" customHeight="1">
      <c r="A217" s="160">
        <f>Nasazení!B241</f>
        <v>0</v>
      </c>
      <c r="B217" s="162">
        <f>Nasazení!C241</f>
        <v>0</v>
      </c>
      <c r="C217" s="6" t="str">
        <f t="shared" si="0"/>
        <v>X</v>
      </c>
    </row>
    <row r="218" spans="1:3" ht="12" customHeight="1">
      <c r="A218" s="160" t="str">
        <f>Nasazení!B184</f>
        <v/>
      </c>
      <c r="B218" s="162" t="str">
        <f>Nasazení!C184</f>
        <v/>
      </c>
      <c r="C218" s="6" t="str">
        <f t="shared" si="0"/>
        <v>X</v>
      </c>
    </row>
    <row r="219" spans="1:3" ht="12" customHeight="1">
      <c r="A219" s="160">
        <f>Nasazení!B197</f>
        <v>0</v>
      </c>
      <c r="B219" s="162">
        <f>Nasazení!C197</f>
        <v>0</v>
      </c>
      <c r="C219" s="6" t="str">
        <f t="shared" si="0"/>
        <v>X</v>
      </c>
    </row>
    <row r="220" spans="1:3" ht="12" customHeight="1">
      <c r="A220" s="160">
        <f>Nasazení!B240</f>
        <v>0</v>
      </c>
      <c r="B220" s="162">
        <f>Nasazení!C240</f>
        <v>0</v>
      </c>
      <c r="C220" s="6" t="str">
        <f t="shared" si="0"/>
        <v>X</v>
      </c>
    </row>
    <row r="221" spans="1:3" ht="12" customHeight="1">
      <c r="A221" s="160" t="str">
        <f>Nasazení!B183</f>
        <v/>
      </c>
      <c r="B221" s="162" t="str">
        <f>Nasazení!C183</f>
        <v/>
      </c>
      <c r="C221" s="6" t="str">
        <f t="shared" si="0"/>
        <v>X</v>
      </c>
    </row>
    <row r="222" spans="1:3" ht="12" customHeight="1">
      <c r="A222" s="160">
        <f>Nasazení!B198</f>
        <v>0</v>
      </c>
      <c r="B222" s="162">
        <f>Nasazení!C198</f>
        <v>0</v>
      </c>
      <c r="C222" s="6" t="str">
        <f t="shared" si="0"/>
        <v>X</v>
      </c>
    </row>
    <row r="223" spans="1:3" ht="12" customHeight="1">
      <c r="A223" s="160">
        <f>Nasazení!B239</f>
        <v>0</v>
      </c>
      <c r="B223" s="162">
        <f>Nasazení!C239</f>
        <v>0</v>
      </c>
      <c r="C223" s="6" t="str">
        <f t="shared" si="0"/>
        <v>X</v>
      </c>
    </row>
    <row r="224" spans="1:3" ht="12" customHeight="1">
      <c r="A224" s="160" t="str">
        <f>Nasazení!B182</f>
        <v/>
      </c>
      <c r="B224" s="162" t="str">
        <f>Nasazení!C182</f>
        <v/>
      </c>
      <c r="C224" s="6" t="str">
        <f t="shared" si="0"/>
        <v>X</v>
      </c>
    </row>
    <row r="225" spans="1:3" ht="12" customHeight="1">
      <c r="A225" s="160">
        <f>Nasazení!B199</f>
        <v>0</v>
      </c>
      <c r="B225" s="162">
        <f>Nasazení!C199</f>
        <v>0</v>
      </c>
      <c r="C225" s="6" t="str">
        <f t="shared" si="0"/>
        <v>X</v>
      </c>
    </row>
    <row r="226" spans="1:3" ht="12" customHeight="1">
      <c r="A226" s="160">
        <f>Nasazení!B238</f>
        <v>0</v>
      </c>
      <c r="B226" s="162">
        <f>Nasazení!C238</f>
        <v>0</v>
      </c>
      <c r="C226" s="6" t="str">
        <f t="shared" si="0"/>
        <v>X</v>
      </c>
    </row>
    <row r="227" spans="1:3" ht="12" customHeight="1">
      <c r="A227" s="160" t="str">
        <f>Nasazení!B181</f>
        <v/>
      </c>
      <c r="B227" s="162" t="str">
        <f>Nasazení!C181</f>
        <v/>
      </c>
      <c r="C227" s="6" t="str">
        <f t="shared" si="0"/>
        <v>X</v>
      </c>
    </row>
    <row r="228" spans="1:3" ht="12" customHeight="1">
      <c r="A228" s="160">
        <f>Nasazení!B200</f>
        <v>0</v>
      </c>
      <c r="B228" s="162">
        <f>Nasazení!C200</f>
        <v>0</v>
      </c>
      <c r="C228" s="6" t="str">
        <f t="shared" si="0"/>
        <v>X</v>
      </c>
    </row>
    <row r="229" spans="1:3" ht="12" customHeight="1">
      <c r="A229" s="160">
        <f>Nasazení!B237</f>
        <v>0</v>
      </c>
      <c r="B229" s="162">
        <f>Nasazení!C237</f>
        <v>0</v>
      </c>
      <c r="C229" s="6" t="str">
        <f t="shared" si="0"/>
        <v>X</v>
      </c>
    </row>
    <row r="230" spans="1:3" ht="12" customHeight="1">
      <c r="A230" s="160" t="str">
        <f>Nasazení!B180</f>
        <v/>
      </c>
      <c r="B230" s="162" t="str">
        <f>Nasazení!C180</f>
        <v/>
      </c>
      <c r="C230" s="6" t="str">
        <f t="shared" si="0"/>
        <v>X</v>
      </c>
    </row>
    <row r="231" spans="1:3" ht="12" customHeight="1">
      <c r="A231" s="160">
        <f>Nasazení!B201</f>
        <v>0</v>
      </c>
      <c r="B231" s="162">
        <f>Nasazení!C201</f>
        <v>0</v>
      </c>
      <c r="C231" s="6" t="str">
        <f t="shared" si="0"/>
        <v>X</v>
      </c>
    </row>
    <row r="232" spans="1:3" ht="12" customHeight="1">
      <c r="A232" s="160">
        <f>Nasazení!B236</f>
        <v>0</v>
      </c>
      <c r="B232" s="162">
        <f>Nasazení!C236</f>
        <v>0</v>
      </c>
      <c r="C232" s="6" t="str">
        <f t="shared" si="0"/>
        <v>X</v>
      </c>
    </row>
    <row r="233" spans="1:3" ht="12" customHeight="1">
      <c r="A233" s="160" t="str">
        <f>Nasazení!B179</f>
        <v/>
      </c>
      <c r="B233" s="162" t="str">
        <f>Nasazení!C179</f>
        <v/>
      </c>
      <c r="C233" s="6" t="str">
        <f t="shared" si="0"/>
        <v>X</v>
      </c>
    </row>
    <row r="234" spans="1:3" ht="12" customHeight="1">
      <c r="A234" s="160">
        <f>Nasazení!B202</f>
        <v>0</v>
      </c>
      <c r="B234" s="162">
        <f>Nasazení!C202</f>
        <v>0</v>
      </c>
      <c r="C234" s="6" t="str">
        <f t="shared" si="0"/>
        <v>X</v>
      </c>
    </row>
    <row r="235" spans="1:3" ht="12" customHeight="1">
      <c r="A235" s="160">
        <f>Nasazení!B235</f>
        <v>0</v>
      </c>
      <c r="B235" s="162">
        <f>Nasazení!C235</f>
        <v>0</v>
      </c>
      <c r="C235" s="6" t="str">
        <f t="shared" si="0"/>
        <v>X</v>
      </c>
    </row>
    <row r="236" spans="1:3" ht="12" customHeight="1">
      <c r="A236" s="160">
        <f>Nasazení!B203</f>
        <v>0</v>
      </c>
      <c r="B236" s="162">
        <f>Nasazení!C203</f>
        <v>0</v>
      </c>
      <c r="C236" s="6" t="str">
        <f t="shared" si="0"/>
        <v>X</v>
      </c>
    </row>
    <row r="237" spans="1:3" ht="12" customHeight="1">
      <c r="A237" s="160">
        <f>Nasazení!B234</f>
        <v>0</v>
      </c>
      <c r="B237" s="162">
        <f>Nasazení!C234</f>
        <v>0</v>
      </c>
      <c r="C237" s="6" t="str">
        <f t="shared" si="0"/>
        <v>X</v>
      </c>
    </row>
    <row r="238" spans="1:3" ht="12" customHeight="1">
      <c r="A238" s="160">
        <f>Nasazení!B204</f>
        <v>0</v>
      </c>
      <c r="B238" s="162">
        <f>Nasazení!C204</f>
        <v>0</v>
      </c>
      <c r="C238" s="6" t="str">
        <f t="shared" si="0"/>
        <v>X</v>
      </c>
    </row>
    <row r="239" spans="1:3" ht="12" customHeight="1">
      <c r="A239" s="160">
        <f>Nasazení!B233</f>
        <v>0</v>
      </c>
      <c r="B239" s="162">
        <f>Nasazení!C233</f>
        <v>0</v>
      </c>
      <c r="C239" s="6" t="str">
        <f t="shared" si="0"/>
        <v>X</v>
      </c>
    </row>
    <row r="240" spans="1:3" ht="12" customHeight="1">
      <c r="A240" s="160">
        <f>Nasazení!B205</f>
        <v>0</v>
      </c>
      <c r="B240" s="162">
        <f>Nasazení!C205</f>
        <v>0</v>
      </c>
      <c r="C240" s="6" t="str">
        <f t="shared" si="0"/>
        <v>X</v>
      </c>
    </row>
    <row r="241" spans="1:3" ht="12" customHeight="1">
      <c r="A241" s="160">
        <f>Nasazení!B232</f>
        <v>0</v>
      </c>
      <c r="B241" s="162">
        <f>Nasazení!C232</f>
        <v>0</v>
      </c>
      <c r="C241" s="6" t="str">
        <f t="shared" si="0"/>
        <v>X</v>
      </c>
    </row>
    <row r="242" spans="1:3" ht="12" customHeight="1">
      <c r="A242" s="160">
        <f>Nasazení!B206</f>
        <v>0</v>
      </c>
      <c r="B242" s="162">
        <f>Nasazení!C206</f>
        <v>0</v>
      </c>
      <c r="C242" s="6" t="str">
        <f t="shared" si="0"/>
        <v>X</v>
      </c>
    </row>
    <row r="243" spans="1:3" ht="12" customHeight="1">
      <c r="A243" s="160">
        <f>Nasazení!B231</f>
        <v>0</v>
      </c>
      <c r="B243" s="162">
        <f>Nasazení!C231</f>
        <v>0</v>
      </c>
      <c r="C243" s="6" t="str">
        <f t="shared" si="0"/>
        <v>X</v>
      </c>
    </row>
    <row r="244" spans="1:3" ht="12" customHeight="1">
      <c r="A244" s="160">
        <f>Nasazení!B207</f>
        <v>0</v>
      </c>
      <c r="B244" s="162">
        <f>Nasazení!C207</f>
        <v>0</v>
      </c>
      <c r="C244" s="6" t="str">
        <f t="shared" si="0"/>
        <v>X</v>
      </c>
    </row>
    <row r="245" spans="1:3" ht="12" customHeight="1">
      <c r="A245" s="160">
        <f>Nasazení!B230</f>
        <v>0</v>
      </c>
      <c r="B245" s="162">
        <f>Nasazení!C230</f>
        <v>0</v>
      </c>
      <c r="C245" s="6" t="str">
        <f t="shared" si="0"/>
        <v>X</v>
      </c>
    </row>
    <row r="246" spans="1:3" ht="12" customHeight="1">
      <c r="A246" s="160">
        <f>Nasazení!B208</f>
        <v>0</v>
      </c>
      <c r="B246" s="162">
        <f>Nasazení!C208</f>
        <v>0</v>
      </c>
      <c r="C246" s="6" t="str">
        <f t="shared" si="0"/>
        <v>X</v>
      </c>
    </row>
    <row r="247" spans="1:3" ht="12" customHeight="1">
      <c r="A247" s="160">
        <f>Nasazení!B229</f>
        <v>0</v>
      </c>
      <c r="B247" s="162">
        <f>Nasazení!C229</f>
        <v>0</v>
      </c>
      <c r="C247" s="6" t="str">
        <f t="shared" si="0"/>
        <v>X</v>
      </c>
    </row>
    <row r="248" spans="1:3" ht="12" customHeight="1">
      <c r="A248" s="160">
        <f>Nasazení!B209</f>
        <v>0</v>
      </c>
      <c r="B248" s="162">
        <f>Nasazení!C209</f>
        <v>0</v>
      </c>
      <c r="C248" s="6" t="str">
        <f t="shared" si="0"/>
        <v>X</v>
      </c>
    </row>
    <row r="249" spans="1:3" ht="12" customHeight="1">
      <c r="A249" s="160">
        <f>Nasazení!B228</f>
        <v>0</v>
      </c>
      <c r="B249" s="162">
        <f>Nasazení!C228</f>
        <v>0</v>
      </c>
      <c r="C249" s="6" t="str">
        <f t="shared" si="0"/>
        <v>X</v>
      </c>
    </row>
    <row r="250" spans="1:3" ht="12" customHeight="1">
      <c r="A250" s="160">
        <f>Nasazení!B210</f>
        <v>0</v>
      </c>
      <c r="B250" s="162">
        <f>Nasazení!C210</f>
        <v>0</v>
      </c>
      <c r="C250" s="6" t="str">
        <f t="shared" si="0"/>
        <v>X</v>
      </c>
    </row>
    <row r="251" spans="1:3" ht="12" customHeight="1">
      <c r="A251" s="160">
        <f>Nasazení!B227</f>
        <v>0</v>
      </c>
      <c r="B251" s="162">
        <f>Nasazení!C227</f>
        <v>0</v>
      </c>
      <c r="C251" s="6" t="str">
        <f t="shared" si="0"/>
        <v>X</v>
      </c>
    </row>
    <row r="252" spans="1:3" ht="12" customHeight="1">
      <c r="A252" s="160">
        <f>Nasazení!B211</f>
        <v>0</v>
      </c>
      <c r="B252" s="162">
        <f>Nasazení!C211</f>
        <v>0</v>
      </c>
      <c r="C252" s="6" t="str">
        <f t="shared" si="0"/>
        <v>X</v>
      </c>
    </row>
    <row r="253" spans="1:3" ht="12" customHeight="1">
      <c r="A253" s="160">
        <f>Nasazení!B226</f>
        <v>0</v>
      </c>
      <c r="B253" s="162">
        <f>Nasazení!C226</f>
        <v>0</v>
      </c>
      <c r="C253" s="6" t="str">
        <f t="shared" si="0"/>
        <v>X</v>
      </c>
    </row>
    <row r="254" spans="1:3" ht="12" customHeight="1">
      <c r="A254" s="160">
        <f>Nasazení!B212</f>
        <v>0</v>
      </c>
      <c r="B254" s="162">
        <f>Nasazení!C212</f>
        <v>0</v>
      </c>
      <c r="C254" s="6" t="str">
        <f t="shared" si="0"/>
        <v>X</v>
      </c>
    </row>
    <row r="255" spans="1:3" ht="12" customHeight="1">
      <c r="A255" s="160">
        <f>Nasazení!B225</f>
        <v>0</v>
      </c>
      <c r="B255" s="162">
        <f>Nasazení!C225</f>
        <v>0</v>
      </c>
      <c r="C255" s="6" t="str">
        <f t="shared" si="0"/>
        <v>X</v>
      </c>
    </row>
    <row r="256" spans="1:3" ht="12" customHeight="1">
      <c r="A256" s="160">
        <f>Nasazení!B250</f>
        <v>0</v>
      </c>
      <c r="B256" s="162">
        <f>Nasazení!C250</f>
        <v>0</v>
      </c>
      <c r="C256" s="6" t="str">
        <f t="shared" si="0"/>
        <v>X</v>
      </c>
    </row>
    <row r="257" spans="1:3" ht="12" customHeight="1">
      <c r="A257" s="160">
        <f>Nasazení!B249</f>
        <v>0</v>
      </c>
      <c r="B257" s="162">
        <f>Nasazení!C249</f>
        <v>0</v>
      </c>
      <c r="C257" s="6" t="str">
        <f t="shared" si="0"/>
        <v>X</v>
      </c>
    </row>
    <row r="258" spans="1:3" ht="12" customHeight="1">
      <c r="A258" s="160">
        <f>Nasazení!B248</f>
        <v>0</v>
      </c>
      <c r="B258" s="162">
        <f>Nasazení!C248</f>
        <v>0</v>
      </c>
      <c r="C258" s="6" t="str">
        <f t="shared" ref="C258" si="1">IF(T(A258)="","X"," ")</f>
        <v>X</v>
      </c>
    </row>
    <row r="259" spans="1:3" ht="12" customHeight="1"/>
    <row r="260" spans="1:3" ht="12" customHeight="1"/>
    <row r="261" spans="1:3" ht="12" customHeight="1"/>
    <row r="262" spans="1:3" ht="12" customHeight="1"/>
    <row r="263" spans="1:3" ht="12" customHeight="1"/>
    <row r="264" spans="1:3" ht="12" customHeight="1"/>
    <row r="265" spans="1:3" ht="12" customHeight="1"/>
    <row r="266" spans="1:3" ht="12" customHeight="1"/>
    <row r="267" spans="1:3" ht="12" customHeight="1"/>
    <row r="268" spans="1:3" ht="12" customHeight="1"/>
    <row r="269" spans="1:3" ht="12" customHeight="1"/>
    <row r="270" spans="1:3" ht="12" customHeight="1"/>
    <row r="271" spans="1:3" ht="12" customHeight="1"/>
    <row r="272" spans="1:3"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3"/>
  <sheetViews>
    <sheetView workbookViewId="0">
      <pane xSplit="4" ySplit="2" topLeftCell="E9" activePane="bottomRight" state="frozen"/>
      <selection pane="topRight" activeCell="E1" sqref="E1"/>
      <selection pane="bottomLeft" activeCell="A3" sqref="A3"/>
      <selection pane="bottomRight" activeCell="E33" sqref="E33:K33"/>
    </sheetView>
  </sheetViews>
  <sheetFormatPr defaultColWidth="14.375" defaultRowHeight="15" customHeight="1"/>
  <cols>
    <col min="1" max="3" width="8" customWidth="1"/>
    <col min="4" max="4" width="1.625" customWidth="1"/>
    <col min="5" max="5" width="38.25" customWidth="1"/>
    <col min="6" max="6" width="13.25" customWidth="1"/>
    <col min="7" max="7" width="8" customWidth="1"/>
    <col min="8" max="8" width="11.375" customWidth="1"/>
    <col min="9" max="26" width="8" customWidth="1"/>
  </cols>
  <sheetData>
    <row r="1" spans="1:5" ht="12" customHeight="1"/>
    <row r="2" spans="1:5" ht="24.75" customHeight="1">
      <c r="B2" s="163" t="s">
        <v>1756</v>
      </c>
      <c r="C2" s="164"/>
      <c r="D2" s="164"/>
      <c r="E2" s="165"/>
    </row>
    <row r="3" spans="1:5" ht="12" customHeight="1">
      <c r="C3" s="5" t="s">
        <v>1757</v>
      </c>
      <c r="E3" s="6" t="s">
        <v>1608</v>
      </c>
    </row>
    <row r="4" spans="1:5" ht="12" customHeight="1"/>
    <row r="5" spans="1:5" ht="15" customHeight="1">
      <c r="B5" s="166" t="s">
        <v>1758</v>
      </c>
    </row>
    <row r="6" spans="1:5" ht="12" customHeight="1">
      <c r="C6" s="5" t="s">
        <v>1759</v>
      </c>
      <c r="E6" s="162" t="s">
        <v>1760</v>
      </c>
    </row>
    <row r="7" spans="1:5" ht="15" customHeight="1">
      <c r="A7" s="5"/>
      <c r="C7" s="5" t="s">
        <v>1761</v>
      </c>
      <c r="E7" s="167" t="s">
        <v>1505</v>
      </c>
    </row>
    <row r="8" spans="1:5" ht="15" customHeight="1">
      <c r="A8" s="5"/>
      <c r="C8" s="5" t="s">
        <v>1762</v>
      </c>
      <c r="E8" s="168" t="s">
        <v>1763</v>
      </c>
    </row>
    <row r="9" spans="1:5" ht="12" customHeight="1">
      <c r="C9" s="5" t="s">
        <v>1764</v>
      </c>
      <c r="E9" s="162"/>
    </row>
    <row r="10" spans="1:5" ht="15" customHeight="1">
      <c r="C10" s="5" t="s">
        <v>1765</v>
      </c>
      <c r="E10" s="169" t="s">
        <v>1766</v>
      </c>
    </row>
    <row r="11" spans="1:5" ht="12" customHeight="1">
      <c r="C11" s="5" t="s">
        <v>1767</v>
      </c>
      <c r="E11" s="162" t="s">
        <v>1768</v>
      </c>
    </row>
    <row r="12" spans="1:5" ht="12" customHeight="1">
      <c r="C12" s="5" t="s">
        <v>1769</v>
      </c>
      <c r="E12" s="162" t="s">
        <v>1770</v>
      </c>
    </row>
    <row r="13" spans="1:5" ht="12" customHeight="1">
      <c r="C13" s="5" t="s">
        <v>1771</v>
      </c>
      <c r="E13" s="170">
        <v>0.33333333333333331</v>
      </c>
    </row>
    <row r="14" spans="1:5" ht="12" customHeight="1">
      <c r="C14" s="5" t="s">
        <v>1772</v>
      </c>
      <c r="E14" s="170">
        <v>0.35416666666666669</v>
      </c>
    </row>
    <row r="15" spans="1:5" ht="12" customHeight="1">
      <c r="C15" s="5" t="s">
        <v>1773</v>
      </c>
      <c r="E15" s="170">
        <v>0.3888888888888889</v>
      </c>
    </row>
    <row r="16" spans="1:5" ht="12" customHeight="1">
      <c r="C16" s="5" t="s">
        <v>1774</v>
      </c>
      <c r="E16" s="170">
        <v>0.96319444444444446</v>
      </c>
    </row>
    <row r="17" spans="2:26" ht="12" customHeight="1">
      <c r="C17" s="5" t="s">
        <v>1775</v>
      </c>
      <c r="E17" s="162">
        <v>24</v>
      </c>
    </row>
    <row r="18" spans="2:26" ht="12" customHeight="1">
      <c r="C18" s="5" t="s">
        <v>1776</v>
      </c>
      <c r="E18" s="162" t="s">
        <v>1770</v>
      </c>
    </row>
    <row r="19" spans="2:26" ht="12" customHeight="1">
      <c r="C19" s="5" t="s">
        <v>1777</v>
      </c>
      <c r="E19" s="162" t="s">
        <v>1770</v>
      </c>
    </row>
    <row r="20" spans="2:26" ht="12" customHeight="1">
      <c r="C20" s="5" t="s">
        <v>1778</v>
      </c>
      <c r="E20" s="162" t="s">
        <v>1779</v>
      </c>
    </row>
    <row r="21" spans="2:26" ht="12" customHeight="1">
      <c r="C21" s="5"/>
      <c r="E21" s="162"/>
    </row>
    <row r="22" spans="2:26" ht="12" customHeight="1">
      <c r="C22" s="5" t="s">
        <v>1780</v>
      </c>
      <c r="E22" s="481" t="s">
        <v>1781</v>
      </c>
      <c r="F22" s="480"/>
      <c r="G22" s="480"/>
      <c r="H22" s="480"/>
    </row>
    <row r="23" spans="2:26" ht="12" customHeight="1">
      <c r="C23" s="5"/>
      <c r="E23" s="162"/>
    </row>
    <row r="24" spans="2:26" ht="12" customHeight="1">
      <c r="C24" s="5" t="s">
        <v>1782</v>
      </c>
      <c r="E24" s="171" t="s">
        <v>1783</v>
      </c>
      <c r="F24" s="162"/>
      <c r="G24" s="162"/>
      <c r="H24" s="162"/>
    </row>
    <row r="25" spans="2:26" ht="12" customHeight="1">
      <c r="C25" s="5"/>
      <c r="E25" s="162" t="s">
        <v>1784</v>
      </c>
    </row>
    <row r="26" spans="2:26" ht="18" customHeight="1">
      <c r="B26" s="172"/>
      <c r="C26" s="5" t="s">
        <v>1785</v>
      </c>
      <c r="E26" s="481" t="s">
        <v>1786</v>
      </c>
      <c r="F26" s="480"/>
      <c r="G26" s="480"/>
      <c r="H26" s="480"/>
      <c r="I26" s="480"/>
      <c r="J26" s="480"/>
      <c r="K26" s="480"/>
      <c r="L26" s="480"/>
      <c r="M26" s="480"/>
      <c r="N26" s="480"/>
      <c r="O26" s="480"/>
      <c r="P26" s="480"/>
      <c r="Q26" s="480"/>
      <c r="R26" s="480"/>
      <c r="S26" s="480"/>
      <c r="T26" s="480"/>
      <c r="U26" s="480"/>
      <c r="V26" s="480"/>
      <c r="W26" s="480"/>
      <c r="X26" s="480"/>
      <c r="Y26" s="480"/>
      <c r="Z26" s="480"/>
    </row>
    <row r="27" spans="2:26" ht="12" customHeight="1">
      <c r="C27" s="5"/>
      <c r="E27" s="481" t="s">
        <v>1787</v>
      </c>
      <c r="F27" s="480"/>
      <c r="G27" s="480"/>
      <c r="H27" s="480"/>
      <c r="I27" s="480"/>
      <c r="J27" s="480"/>
      <c r="K27" s="480"/>
      <c r="L27" s="480"/>
      <c r="M27" s="480"/>
      <c r="N27" s="480"/>
      <c r="O27" s="480"/>
      <c r="P27" s="480"/>
      <c r="Q27" s="480"/>
      <c r="R27" s="480"/>
      <c r="S27" s="480"/>
      <c r="T27" s="480"/>
      <c r="U27" s="480"/>
      <c r="V27" s="480"/>
      <c r="W27" s="480"/>
      <c r="X27" s="480"/>
      <c r="Y27" s="480"/>
      <c r="Z27" s="480"/>
    </row>
    <row r="28" spans="2:26" ht="14.25" customHeight="1">
      <c r="C28" s="173"/>
      <c r="E28" s="482" t="s">
        <v>1788</v>
      </c>
      <c r="F28" s="480"/>
      <c r="G28" s="480"/>
      <c r="H28" s="480"/>
      <c r="I28" s="480"/>
      <c r="J28" s="480"/>
      <c r="K28" s="480"/>
      <c r="L28" s="480"/>
      <c r="M28" s="480"/>
      <c r="N28" s="480"/>
      <c r="O28" s="480"/>
      <c r="P28" s="480"/>
      <c r="Q28" s="480"/>
      <c r="R28" s="480"/>
      <c r="S28" s="480"/>
      <c r="T28" s="480"/>
      <c r="U28" s="480"/>
      <c r="V28" s="480"/>
      <c r="W28" s="480"/>
      <c r="X28" s="480"/>
      <c r="Y28" s="480"/>
      <c r="Z28" s="480"/>
    </row>
    <row r="29" spans="2:26" ht="15.75" customHeight="1">
      <c r="C29" s="173"/>
      <c r="E29" s="482" t="s">
        <v>1789</v>
      </c>
      <c r="F29" s="480"/>
      <c r="G29" s="480"/>
      <c r="H29" s="480"/>
      <c r="I29" s="480"/>
      <c r="J29" s="480"/>
      <c r="K29" s="480"/>
      <c r="L29" s="480"/>
      <c r="M29" s="480"/>
      <c r="N29" s="480"/>
      <c r="O29" s="480"/>
      <c r="P29" s="480"/>
      <c r="Q29" s="480"/>
      <c r="R29" s="480"/>
      <c r="S29" s="480"/>
      <c r="T29" s="480"/>
      <c r="U29" s="480"/>
      <c r="V29" s="480"/>
      <c r="W29" s="480"/>
      <c r="X29" s="480"/>
      <c r="Y29" s="480"/>
      <c r="Z29" s="480"/>
    </row>
    <row r="30" spans="2:26" ht="15.75" customHeight="1">
      <c r="C30" s="173"/>
      <c r="E30" s="483" t="s">
        <v>1790</v>
      </c>
      <c r="F30" s="480"/>
      <c r="G30" s="480"/>
      <c r="H30" s="480"/>
      <c r="I30" s="480"/>
      <c r="J30" s="480"/>
      <c r="K30" s="480"/>
      <c r="L30" s="480"/>
      <c r="M30" s="480"/>
      <c r="N30" s="480"/>
      <c r="O30" s="480"/>
      <c r="P30" s="480"/>
      <c r="Q30" s="480"/>
      <c r="R30" s="480"/>
      <c r="S30" s="480"/>
      <c r="T30" s="480"/>
      <c r="U30" s="480"/>
      <c r="V30" s="480"/>
      <c r="W30" s="480"/>
      <c r="X30" s="480"/>
      <c r="Y30" s="480"/>
      <c r="Z30" s="480"/>
    </row>
    <row r="31" spans="2:26" ht="26.25" customHeight="1">
      <c r="C31" s="173" t="s">
        <v>1791</v>
      </c>
      <c r="E31" s="482" t="s">
        <v>1792</v>
      </c>
      <c r="F31" s="480"/>
      <c r="G31" s="480"/>
      <c r="H31" s="480"/>
    </row>
    <row r="32" spans="2:26" ht="12" customHeight="1">
      <c r="C32" s="5"/>
      <c r="E32" s="162"/>
    </row>
    <row r="33" spans="3:11" ht="65.400000000000006" customHeight="1">
      <c r="C33" s="173" t="s">
        <v>1793</v>
      </c>
      <c r="E33" s="482" t="s">
        <v>1952</v>
      </c>
      <c r="F33" s="482"/>
      <c r="G33" s="482"/>
      <c r="H33" s="482"/>
      <c r="I33" s="482"/>
      <c r="J33" s="482"/>
      <c r="K33" s="482"/>
    </row>
    <row r="34" spans="3:11" ht="12" customHeight="1"/>
    <row r="35" spans="3:11" ht="12" customHeight="1"/>
    <row r="36" spans="3:11" ht="12" customHeight="1"/>
    <row r="37" spans="3:11" ht="12" customHeight="1"/>
    <row r="38" spans="3:11" ht="12" customHeight="1"/>
    <row r="39" spans="3:11" ht="12" customHeight="1"/>
    <row r="40" spans="3:11" ht="12" customHeight="1"/>
    <row r="41" spans="3:11" ht="12" customHeight="1"/>
    <row r="42" spans="3:11" ht="12" customHeight="1"/>
    <row r="43" spans="3:11" ht="12" customHeight="1"/>
    <row r="44" spans="3:11" ht="12" customHeight="1"/>
    <row r="45" spans="3:11" ht="12" customHeight="1"/>
    <row r="46" spans="3:11" ht="12" customHeight="1"/>
    <row r="47" spans="3:11" ht="12" customHeight="1"/>
    <row r="48" spans="3:11"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sheetData>
  <mergeCells count="8">
    <mergeCell ref="E33:K33"/>
    <mergeCell ref="E22:H22"/>
    <mergeCell ref="E31:H31"/>
    <mergeCell ref="E26:Z26"/>
    <mergeCell ref="E27:Z27"/>
    <mergeCell ref="E28:Z28"/>
    <mergeCell ref="E29:Z29"/>
    <mergeCell ref="E30:Z3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61</vt:i4>
      </vt:variant>
    </vt:vector>
  </HeadingPairs>
  <TitlesOfParts>
    <vt:vector size="61"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Lubomír</dc:creator>
  <cp:lastModifiedBy>Lubomír</cp:lastModifiedBy>
  <dcterms:created xsi:type="dcterms:W3CDTF">2023-04-24T15:05:03Z</dcterms:created>
  <dcterms:modified xsi:type="dcterms:W3CDTF">2023-04-24T15:06:11Z</dcterms:modified>
</cp:coreProperties>
</file>